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ancisco Esteban\Documents\FINANCES\CONCILIACION\Docs\"/>
    </mc:Choice>
  </mc:AlternateContent>
  <xr:revisionPtr revIDLastSave="0" documentId="13_ncr:1_{70465770-6E01-4222-9319-6F3A3FF41F5B}" xr6:coauthVersionLast="46" xr6:coauthVersionMax="46" xr10:uidLastSave="{00000000-0000-0000-0000-000000000000}"/>
  <bookViews>
    <workbookView xWindow="-108" yWindow="-108" windowWidth="23256" windowHeight="12576" firstSheet="16" activeTab="21" xr2:uid="{00000000-000D-0000-FFFF-FFFF00000000}"/>
  </bookViews>
  <sheets>
    <sheet name="CAPRI DX9" sheetId="1" r:id="rId1"/>
    <sheet name="NAPPA DX9" sheetId="2" r:id="rId2"/>
    <sheet name="CAPRI HL1" sheetId="3" r:id="rId3"/>
    <sheet name="NAPPA HL1" sheetId="4" r:id="rId4"/>
    <sheet name="NAPPA LC5" sheetId="5" r:id="rId5"/>
    <sheet name="NAPPA LU5" sheetId="6" r:id="rId6"/>
    <sheet name="NAPPA LV5" sheetId="21" r:id="rId7"/>
    <sheet name="CAPRI GREY SA5" sheetId="22" r:id="rId8"/>
    <sheet name="JRR" sheetId="25" r:id="rId9"/>
    <sheet name="LT5" sheetId="30" r:id="rId10"/>
    <sheet name="WU9" sheetId="32" r:id="rId11"/>
    <sheet name="WA3" sheetId="33" r:id="rId12"/>
    <sheet name="MP 2N4" sheetId="7" r:id="rId13"/>
    <sheet name="MP 5B8" sheetId="8" r:id="rId14"/>
    <sheet name="MP DN3" sheetId="9" r:id="rId15"/>
    <sheet name="MP DY3" sheetId="14" r:id="rId16"/>
    <sheet name="MP DY8" sheetId="15" r:id="rId17"/>
    <sheet name="LEAR MP 5B8" sheetId="10" r:id="rId18"/>
    <sheet name="LEAR MP DN3" sheetId="11" r:id="rId19"/>
    <sheet name="LEAR SOHO 5B8" sheetId="12" r:id="rId20"/>
    <sheet name="LEAR SOHO DN3" sheetId="13" r:id="rId21"/>
    <sheet name="DX9 MCKINEY" sheetId="16" r:id="rId22"/>
    <sheet name="PD2 MCKINLEY" sheetId="17" r:id="rId23"/>
    <sheet name="DX9 NAPPA RU" sheetId="18" r:id="rId24"/>
    <sheet name="ML8 NAPPA" sheetId="19" r:id="rId25"/>
    <sheet name="PD2 NAPPA" sheetId="20" r:id="rId26"/>
    <sheet name="VEV NAPPA" sheetId="31" r:id="rId27"/>
    <sheet name="LK5 NAPPA" sheetId="52" r:id="rId28"/>
    <sheet name="TX7" sheetId="23" r:id="rId29"/>
    <sheet name="VT9" sheetId="29" r:id="rId30"/>
    <sheet name="NAPPA TX7-JL" sheetId="49" r:id="rId31"/>
    <sheet name="MCKINLEY SA5" sheetId="50" r:id="rId32"/>
    <sheet name="NAPPA SA5" sheetId="51" r:id="rId33"/>
    <sheet name="STT" sheetId="24" r:id="rId34"/>
    <sheet name="PS4" sheetId="26" r:id="rId35"/>
    <sheet name="LAGUNA DX9" sheetId="28" r:id="rId36"/>
    <sheet name="NAPPA TX7-WL" sheetId="36" r:id="rId37"/>
    <sheet name="CAPRI TX7-WL" sheetId="37" r:id="rId38"/>
    <sheet name="PALERMO TX7-WL" sheetId="40" r:id="rId39"/>
    <sheet name="NAPPA SA5-WL" sheetId="42" r:id="rId40"/>
    <sheet name="CAPRI WT3-WL" sheetId="43" r:id="rId41"/>
    <sheet name="NAPPA WT5-WL" sheetId="45" r:id="rId42"/>
    <sheet name="PALERMO WT5-WL" sheetId="44" r:id="rId43"/>
    <sheet name="NAPPA TX7-WS" sheetId="38" r:id="rId44"/>
    <sheet name="CAPRI TX7-WS" sheetId="39" r:id="rId45"/>
    <sheet name="PALERMO TX7-WS" sheetId="41" r:id="rId46"/>
    <sheet name="PALERMO WT5-WS" sheetId="46" r:id="rId47"/>
    <sheet name="PALERMO WA6-WS" sheetId="47" r:id="rId48"/>
    <sheet name="CAPRI SD4-WS" sheetId="53" r:id="rId49"/>
    <sheet name="PALERMO SD4-WS" sheetId="54" r:id="rId50"/>
    <sheet name="NAPPA DX9-DAIMAY" sheetId="56" r:id="rId5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62" i="16" l="1"/>
  <c r="J233" i="18"/>
  <c r="K233" i="18"/>
  <c r="E233" i="18"/>
  <c r="D233" i="18"/>
  <c r="K302" i="3" l="1"/>
  <c r="L302" i="3"/>
  <c r="E302" i="3"/>
  <c r="D302" i="3"/>
  <c r="L967" i="1"/>
  <c r="K967" i="1"/>
  <c r="E967" i="1"/>
  <c r="D967" i="1"/>
  <c r="K9" i="44" l="1"/>
  <c r="L9" i="44"/>
  <c r="K10" i="44"/>
  <c r="L10" i="44"/>
  <c r="E10" i="44"/>
  <c r="D10" i="44"/>
  <c r="E9" i="44"/>
  <c r="D9" i="44"/>
  <c r="K9" i="45"/>
  <c r="L9" i="45"/>
  <c r="E9" i="45"/>
  <c r="D9" i="45"/>
  <c r="E20" i="43"/>
  <c r="D20" i="43"/>
  <c r="B20" i="43"/>
  <c r="A20" i="43"/>
  <c r="L15" i="43"/>
  <c r="K15" i="43"/>
  <c r="L13" i="43"/>
  <c r="K13" i="43"/>
  <c r="L18" i="43"/>
  <c r="K18" i="43"/>
  <c r="L17" i="43"/>
  <c r="K17" i="43"/>
  <c r="K11" i="43"/>
  <c r="L11" i="43"/>
  <c r="K12" i="43"/>
  <c r="L12" i="43"/>
  <c r="E18" i="43"/>
  <c r="D18" i="43"/>
  <c r="E17" i="43"/>
  <c r="D17" i="43"/>
  <c r="E15" i="43"/>
  <c r="D15" i="43"/>
  <c r="E13" i="43"/>
  <c r="D13" i="43"/>
  <c r="E12" i="43"/>
  <c r="D12" i="43"/>
  <c r="E11" i="43"/>
  <c r="D11" i="43"/>
  <c r="K11" i="42"/>
  <c r="L11" i="42"/>
  <c r="E11" i="42"/>
  <c r="D11" i="42"/>
  <c r="L16" i="40"/>
  <c r="K16" i="40"/>
  <c r="L15" i="40"/>
  <c r="K15" i="40"/>
  <c r="E16" i="40"/>
  <c r="D16" i="40"/>
  <c r="E15" i="40"/>
  <c r="D15" i="40"/>
  <c r="L15" i="37"/>
  <c r="K15" i="37"/>
  <c r="L24" i="37"/>
  <c r="K24" i="37"/>
  <c r="L21" i="37"/>
  <c r="K21" i="37"/>
  <c r="L27" i="37"/>
  <c r="K27" i="37"/>
  <c r="L26" i="37"/>
  <c r="K26" i="37"/>
  <c r="L23" i="37"/>
  <c r="K23" i="37"/>
  <c r="L20" i="37"/>
  <c r="K20" i="37"/>
  <c r="L19" i="37"/>
  <c r="K19" i="37"/>
  <c r="K14" i="37"/>
  <c r="L14" i="37"/>
  <c r="E27" i="37"/>
  <c r="D27" i="37"/>
  <c r="E26" i="37"/>
  <c r="D26" i="37"/>
  <c r="E24" i="37"/>
  <c r="D24" i="37"/>
  <c r="E23" i="37"/>
  <c r="D23" i="37"/>
  <c r="E21" i="37"/>
  <c r="D21" i="37"/>
  <c r="E20" i="37"/>
  <c r="D20" i="37"/>
  <c r="E19" i="37"/>
  <c r="D19" i="37"/>
  <c r="E15" i="37"/>
  <c r="D15" i="37"/>
  <c r="J14" i="37"/>
  <c r="I14" i="37"/>
  <c r="L11" i="36" l="1"/>
  <c r="K11" i="36"/>
  <c r="L18" i="36"/>
  <c r="K18" i="36"/>
  <c r="L17" i="36"/>
  <c r="K17" i="36"/>
  <c r="L16" i="36"/>
  <c r="K16" i="36"/>
  <c r="L15" i="36"/>
  <c r="K15" i="36"/>
  <c r="L14" i="36"/>
  <c r="K14" i="36"/>
  <c r="L13" i="36"/>
  <c r="K13" i="36"/>
  <c r="E18" i="36"/>
  <c r="D18" i="36"/>
  <c r="E17" i="36"/>
  <c r="D17" i="36"/>
  <c r="E16" i="36"/>
  <c r="D16" i="36"/>
  <c r="E15" i="36"/>
  <c r="D15" i="36"/>
  <c r="E14" i="36"/>
  <c r="D14" i="36"/>
  <c r="E13" i="36"/>
  <c r="D13" i="36"/>
  <c r="E11" i="36"/>
  <c r="D11" i="36"/>
  <c r="L18" i="50" l="1"/>
  <c r="K18" i="50"/>
  <c r="E18" i="50"/>
  <c r="D18" i="50"/>
  <c r="K46" i="49"/>
  <c r="L46" i="49"/>
  <c r="K47" i="49"/>
  <c r="L47" i="49"/>
  <c r="K48" i="49"/>
  <c r="L48" i="49"/>
  <c r="E48" i="49"/>
  <c r="D48" i="49"/>
  <c r="E47" i="49"/>
  <c r="D47" i="49"/>
  <c r="E46" i="49"/>
  <c r="D46" i="49"/>
  <c r="L66" i="29"/>
  <c r="K66" i="29"/>
  <c r="E66" i="29"/>
  <c r="D66" i="29"/>
  <c r="K452" i="23"/>
  <c r="L452" i="23"/>
  <c r="E452" i="23"/>
  <c r="D452" i="23"/>
  <c r="L448" i="23"/>
  <c r="K448" i="23"/>
  <c r="E448" i="23"/>
  <c r="D448" i="23"/>
  <c r="K21" i="52" l="1"/>
  <c r="J21" i="52"/>
  <c r="K20" i="52"/>
  <c r="J20" i="52"/>
  <c r="E21" i="52"/>
  <c r="D21" i="52"/>
  <c r="E20" i="52"/>
  <c r="D20" i="52"/>
  <c r="K148" i="20"/>
  <c r="J148" i="20"/>
  <c r="E148" i="20"/>
  <c r="D148" i="20"/>
  <c r="J232" i="18"/>
  <c r="K232" i="18"/>
  <c r="E232" i="18"/>
  <c r="D232" i="18"/>
  <c r="K151" i="17"/>
  <c r="J151" i="17"/>
  <c r="K149" i="17"/>
  <c r="J149" i="17"/>
  <c r="E151" i="17"/>
  <c r="D151" i="17"/>
  <c r="E149" i="17"/>
  <c r="D149" i="17"/>
  <c r="J362" i="16"/>
  <c r="E362" i="16"/>
  <c r="D362" i="16"/>
  <c r="L47" i="30" l="1"/>
  <c r="K47" i="30"/>
  <c r="E47" i="30"/>
  <c r="D47" i="30"/>
  <c r="L361" i="4"/>
  <c r="K361" i="4"/>
  <c r="K360" i="4"/>
  <c r="L360" i="4"/>
  <c r="E361" i="4"/>
  <c r="D361" i="4"/>
  <c r="E360" i="4"/>
  <c r="D360" i="4"/>
  <c r="L301" i="3"/>
  <c r="K301" i="3"/>
  <c r="E301" i="3"/>
  <c r="D301" i="3"/>
  <c r="K1130" i="2"/>
  <c r="K1128" i="2"/>
  <c r="E1130" i="2"/>
  <c r="L1130" i="2" s="1"/>
  <c r="D1130" i="2"/>
  <c r="L1129" i="2"/>
  <c r="K1129" i="2"/>
  <c r="E1128" i="2"/>
  <c r="L1128" i="2" s="1"/>
  <c r="D1128" i="2"/>
  <c r="L964" i="1"/>
  <c r="K964" i="1"/>
  <c r="L965" i="1"/>
  <c r="K965" i="1"/>
  <c r="L962" i="1"/>
  <c r="K962" i="1"/>
  <c r="E965" i="1"/>
  <c r="D965" i="1"/>
  <c r="E964" i="1"/>
  <c r="D964" i="1"/>
  <c r="E962" i="1"/>
  <c r="D962" i="1"/>
  <c r="L959" i="1"/>
  <c r="K959" i="1"/>
  <c r="E959" i="1"/>
  <c r="D959" i="1"/>
  <c r="L7" i="56" l="1"/>
  <c r="K7" i="56"/>
  <c r="L5" i="56"/>
  <c r="K5" i="56"/>
  <c r="L9" i="56"/>
  <c r="K9" i="56"/>
  <c r="E9" i="56"/>
  <c r="D9" i="56"/>
  <c r="E7" i="56"/>
  <c r="D7" i="56"/>
  <c r="E5" i="56"/>
  <c r="D5" i="56"/>
  <c r="E20" i="50" l="1"/>
  <c r="D20" i="50"/>
  <c r="B20" i="50"/>
  <c r="A20" i="50"/>
  <c r="L15" i="50"/>
  <c r="K15" i="50"/>
  <c r="E15" i="50"/>
  <c r="D15" i="50"/>
  <c r="L42" i="49"/>
  <c r="K42" i="49"/>
  <c r="L45" i="49"/>
  <c r="K45" i="49"/>
  <c r="L44" i="49"/>
  <c r="K44" i="49"/>
  <c r="K41" i="49"/>
  <c r="L41" i="49"/>
  <c r="E45" i="49"/>
  <c r="D45" i="49"/>
  <c r="E44" i="49"/>
  <c r="D44" i="49"/>
  <c r="E42" i="49"/>
  <c r="D42" i="49"/>
  <c r="E41" i="49"/>
  <c r="D41" i="49"/>
  <c r="L64" i="29"/>
  <c r="K64" i="29"/>
  <c r="L61" i="29"/>
  <c r="K61" i="29"/>
  <c r="L63" i="29"/>
  <c r="K63" i="29"/>
  <c r="K60" i="29"/>
  <c r="L60" i="29"/>
  <c r="E64" i="29"/>
  <c r="D64" i="29"/>
  <c r="E61" i="29"/>
  <c r="D61" i="29"/>
  <c r="E60" i="29"/>
  <c r="D60" i="29"/>
  <c r="L437" i="23"/>
  <c r="K437" i="23"/>
  <c r="L446" i="23"/>
  <c r="K446" i="23"/>
  <c r="L444" i="23"/>
  <c r="K444" i="23"/>
  <c r="L441" i="23"/>
  <c r="K441" i="23"/>
  <c r="L434" i="23"/>
  <c r="K434" i="23"/>
  <c r="L451" i="23"/>
  <c r="K451" i="23"/>
  <c r="L450" i="23"/>
  <c r="K450" i="23"/>
  <c r="L449" i="23"/>
  <c r="K449" i="23"/>
  <c r="L443" i="23"/>
  <c r="K443" i="23"/>
  <c r="L440" i="23"/>
  <c r="K440" i="23"/>
  <c r="L436" i="23"/>
  <c r="K436" i="23"/>
  <c r="K432" i="23"/>
  <c r="L432" i="23"/>
  <c r="K433" i="23"/>
  <c r="L433" i="23"/>
  <c r="E451" i="23"/>
  <c r="D451" i="23"/>
  <c r="E450" i="23"/>
  <c r="D450" i="23"/>
  <c r="E449" i="23"/>
  <c r="D449" i="23"/>
  <c r="E444" i="23"/>
  <c r="D444" i="23"/>
  <c r="E443" i="23"/>
  <c r="D443" i="23"/>
  <c r="E441" i="23"/>
  <c r="D441" i="23"/>
  <c r="E440" i="23"/>
  <c r="D440" i="23"/>
  <c r="E437" i="23"/>
  <c r="D437" i="23"/>
  <c r="E436" i="23"/>
  <c r="D436" i="23"/>
  <c r="E434" i="23"/>
  <c r="D434" i="23"/>
  <c r="E433" i="23"/>
  <c r="D433" i="23"/>
  <c r="E432" i="23"/>
  <c r="D432" i="23"/>
  <c r="K17" i="52"/>
  <c r="J17" i="52"/>
  <c r="K14" i="52"/>
  <c r="J14" i="52"/>
  <c r="E17" i="52"/>
  <c r="D17" i="52"/>
  <c r="E14" i="52"/>
  <c r="D14" i="52"/>
  <c r="K147" i="20"/>
  <c r="J147" i="20"/>
  <c r="K146" i="20"/>
  <c r="J146" i="20"/>
  <c r="K145" i="20"/>
  <c r="J145" i="20"/>
  <c r="E147" i="20"/>
  <c r="D147" i="20"/>
  <c r="E146" i="20"/>
  <c r="D146" i="20"/>
  <c r="E145" i="20"/>
  <c r="D145" i="20"/>
  <c r="K74" i="19"/>
  <c r="J74" i="19"/>
  <c r="J72" i="19"/>
  <c r="K72" i="19"/>
  <c r="J73" i="19"/>
  <c r="K73" i="19"/>
  <c r="E74" i="19"/>
  <c r="D74" i="19"/>
  <c r="E73" i="19"/>
  <c r="D73" i="19"/>
  <c r="E72" i="19"/>
  <c r="D72" i="19"/>
  <c r="E234" i="18"/>
  <c r="D234" i="18"/>
  <c r="B234" i="18"/>
  <c r="A234" i="18"/>
  <c r="K231" i="18"/>
  <c r="J231" i="18"/>
  <c r="K229" i="18"/>
  <c r="J229" i="18"/>
  <c r="K224" i="18"/>
  <c r="J224" i="18"/>
  <c r="E231" i="18"/>
  <c r="D231" i="18"/>
  <c r="E230" i="18"/>
  <c r="K230" i="18" s="1"/>
  <c r="D230" i="18"/>
  <c r="J230" i="18" s="1"/>
  <c r="E228" i="18"/>
  <c r="K228" i="18" s="1"/>
  <c r="D228" i="18"/>
  <c r="J228" i="18" s="1"/>
  <c r="E224" i="18"/>
  <c r="D224" i="18"/>
  <c r="K145" i="17"/>
  <c r="J145" i="17"/>
  <c r="J143" i="17"/>
  <c r="K143" i="17"/>
  <c r="J144" i="17"/>
  <c r="K144" i="17"/>
  <c r="E144" i="17"/>
  <c r="D144" i="17"/>
  <c r="E143" i="17"/>
  <c r="D143" i="17"/>
  <c r="K361" i="16"/>
  <c r="J361" i="16"/>
  <c r="K360" i="16"/>
  <c r="J360" i="16"/>
  <c r="J353" i="16"/>
  <c r="K353" i="16"/>
  <c r="K358" i="16"/>
  <c r="J358" i="16"/>
  <c r="K354" i="16"/>
  <c r="J354" i="16"/>
  <c r="E360" i="16"/>
  <c r="D360" i="16"/>
  <c r="E358" i="16"/>
  <c r="D358" i="16"/>
  <c r="E354" i="16"/>
  <c r="D354" i="16"/>
  <c r="E353" i="16"/>
  <c r="D353" i="16"/>
  <c r="K11" i="32" l="1"/>
  <c r="L11" i="32"/>
  <c r="E11" i="32"/>
  <c r="D11" i="32"/>
  <c r="L50" i="25"/>
  <c r="K50" i="25"/>
  <c r="E50" i="25"/>
  <c r="D50" i="25"/>
  <c r="L359" i="4"/>
  <c r="K359" i="4"/>
  <c r="L357" i="4"/>
  <c r="K357" i="4"/>
  <c r="E359" i="4"/>
  <c r="D359" i="4"/>
  <c r="E357" i="4"/>
  <c r="D357" i="4"/>
  <c r="L299" i="3"/>
  <c r="K299" i="3"/>
  <c r="L298" i="3"/>
  <c r="K298" i="3"/>
  <c r="E299" i="3"/>
  <c r="D299" i="3"/>
  <c r="E298" i="3"/>
  <c r="D298" i="3"/>
  <c r="K1113" i="2"/>
  <c r="K1116" i="2"/>
  <c r="K1124" i="2"/>
  <c r="K1122" i="2"/>
  <c r="K1120" i="2"/>
  <c r="K1111" i="2"/>
  <c r="L1125" i="2"/>
  <c r="K1125" i="2"/>
  <c r="L1108" i="2"/>
  <c r="K1108" i="2"/>
  <c r="K1103" i="2"/>
  <c r="E1124" i="2"/>
  <c r="L1124" i="2" s="1"/>
  <c r="D1124" i="2"/>
  <c r="E1123" i="2"/>
  <c r="L1123" i="2" s="1"/>
  <c r="D1123" i="2"/>
  <c r="K1123" i="2" s="1"/>
  <c r="E1122" i="2"/>
  <c r="L1122" i="2" s="1"/>
  <c r="D1122" i="2"/>
  <c r="E1121" i="2"/>
  <c r="L1121" i="2" s="1"/>
  <c r="D1121" i="2"/>
  <c r="K1121" i="2" s="1"/>
  <c r="E1120" i="2"/>
  <c r="L1120" i="2" s="1"/>
  <c r="D1120" i="2"/>
  <c r="E1117" i="2"/>
  <c r="L1117" i="2" s="1"/>
  <c r="D1117" i="2"/>
  <c r="K1117" i="2" s="1"/>
  <c r="E1116" i="2"/>
  <c r="L1116" i="2" s="1"/>
  <c r="D1116" i="2"/>
  <c r="E1115" i="2"/>
  <c r="L1115" i="2" s="1"/>
  <c r="D1115" i="2"/>
  <c r="K1115" i="2" s="1"/>
  <c r="E1113" i="2"/>
  <c r="L1113" i="2" s="1"/>
  <c r="D1113" i="2"/>
  <c r="E1112" i="2"/>
  <c r="L1112" i="2" s="1"/>
  <c r="D1112" i="2"/>
  <c r="K1112" i="2" s="1"/>
  <c r="E1111" i="2"/>
  <c r="L1111" i="2" s="1"/>
  <c r="D1111" i="2"/>
  <c r="D1106" i="2"/>
  <c r="L1106" i="2" s="1"/>
  <c r="E1103" i="2"/>
  <c r="L1103" i="2" s="1"/>
  <c r="D1103" i="2"/>
  <c r="E1100" i="2"/>
  <c r="L1100" i="2" s="1"/>
  <c r="D1100" i="2"/>
  <c r="K1100" i="2" s="1"/>
  <c r="L960" i="1"/>
  <c r="K960" i="1"/>
  <c r="L957" i="1"/>
  <c r="K957" i="1"/>
  <c r="E960" i="1"/>
  <c r="D960" i="1"/>
  <c r="K1106" i="2" l="1"/>
  <c r="K10" i="32"/>
  <c r="L10" i="32"/>
  <c r="E10" i="32"/>
  <c r="D10" i="32"/>
  <c r="L45" i="30"/>
  <c r="K45" i="30"/>
  <c r="L48" i="25"/>
  <c r="K48" i="25"/>
  <c r="E48" i="25"/>
  <c r="D48" i="25"/>
  <c r="L356" i="4"/>
  <c r="K356" i="4"/>
  <c r="L355" i="4"/>
  <c r="K355" i="4"/>
  <c r="L354" i="4"/>
  <c r="K354" i="4"/>
  <c r="E356" i="4"/>
  <c r="D356" i="4"/>
  <c r="E355" i="4"/>
  <c r="D355" i="4"/>
  <c r="E354" i="4"/>
  <c r="D354" i="4"/>
  <c r="L956" i="1"/>
  <c r="K956" i="1"/>
  <c r="L954" i="1"/>
  <c r="K954" i="1"/>
  <c r="K952" i="1"/>
  <c r="L952" i="1"/>
  <c r="K953" i="1"/>
  <c r="L953" i="1"/>
  <c r="E954" i="1"/>
  <c r="D954" i="1"/>
  <c r="E953" i="1"/>
  <c r="D953" i="1"/>
  <c r="E952" i="1"/>
  <c r="D952" i="1"/>
  <c r="K349" i="4"/>
  <c r="L349" i="4"/>
  <c r="K350" i="4"/>
  <c r="L350" i="4"/>
  <c r="E350" i="4"/>
  <c r="D350" i="4"/>
  <c r="E349" i="4"/>
  <c r="D349" i="4"/>
  <c r="K217" i="18" l="1"/>
  <c r="J217" i="18"/>
  <c r="E217" i="18"/>
  <c r="D217" i="18"/>
  <c r="K8" i="26" l="1"/>
  <c r="L8" i="26"/>
  <c r="E8" i="26"/>
  <c r="D8" i="26"/>
  <c r="K6" i="49" l="1"/>
  <c r="L6" i="49"/>
  <c r="E6" i="49"/>
  <c r="D6" i="49"/>
  <c r="E9" i="53" l="1"/>
  <c r="D9" i="53"/>
  <c r="A9" i="53"/>
  <c r="B9" i="53"/>
  <c r="E13" i="54"/>
  <c r="D13" i="54"/>
  <c r="B13" i="54"/>
  <c r="A13" i="54"/>
  <c r="K6" i="54"/>
  <c r="L6" i="54"/>
  <c r="K7" i="54"/>
  <c r="L7" i="54"/>
  <c r="K8" i="54"/>
  <c r="L8" i="54"/>
  <c r="K9" i="54"/>
  <c r="L9" i="54"/>
  <c r="K10" i="54"/>
  <c r="L10" i="54"/>
  <c r="K11" i="54"/>
  <c r="L11" i="54"/>
  <c r="L5" i="54"/>
  <c r="K5" i="54"/>
  <c r="E11" i="54"/>
  <c r="D11" i="54"/>
  <c r="E10" i="54"/>
  <c r="D10" i="54"/>
  <c r="E9" i="54"/>
  <c r="D9" i="54"/>
  <c r="E8" i="54"/>
  <c r="B8" i="54" s="1"/>
  <c r="D8" i="54"/>
  <c r="A8" i="54" s="1"/>
  <c r="E7" i="54"/>
  <c r="B7" i="54" s="1"/>
  <c r="D7" i="54"/>
  <c r="A7" i="54" s="1"/>
  <c r="E6" i="54"/>
  <c r="B6" i="54" s="1"/>
  <c r="D6" i="54"/>
  <c r="A6" i="54" s="1"/>
  <c r="E5" i="54"/>
  <c r="B5" i="54" s="1"/>
  <c r="D5" i="54"/>
  <c r="A5" i="54" s="1"/>
  <c r="K6" i="53"/>
  <c r="L6" i="53"/>
  <c r="K7" i="53"/>
  <c r="L7" i="53"/>
  <c r="L5" i="53"/>
  <c r="K5" i="53"/>
  <c r="E7" i="53"/>
  <c r="D7" i="53"/>
  <c r="E6" i="53"/>
  <c r="D6" i="53"/>
  <c r="B6" i="53"/>
  <c r="A6" i="53"/>
  <c r="E5" i="53"/>
  <c r="D5" i="53"/>
  <c r="B5" i="53"/>
  <c r="A5" i="53"/>
  <c r="L7" i="47"/>
  <c r="K7" i="47"/>
  <c r="K6" i="47"/>
  <c r="L6" i="47"/>
  <c r="E7" i="47"/>
  <c r="D7" i="47"/>
  <c r="E6" i="47"/>
  <c r="D6" i="47"/>
  <c r="L15" i="41"/>
  <c r="K15" i="41"/>
  <c r="K10" i="41"/>
  <c r="L10" i="41"/>
  <c r="K11" i="41"/>
  <c r="L11" i="41"/>
  <c r="K12" i="41"/>
  <c r="L12" i="41"/>
  <c r="K13" i="41"/>
  <c r="L13" i="41"/>
  <c r="K14" i="41"/>
  <c r="L14" i="41"/>
  <c r="E15" i="41"/>
  <c r="D15" i="41"/>
  <c r="E14" i="41"/>
  <c r="D14" i="41"/>
  <c r="A14" i="41" s="1"/>
  <c r="B14" i="41"/>
  <c r="E13" i="41"/>
  <c r="D13" i="41"/>
  <c r="A13" i="41" s="1"/>
  <c r="B13" i="41"/>
  <c r="E12" i="41"/>
  <c r="D12" i="41"/>
  <c r="E11" i="41"/>
  <c r="B11" i="41" s="1"/>
  <c r="D11" i="41"/>
  <c r="A11" i="41"/>
  <c r="E10" i="41"/>
  <c r="B10" i="41" s="1"/>
  <c r="D10" i="41"/>
  <c r="A10" i="41"/>
  <c r="K6" i="39"/>
  <c r="L6" i="39"/>
  <c r="E6" i="39"/>
  <c r="D6" i="39"/>
  <c r="K7" i="44" l="1"/>
  <c r="L7" i="44"/>
  <c r="K8" i="44"/>
  <c r="L8" i="44"/>
  <c r="E8" i="44"/>
  <c r="D8" i="44"/>
  <c r="E7" i="44"/>
  <c r="D7" i="44"/>
  <c r="D12" i="44" s="1"/>
  <c r="A7" i="44"/>
  <c r="E12" i="44"/>
  <c r="B12" i="44"/>
  <c r="A12" i="44"/>
  <c r="E11" i="45"/>
  <c r="D11" i="45"/>
  <c r="B11" i="45"/>
  <c r="A11" i="45"/>
  <c r="K7" i="45"/>
  <c r="L7" i="45"/>
  <c r="K8" i="45"/>
  <c r="L8" i="45"/>
  <c r="E8" i="45"/>
  <c r="D8" i="45"/>
  <c r="E7" i="45"/>
  <c r="D7" i="45"/>
  <c r="A7" i="45"/>
  <c r="L7" i="43" l="1"/>
  <c r="K7" i="43"/>
  <c r="L10" i="43"/>
  <c r="K10" i="43"/>
  <c r="L9" i="43"/>
  <c r="K9" i="43"/>
  <c r="E10" i="43"/>
  <c r="D10" i="43"/>
  <c r="E9" i="43"/>
  <c r="D9" i="43"/>
  <c r="E7" i="43"/>
  <c r="D7" i="43"/>
  <c r="E6" i="43"/>
  <c r="D6" i="43"/>
  <c r="K7" i="42"/>
  <c r="L7" i="42"/>
  <c r="K8" i="42"/>
  <c r="L8" i="42"/>
  <c r="K9" i="42"/>
  <c r="L9" i="42"/>
  <c r="K10" i="42"/>
  <c r="L10" i="42"/>
  <c r="E9" i="42"/>
  <c r="D9" i="42"/>
  <c r="E8" i="42"/>
  <c r="D8" i="42"/>
  <c r="A8" i="42" s="1"/>
  <c r="E7" i="42"/>
  <c r="B7" i="42" s="1"/>
  <c r="D7" i="42"/>
  <c r="A7" i="42" s="1"/>
  <c r="E5" i="42"/>
  <c r="D5" i="42"/>
  <c r="L12" i="40"/>
  <c r="K12" i="40"/>
  <c r="L10" i="40"/>
  <c r="K10" i="40"/>
  <c r="L8" i="40"/>
  <c r="K8" i="40"/>
  <c r="E12" i="40"/>
  <c r="D12" i="40"/>
  <c r="E10" i="40"/>
  <c r="D10" i="40"/>
  <c r="A10" i="40" s="1"/>
  <c r="E8" i="40"/>
  <c r="D8" i="40"/>
  <c r="B29" i="37"/>
  <c r="A29" i="37"/>
  <c r="L13" i="37"/>
  <c r="E13" i="37"/>
  <c r="D13" i="37"/>
  <c r="K13" i="37" s="1"/>
  <c r="E12" i="37"/>
  <c r="D12" i="37"/>
  <c r="K12" i="37" s="1"/>
  <c r="K10" i="37"/>
  <c r="L10" i="37"/>
  <c r="E10" i="37"/>
  <c r="D10" i="37"/>
  <c r="E9" i="37"/>
  <c r="L9" i="37" s="1"/>
  <c r="D9" i="37"/>
  <c r="K9" i="37" s="1"/>
  <c r="L8" i="36"/>
  <c r="K8" i="36"/>
  <c r="E8" i="36"/>
  <c r="D8" i="36"/>
  <c r="L12" i="37" l="1"/>
  <c r="L40" i="49"/>
  <c r="K40" i="49"/>
  <c r="L38" i="49"/>
  <c r="K38" i="49"/>
  <c r="L37" i="49"/>
  <c r="K37" i="49"/>
  <c r="L33" i="49"/>
  <c r="K33" i="49"/>
  <c r="E38" i="49"/>
  <c r="D38" i="49"/>
  <c r="E37" i="49"/>
  <c r="D37" i="49"/>
  <c r="E33" i="49"/>
  <c r="D33" i="49"/>
  <c r="L59" i="29"/>
  <c r="K59" i="29"/>
  <c r="L56" i="29"/>
  <c r="K56" i="29"/>
  <c r="L54" i="29"/>
  <c r="K54" i="29"/>
  <c r="E56" i="29"/>
  <c r="D56" i="29"/>
  <c r="E54" i="29"/>
  <c r="D54" i="29"/>
  <c r="L429" i="23"/>
  <c r="K429" i="23"/>
  <c r="E431" i="23"/>
  <c r="D431" i="23"/>
  <c r="K431" i="23" s="1"/>
  <c r="E427" i="23"/>
  <c r="D427" i="23"/>
  <c r="K427" i="23" s="1"/>
  <c r="E425" i="23"/>
  <c r="D425" i="23"/>
  <c r="K425" i="23" s="1"/>
  <c r="E424" i="23"/>
  <c r="D424" i="23"/>
  <c r="K424" i="23" s="1"/>
  <c r="E422" i="23"/>
  <c r="D422" i="23"/>
  <c r="K422" i="23" s="1"/>
  <c r="E421" i="23"/>
  <c r="D421" i="23"/>
  <c r="K421" i="23" s="1"/>
  <c r="E420" i="23"/>
  <c r="D420" i="23"/>
  <c r="K420" i="23" s="1"/>
  <c r="E419" i="23"/>
  <c r="D419" i="23"/>
  <c r="K419" i="23" s="1"/>
  <c r="L422" i="23" l="1"/>
  <c r="L425" i="23"/>
  <c r="L431" i="23"/>
  <c r="L424" i="23"/>
  <c r="L427" i="23"/>
  <c r="L420" i="23"/>
  <c r="L421" i="23"/>
  <c r="L419" i="23"/>
  <c r="E24" i="52"/>
  <c r="D24" i="52"/>
  <c r="B24" i="52"/>
  <c r="A24" i="52"/>
  <c r="K9" i="52"/>
  <c r="J9" i="52"/>
  <c r="K12" i="52"/>
  <c r="J12" i="52"/>
  <c r="J7" i="52"/>
  <c r="K7" i="52"/>
  <c r="J8" i="52"/>
  <c r="K8" i="52"/>
  <c r="E12" i="52"/>
  <c r="D12" i="52"/>
  <c r="E9" i="52"/>
  <c r="D9" i="52"/>
  <c r="E8" i="52"/>
  <c r="D8" i="52"/>
  <c r="E7" i="52"/>
  <c r="D7" i="52"/>
  <c r="K143" i="20"/>
  <c r="J143" i="20"/>
  <c r="J223" i="18"/>
  <c r="K223" i="18"/>
  <c r="K220" i="18"/>
  <c r="K219" i="18"/>
  <c r="J219" i="18"/>
  <c r="E222" i="18"/>
  <c r="K222" i="18" s="1"/>
  <c r="D222" i="18"/>
  <c r="J222" i="18" s="1"/>
  <c r="E221" i="18"/>
  <c r="K221" i="18" s="1"/>
  <c r="D221" i="18"/>
  <c r="J221" i="18" s="1"/>
  <c r="E219" i="18"/>
  <c r="D219" i="18"/>
  <c r="K138" i="17"/>
  <c r="J138" i="17"/>
  <c r="K142" i="17"/>
  <c r="J142" i="17"/>
  <c r="E138" i="17"/>
  <c r="D138" i="17"/>
  <c r="J136" i="17"/>
  <c r="K136" i="17"/>
  <c r="J352" i="16"/>
  <c r="K352" i="16"/>
  <c r="K7" i="32" l="1"/>
  <c r="L7" i="32"/>
  <c r="E7" i="32"/>
  <c r="D7" i="32"/>
  <c r="L44" i="30"/>
  <c r="K44" i="30"/>
  <c r="L41" i="30"/>
  <c r="K41" i="30"/>
  <c r="E44" i="30"/>
  <c r="D44" i="30"/>
  <c r="E41" i="30"/>
  <c r="D41" i="30"/>
  <c r="K41" i="25"/>
  <c r="E47" i="25"/>
  <c r="L47" i="25" s="1"/>
  <c r="D47" i="25"/>
  <c r="K47" i="25" s="1"/>
  <c r="E43" i="25"/>
  <c r="L43" i="25" s="1"/>
  <c r="D43" i="25"/>
  <c r="K43" i="25" s="1"/>
  <c r="E41" i="25"/>
  <c r="L41" i="25" s="1"/>
  <c r="D41" i="25"/>
  <c r="L352" i="4"/>
  <c r="K352" i="4"/>
  <c r="K346" i="4"/>
  <c r="K347" i="4"/>
  <c r="K348" i="4"/>
  <c r="L348" i="4"/>
  <c r="K351" i="4"/>
  <c r="L351" i="4"/>
  <c r="E347" i="4"/>
  <c r="L347" i="4" s="1"/>
  <c r="D347" i="4"/>
  <c r="E346" i="4"/>
  <c r="L346" i="4" s="1"/>
  <c r="D346" i="4"/>
  <c r="L291" i="3"/>
  <c r="K291" i="3"/>
  <c r="L296" i="3"/>
  <c r="K296" i="3"/>
  <c r="L294" i="3"/>
  <c r="K294" i="3"/>
  <c r="L292" i="3"/>
  <c r="K292" i="3"/>
  <c r="L288" i="3"/>
  <c r="K288" i="3"/>
  <c r="E292" i="3"/>
  <c r="D292" i="3"/>
  <c r="E291" i="3"/>
  <c r="D291" i="3"/>
  <c r="E288" i="3"/>
  <c r="D288" i="3"/>
  <c r="K1079" i="2" l="1"/>
  <c r="K1075" i="2"/>
  <c r="K1093" i="2"/>
  <c r="K1089" i="2"/>
  <c r="L1102" i="2"/>
  <c r="K1102" i="2"/>
  <c r="E1101" i="2"/>
  <c r="L1101" i="2" s="1"/>
  <c r="D1101" i="2"/>
  <c r="K1101" i="2" s="1"/>
  <c r="L1098" i="2"/>
  <c r="K1098" i="2"/>
  <c r="E1095" i="2"/>
  <c r="L1095" i="2" s="1"/>
  <c r="D1095" i="2"/>
  <c r="K1095" i="2" s="1"/>
  <c r="E1094" i="2"/>
  <c r="D1094" i="2"/>
  <c r="K1094" i="2" s="1"/>
  <c r="E1093" i="2"/>
  <c r="L1093" i="2" s="1"/>
  <c r="D1093" i="2"/>
  <c r="E1092" i="2"/>
  <c r="D1092" i="2"/>
  <c r="K1092" i="2" s="1"/>
  <c r="E1091" i="2"/>
  <c r="L1091" i="2" s="1"/>
  <c r="D1091" i="2"/>
  <c r="K1091" i="2" s="1"/>
  <c r="E1090" i="2"/>
  <c r="D1090" i="2"/>
  <c r="K1090" i="2" s="1"/>
  <c r="E1089" i="2"/>
  <c r="L1089" i="2" s="1"/>
  <c r="D1089" i="2"/>
  <c r="E1088" i="2"/>
  <c r="D1088" i="2"/>
  <c r="K1088" i="2" s="1"/>
  <c r="E1087" i="2"/>
  <c r="L1087" i="2" s="1"/>
  <c r="D1087" i="2"/>
  <c r="K1087" i="2" s="1"/>
  <c r="E1086" i="2"/>
  <c r="D1086" i="2"/>
  <c r="K1086" i="2" s="1"/>
  <c r="E1079" i="2"/>
  <c r="L1079" i="2" s="1"/>
  <c r="D1079" i="2"/>
  <c r="E1078" i="2"/>
  <c r="D1078" i="2"/>
  <c r="K1078" i="2" s="1"/>
  <c r="E1075" i="2"/>
  <c r="L1075" i="2" s="1"/>
  <c r="D1075" i="2"/>
  <c r="E1073" i="2"/>
  <c r="D1073" i="2"/>
  <c r="K1073" i="2" s="1"/>
  <c r="E1072" i="2"/>
  <c r="L1072" i="2" s="1"/>
  <c r="D1072" i="2"/>
  <c r="K1072" i="2" s="1"/>
  <c r="E1071" i="2"/>
  <c r="D1071" i="2"/>
  <c r="K1071" i="2" s="1"/>
  <c r="E1070" i="2"/>
  <c r="L1070" i="2" s="1"/>
  <c r="D1070" i="2"/>
  <c r="K1070" i="2" s="1"/>
  <c r="E1068" i="2"/>
  <c r="D1068" i="2"/>
  <c r="K1068" i="2" s="1"/>
  <c r="E1066" i="2"/>
  <c r="L1066" i="2" s="1"/>
  <c r="D1066" i="2"/>
  <c r="K1066" i="2" s="1"/>
  <c r="L939" i="1"/>
  <c r="K939" i="1"/>
  <c r="L936" i="1"/>
  <c r="K936" i="1"/>
  <c r="L951" i="1"/>
  <c r="K951" i="1"/>
  <c r="L950" i="1"/>
  <c r="K950" i="1"/>
  <c r="L945" i="1"/>
  <c r="K945" i="1"/>
  <c r="L944" i="1"/>
  <c r="K944" i="1"/>
  <c r="L943" i="1"/>
  <c r="K943" i="1"/>
  <c r="L942" i="1"/>
  <c r="K942" i="1"/>
  <c r="L931" i="1"/>
  <c r="K931" i="1"/>
  <c r="L948" i="1"/>
  <c r="K948" i="1"/>
  <c r="L946" i="1"/>
  <c r="K946" i="1"/>
  <c r="L934" i="1"/>
  <c r="K934" i="1"/>
  <c r="L932" i="1"/>
  <c r="K932" i="1"/>
  <c r="L930" i="1"/>
  <c r="K930" i="1"/>
  <c r="L928" i="1"/>
  <c r="K928" i="1"/>
  <c r="E950" i="1"/>
  <c r="D950" i="1"/>
  <c r="E948" i="1"/>
  <c r="D948" i="1"/>
  <c r="E946" i="1"/>
  <c r="D946" i="1"/>
  <c r="E945" i="1"/>
  <c r="D945" i="1"/>
  <c r="E944" i="1"/>
  <c r="D944" i="1"/>
  <c r="E943" i="1"/>
  <c r="D943" i="1"/>
  <c r="E942" i="1"/>
  <c r="D942" i="1"/>
  <c r="E939" i="1"/>
  <c r="D939" i="1"/>
  <c r="E936" i="1"/>
  <c r="D936" i="1"/>
  <c r="E934" i="1"/>
  <c r="D934" i="1"/>
  <c r="E932" i="1"/>
  <c r="D932" i="1"/>
  <c r="E931" i="1"/>
  <c r="D931" i="1"/>
  <c r="E930" i="1"/>
  <c r="D930" i="1"/>
  <c r="E928" i="1"/>
  <c r="D928" i="1"/>
  <c r="L1068" i="2" l="1"/>
  <c r="L1071" i="2"/>
  <c r="L1073" i="2"/>
  <c r="L1078" i="2"/>
  <c r="L1086" i="2"/>
  <c r="L1088" i="2"/>
  <c r="L1090" i="2"/>
  <c r="L1092" i="2"/>
  <c r="L1094" i="2"/>
  <c r="K1064" i="2"/>
  <c r="L1064" i="2"/>
  <c r="K1065" i="2"/>
  <c r="L1065" i="2"/>
  <c r="E11" i="37" l="1"/>
  <c r="L11" i="37" s="1"/>
  <c r="D11" i="37"/>
  <c r="K11" i="37" s="1"/>
  <c r="E8" i="37"/>
  <c r="D8" i="37"/>
  <c r="K8" i="37" s="1"/>
  <c r="K7" i="36"/>
  <c r="L7" i="36"/>
  <c r="E7" i="36"/>
  <c r="D7" i="36"/>
  <c r="L8" i="37" l="1"/>
  <c r="J6" i="52"/>
  <c r="K6" i="52"/>
  <c r="E6" i="52"/>
  <c r="D6" i="52"/>
  <c r="K345" i="4" l="1"/>
  <c r="L345" i="4"/>
  <c r="L30" i="49" l="1"/>
  <c r="K30" i="49"/>
  <c r="L31" i="49"/>
  <c r="K31" i="49"/>
  <c r="L28" i="49"/>
  <c r="K28" i="49"/>
  <c r="L26" i="49"/>
  <c r="K26" i="49"/>
  <c r="E31" i="49"/>
  <c r="D31" i="49"/>
  <c r="E30" i="49"/>
  <c r="D30" i="49"/>
  <c r="E28" i="49"/>
  <c r="D28" i="49"/>
  <c r="E26" i="49"/>
  <c r="D26" i="49"/>
  <c r="L53" i="29"/>
  <c r="K53" i="29"/>
  <c r="K414" i="23"/>
  <c r="K410" i="23"/>
  <c r="L418" i="23"/>
  <c r="K418" i="23"/>
  <c r="E417" i="23"/>
  <c r="D417" i="23"/>
  <c r="K417" i="23" s="1"/>
  <c r="E416" i="23"/>
  <c r="D416" i="23"/>
  <c r="K416" i="23" s="1"/>
  <c r="E414" i="23"/>
  <c r="L414" i="23" s="1"/>
  <c r="D414" i="23"/>
  <c r="E412" i="23"/>
  <c r="D412" i="23"/>
  <c r="K412" i="23" s="1"/>
  <c r="E410" i="23"/>
  <c r="D410" i="23"/>
  <c r="E408" i="23"/>
  <c r="D408" i="23"/>
  <c r="K408" i="23" s="1"/>
  <c r="E406" i="23"/>
  <c r="D406" i="23"/>
  <c r="E405" i="23"/>
  <c r="D405" i="23"/>
  <c r="K405" i="23" s="1"/>
  <c r="E403" i="23"/>
  <c r="L403" i="23" s="1"/>
  <c r="D403" i="23"/>
  <c r="K403" i="23" s="1"/>
  <c r="E402" i="23"/>
  <c r="D402" i="23"/>
  <c r="K402" i="23" s="1"/>
  <c r="L402" i="23" l="1"/>
  <c r="L405" i="23"/>
  <c r="L408" i="23"/>
  <c r="L412" i="23"/>
  <c r="L406" i="23"/>
  <c r="L410" i="23"/>
  <c r="K406" i="23"/>
  <c r="L416" i="23"/>
  <c r="L417" i="23"/>
  <c r="K5" i="52"/>
  <c r="J5" i="52"/>
  <c r="E5" i="52"/>
  <c r="D5" i="52"/>
  <c r="J142" i="20"/>
  <c r="K142" i="20"/>
  <c r="E142" i="20"/>
  <c r="D142" i="20"/>
  <c r="E218" i="18"/>
  <c r="K218" i="18" s="1"/>
  <c r="D218" i="18"/>
  <c r="J218" i="18" s="1"/>
  <c r="K347" i="16"/>
  <c r="J347" i="16"/>
  <c r="K342" i="16"/>
  <c r="J342" i="16"/>
  <c r="K351" i="16"/>
  <c r="J351" i="16"/>
  <c r="K346" i="16"/>
  <c r="J346" i="16"/>
  <c r="K345" i="16"/>
  <c r="J345" i="16"/>
  <c r="E347" i="16"/>
  <c r="D347" i="16"/>
  <c r="E346" i="16"/>
  <c r="D346" i="16"/>
  <c r="E345" i="16"/>
  <c r="D345" i="16"/>
  <c r="E342" i="16"/>
  <c r="D342" i="16"/>
  <c r="L11" i="33"/>
  <c r="K11" i="33"/>
  <c r="L9" i="33"/>
  <c r="K9" i="33"/>
  <c r="L7" i="33"/>
  <c r="K7" i="33"/>
  <c r="E9" i="33"/>
  <c r="D9" i="33"/>
  <c r="E7" i="33"/>
  <c r="D7" i="33"/>
  <c r="L9" i="32"/>
  <c r="K9" i="32"/>
  <c r="E9" i="32"/>
  <c r="D9" i="32"/>
  <c r="L39" i="30"/>
  <c r="K39" i="30"/>
  <c r="L37" i="30"/>
  <c r="K37" i="30"/>
  <c r="E37" i="30"/>
  <c r="D37" i="30"/>
  <c r="L40" i="25"/>
  <c r="K40" i="25"/>
  <c r="E38" i="25"/>
  <c r="L38" i="25" s="1"/>
  <c r="D38" i="25"/>
  <c r="K38" i="25" s="1"/>
  <c r="E344" i="4"/>
  <c r="L344" i="4" s="1"/>
  <c r="D344" i="4"/>
  <c r="K344" i="4" s="1"/>
  <c r="E342" i="4"/>
  <c r="L342" i="4" s="1"/>
  <c r="D342" i="4"/>
  <c r="K342" i="4" s="1"/>
  <c r="L285" i="3"/>
  <c r="K285" i="3"/>
  <c r="L1062" i="2"/>
  <c r="K1062" i="2"/>
  <c r="E1063" i="2"/>
  <c r="D1063" i="2"/>
  <c r="K1063" i="2" s="1"/>
  <c r="E1061" i="2"/>
  <c r="L1061" i="2" s="1"/>
  <c r="D1061" i="2"/>
  <c r="K1061" i="2" s="1"/>
  <c r="E1058" i="2"/>
  <c r="D1058" i="2"/>
  <c r="K1058" i="2" s="1"/>
  <c r="E1057" i="2"/>
  <c r="D1057" i="2"/>
  <c r="K1057" i="2" s="1"/>
  <c r="E1054" i="2"/>
  <c r="D1054" i="2"/>
  <c r="K1054" i="2" s="1"/>
  <c r="E1052" i="2"/>
  <c r="D1052" i="2"/>
  <c r="K1052" i="2" s="1"/>
  <c r="E1049" i="2"/>
  <c r="D1049" i="2"/>
  <c r="K1049" i="2" s="1"/>
  <c r="E1048" i="2"/>
  <c r="D1048" i="2"/>
  <c r="K1048" i="2" s="1"/>
  <c r="E1047" i="2"/>
  <c r="D1047" i="2"/>
  <c r="K1047" i="2" s="1"/>
  <c r="L919" i="1"/>
  <c r="K919" i="1"/>
  <c r="L913" i="1"/>
  <c r="K913" i="1"/>
  <c r="L925" i="1"/>
  <c r="K925" i="1"/>
  <c r="L927" i="1"/>
  <c r="K927" i="1"/>
  <c r="L918" i="1"/>
  <c r="K918" i="1"/>
  <c r="L912" i="1"/>
  <c r="K912" i="1"/>
  <c r="L908" i="1"/>
  <c r="K908" i="1"/>
  <c r="E927" i="1"/>
  <c r="D927" i="1"/>
  <c r="E925" i="1"/>
  <c r="D925" i="1"/>
  <c r="E919" i="1"/>
  <c r="D919" i="1"/>
  <c r="E918" i="1"/>
  <c r="D918" i="1"/>
  <c r="E913" i="1"/>
  <c r="D913" i="1"/>
  <c r="E912" i="1"/>
  <c r="D912" i="1"/>
  <c r="E908" i="1"/>
  <c r="D908" i="1"/>
  <c r="L1052" i="2" l="1"/>
  <c r="L1057" i="2"/>
  <c r="L1047" i="2"/>
  <c r="L1049" i="2"/>
  <c r="L1054" i="2"/>
  <c r="L1058" i="2"/>
  <c r="L1063" i="2"/>
  <c r="L1048" i="2"/>
  <c r="K8" i="32"/>
  <c r="L8" i="32"/>
  <c r="E8" i="32"/>
  <c r="D8" i="32"/>
  <c r="K1012" i="2"/>
  <c r="L1012" i="2"/>
  <c r="L11" i="50" l="1"/>
  <c r="K11" i="50"/>
  <c r="L14" i="50"/>
  <c r="K14" i="50"/>
  <c r="E11" i="50"/>
  <c r="D11" i="50"/>
  <c r="L8" i="51" l="1"/>
  <c r="K8" i="51"/>
  <c r="L6" i="51"/>
  <c r="K6" i="51"/>
  <c r="E6" i="51"/>
  <c r="D6" i="51"/>
  <c r="L14" i="49"/>
  <c r="K14" i="49"/>
  <c r="L17" i="49"/>
  <c r="K17" i="49"/>
  <c r="L22" i="49"/>
  <c r="K22" i="49"/>
  <c r="E17" i="49"/>
  <c r="K21" i="49"/>
  <c r="E21" i="49"/>
  <c r="L21" i="49" s="1"/>
  <c r="D21" i="49"/>
  <c r="D17" i="49"/>
  <c r="E14" i="49"/>
  <c r="D14" i="49"/>
  <c r="L49" i="29"/>
  <c r="K49" i="29"/>
  <c r="E44" i="29"/>
  <c r="L44" i="29" s="1"/>
  <c r="D44" i="29"/>
  <c r="K44" i="29" s="1"/>
  <c r="E42" i="29"/>
  <c r="L42" i="29" s="1"/>
  <c r="D42" i="29"/>
  <c r="K42" i="29" s="1"/>
  <c r="L399" i="23"/>
  <c r="K399" i="23"/>
  <c r="E394" i="23"/>
  <c r="D394" i="23"/>
  <c r="K394" i="23" s="1"/>
  <c r="E393" i="23"/>
  <c r="D393" i="23"/>
  <c r="K393" i="23" s="1"/>
  <c r="E391" i="23"/>
  <c r="D391" i="23"/>
  <c r="K391" i="23" s="1"/>
  <c r="E389" i="23"/>
  <c r="D389" i="23"/>
  <c r="K389" i="23" s="1"/>
  <c r="E388" i="23"/>
  <c r="D388" i="23"/>
  <c r="K388" i="23" s="1"/>
  <c r="E387" i="23"/>
  <c r="D387" i="23"/>
  <c r="K387" i="23" s="1"/>
  <c r="E386" i="23"/>
  <c r="D386" i="23"/>
  <c r="K386" i="23" s="1"/>
  <c r="E382" i="23"/>
  <c r="D382" i="23"/>
  <c r="K382" i="23" s="1"/>
  <c r="E381" i="23"/>
  <c r="D381" i="23"/>
  <c r="K381" i="23" s="1"/>
  <c r="E379" i="23"/>
  <c r="D379" i="23"/>
  <c r="K379" i="23" s="1"/>
  <c r="E377" i="23"/>
  <c r="D377" i="23"/>
  <c r="K377" i="23" s="1"/>
  <c r="E375" i="23"/>
  <c r="D375" i="23"/>
  <c r="K375" i="23" s="1"/>
  <c r="E374" i="23"/>
  <c r="D374" i="23"/>
  <c r="K374" i="23" s="1"/>
  <c r="L379" i="23" l="1"/>
  <c r="L382" i="23"/>
  <c r="L389" i="23"/>
  <c r="L393" i="23"/>
  <c r="L375" i="23"/>
  <c r="L374" i="23"/>
  <c r="L377" i="23"/>
  <c r="L381" i="23"/>
  <c r="L386" i="23"/>
  <c r="L391" i="23"/>
  <c r="L394" i="23"/>
  <c r="L388" i="23"/>
  <c r="L387" i="23"/>
  <c r="J13" i="31"/>
  <c r="K13" i="31"/>
  <c r="J14" i="31"/>
  <c r="K14" i="31"/>
  <c r="J15" i="31"/>
  <c r="K15" i="31"/>
  <c r="J16" i="31"/>
  <c r="K16" i="31"/>
  <c r="J17" i="31"/>
  <c r="K17" i="31"/>
  <c r="J18" i="31"/>
  <c r="K18" i="31"/>
  <c r="E17" i="31"/>
  <c r="D17" i="31"/>
  <c r="E16" i="31"/>
  <c r="D16" i="31"/>
  <c r="E15" i="31"/>
  <c r="D15" i="31"/>
  <c r="E14" i="31"/>
  <c r="D14" i="31"/>
  <c r="E13" i="31"/>
  <c r="D13" i="31"/>
  <c r="J70" i="19"/>
  <c r="K70" i="19"/>
  <c r="J71" i="19"/>
  <c r="K71" i="19"/>
  <c r="E70" i="19"/>
  <c r="D70" i="19"/>
  <c r="K216" i="18"/>
  <c r="K213" i="18"/>
  <c r="K215" i="18"/>
  <c r="J215" i="18"/>
  <c r="E214" i="18"/>
  <c r="K214" i="18" s="1"/>
  <c r="D214" i="18"/>
  <c r="J214" i="18" s="1"/>
  <c r="E212" i="18"/>
  <c r="K212" i="18" s="1"/>
  <c r="D212" i="18"/>
  <c r="J212" i="18" s="1"/>
  <c r="E208" i="18"/>
  <c r="K208" i="18" s="1"/>
  <c r="D208" i="18"/>
  <c r="J208" i="18" s="1"/>
  <c r="E204" i="18"/>
  <c r="K204" i="18" s="1"/>
  <c r="D204" i="18"/>
  <c r="J204" i="18" s="1"/>
  <c r="J137" i="17"/>
  <c r="K137" i="17"/>
  <c r="E137" i="17"/>
  <c r="D137" i="17"/>
  <c r="K330" i="16"/>
  <c r="J330" i="16"/>
  <c r="K340" i="16"/>
  <c r="J340" i="16"/>
  <c r="K339" i="16"/>
  <c r="J339" i="16"/>
  <c r="K338" i="16"/>
  <c r="J338" i="16"/>
  <c r="K337" i="16"/>
  <c r="J337" i="16"/>
  <c r="K335" i="16"/>
  <c r="J335" i="16"/>
  <c r="K333" i="16"/>
  <c r="J333" i="16"/>
  <c r="J324" i="16"/>
  <c r="K324" i="16"/>
  <c r="E339" i="16"/>
  <c r="D339" i="16"/>
  <c r="E338" i="16"/>
  <c r="D338" i="16"/>
  <c r="E337" i="16"/>
  <c r="D337" i="16"/>
  <c r="E335" i="16"/>
  <c r="D335" i="16"/>
  <c r="E333" i="16"/>
  <c r="D333" i="16"/>
  <c r="E330" i="16"/>
  <c r="D330" i="16"/>
  <c r="E324" i="16"/>
  <c r="D324" i="16"/>
  <c r="E35" i="25" l="1"/>
  <c r="L35" i="25" s="1"/>
  <c r="D35" i="25"/>
  <c r="K35" i="25" s="1"/>
  <c r="E33" i="25"/>
  <c r="L33" i="25" s="1"/>
  <c r="D33" i="25"/>
  <c r="K33" i="25" s="1"/>
  <c r="L31" i="25"/>
  <c r="E31" i="25"/>
  <c r="D31" i="25"/>
  <c r="K31" i="25" s="1"/>
  <c r="L36" i="30"/>
  <c r="K36" i="30"/>
  <c r="L34" i="30"/>
  <c r="K34" i="30"/>
  <c r="L32" i="30"/>
  <c r="K32" i="30"/>
  <c r="E34" i="30"/>
  <c r="D34" i="30"/>
  <c r="E32" i="30"/>
  <c r="D32" i="30"/>
  <c r="L338" i="4"/>
  <c r="K338" i="4"/>
  <c r="E337" i="4"/>
  <c r="L337" i="4" s="1"/>
  <c r="D337" i="4"/>
  <c r="K337" i="4" s="1"/>
  <c r="L274" i="3"/>
  <c r="K274" i="3"/>
  <c r="L284" i="3"/>
  <c r="K284" i="3"/>
  <c r="L283" i="3"/>
  <c r="K283" i="3"/>
  <c r="L282" i="3"/>
  <c r="K282" i="3"/>
  <c r="L281" i="3"/>
  <c r="K281" i="3"/>
  <c r="L279" i="3"/>
  <c r="K279" i="3"/>
  <c r="L272" i="3"/>
  <c r="K272" i="3"/>
  <c r="E284" i="3"/>
  <c r="D284" i="3"/>
  <c r="E283" i="3"/>
  <c r="D283" i="3"/>
  <c r="E282" i="3"/>
  <c r="D282" i="3"/>
  <c r="E281" i="3"/>
  <c r="D281" i="3"/>
  <c r="E279" i="3"/>
  <c r="D279" i="3"/>
  <c r="E274" i="3"/>
  <c r="D274" i="3"/>
  <c r="E272" i="3"/>
  <c r="D272" i="3"/>
  <c r="K1027" i="2"/>
  <c r="K1042" i="2"/>
  <c r="L1046" i="2"/>
  <c r="K1046" i="2"/>
  <c r="E1044" i="2"/>
  <c r="L1044" i="2" s="1"/>
  <c r="D1044" i="2"/>
  <c r="K1044" i="2" s="1"/>
  <c r="E1042" i="2"/>
  <c r="L1042" i="2" s="1"/>
  <c r="D1042" i="2"/>
  <c r="E1038" i="2"/>
  <c r="L1038" i="2" s="1"/>
  <c r="D1038" i="2"/>
  <c r="K1038" i="2" s="1"/>
  <c r="E1036" i="2"/>
  <c r="L1036" i="2" s="1"/>
  <c r="D1036" i="2"/>
  <c r="K1036" i="2" s="1"/>
  <c r="E1035" i="2"/>
  <c r="D1035" i="2"/>
  <c r="K1035" i="2" s="1"/>
  <c r="E1032" i="2"/>
  <c r="L1032" i="2" s="1"/>
  <c r="D1032" i="2"/>
  <c r="K1032" i="2" s="1"/>
  <c r="E1027" i="2"/>
  <c r="L1027" i="2" s="1"/>
  <c r="D1027" i="2"/>
  <c r="E1022" i="2"/>
  <c r="L1022" i="2" s="1"/>
  <c r="D1022" i="2"/>
  <c r="K1022" i="2" s="1"/>
  <c r="E1019" i="2"/>
  <c r="L1019" i="2" s="1"/>
  <c r="D1019" i="2"/>
  <c r="K1019" i="2" s="1"/>
  <c r="E1018" i="2"/>
  <c r="L1018" i="2" s="1"/>
  <c r="D1018" i="2"/>
  <c r="K1018" i="2" s="1"/>
  <c r="E1014" i="2"/>
  <c r="D1014" i="2"/>
  <c r="K1014" i="2" s="1"/>
  <c r="L894" i="1"/>
  <c r="K894" i="1"/>
  <c r="L886" i="1"/>
  <c r="K886" i="1"/>
  <c r="L884" i="1"/>
  <c r="K905" i="1"/>
  <c r="K902" i="1"/>
  <c r="K882" i="1"/>
  <c r="L905" i="1"/>
  <c r="E904" i="1"/>
  <c r="L904" i="1" s="1"/>
  <c r="D904" i="1"/>
  <c r="K904" i="1" s="1"/>
  <c r="E902" i="1"/>
  <c r="L902" i="1" s="1"/>
  <c r="D902" i="1"/>
  <c r="E898" i="1"/>
  <c r="L898" i="1" s="1"/>
  <c r="D898" i="1"/>
  <c r="K898" i="1" s="1"/>
  <c r="E894" i="1"/>
  <c r="D894" i="1"/>
  <c r="E890" i="1"/>
  <c r="L890" i="1" s="1"/>
  <c r="D890" i="1"/>
  <c r="K890" i="1" s="1"/>
  <c r="E886" i="1"/>
  <c r="D886" i="1"/>
  <c r="E885" i="1"/>
  <c r="L885" i="1" s="1"/>
  <c r="D885" i="1"/>
  <c r="K885" i="1" s="1"/>
  <c r="E884" i="1"/>
  <c r="D884" i="1"/>
  <c r="K884" i="1" s="1"/>
  <c r="E883" i="1"/>
  <c r="D883" i="1"/>
  <c r="K883" i="1" s="1"/>
  <c r="E882" i="1"/>
  <c r="L882" i="1" s="1"/>
  <c r="D882" i="1"/>
  <c r="E879" i="1"/>
  <c r="D879" i="1"/>
  <c r="K879" i="1" s="1"/>
  <c r="L1014" i="2" l="1"/>
  <c r="L1035" i="2"/>
  <c r="L883" i="1"/>
  <c r="L879" i="1"/>
  <c r="E41" i="29" l="1"/>
  <c r="D41" i="29"/>
  <c r="L41" i="29" l="1"/>
  <c r="K41" i="29"/>
  <c r="E40" i="29"/>
  <c r="D40" i="29"/>
  <c r="K40" i="29" s="1"/>
  <c r="L368" i="23"/>
  <c r="K368" i="23"/>
  <c r="E367" i="23"/>
  <c r="L367" i="23" s="1"/>
  <c r="D367" i="23"/>
  <c r="K367" i="23" s="1"/>
  <c r="E364" i="23"/>
  <c r="D364" i="23"/>
  <c r="K364" i="23" s="1"/>
  <c r="L364" i="23" l="1"/>
  <c r="L40" i="29"/>
  <c r="L271" i="3"/>
  <c r="K271" i="3"/>
  <c r="E269" i="3"/>
  <c r="D269" i="3"/>
  <c r="K69" i="19" l="1"/>
  <c r="J69" i="19"/>
  <c r="K66" i="19"/>
  <c r="J66" i="19"/>
  <c r="E66" i="19"/>
  <c r="D66" i="19"/>
  <c r="K203" i="18"/>
  <c r="J203" i="18"/>
  <c r="K202" i="18"/>
  <c r="K200" i="18"/>
  <c r="K197" i="18"/>
  <c r="E201" i="18"/>
  <c r="D201" i="18"/>
  <c r="J201" i="18" s="1"/>
  <c r="E199" i="18"/>
  <c r="D199" i="18"/>
  <c r="J199" i="18" s="1"/>
  <c r="E198" i="18"/>
  <c r="D198" i="18"/>
  <c r="E196" i="18"/>
  <c r="D196" i="18"/>
  <c r="J196" i="18" s="1"/>
  <c r="K198" i="18" l="1"/>
  <c r="K196" i="18"/>
  <c r="K199" i="18"/>
  <c r="K201" i="18"/>
  <c r="J198" i="18"/>
  <c r="L32" i="25"/>
  <c r="K32" i="25"/>
  <c r="L26" i="30"/>
  <c r="K26" i="30"/>
  <c r="L31" i="30"/>
  <c r="K31" i="30"/>
  <c r="L30" i="30"/>
  <c r="K30" i="30"/>
  <c r="L29" i="30"/>
  <c r="K29" i="30"/>
  <c r="L24" i="30"/>
  <c r="K24" i="30"/>
  <c r="E30" i="30"/>
  <c r="D30" i="30"/>
  <c r="E29" i="30"/>
  <c r="D29" i="30"/>
  <c r="E26" i="30"/>
  <c r="D26" i="30"/>
  <c r="E24" i="30"/>
  <c r="D24" i="30"/>
  <c r="L335" i="4"/>
  <c r="K335" i="4"/>
  <c r="E333" i="4"/>
  <c r="L333" i="4" s="1"/>
  <c r="D333" i="4"/>
  <c r="K333" i="4" s="1"/>
  <c r="K269" i="3"/>
  <c r="K267" i="3"/>
  <c r="K265" i="3"/>
  <c r="L269" i="3"/>
  <c r="E267" i="3"/>
  <c r="D267" i="3"/>
  <c r="L267" i="3" s="1"/>
  <c r="E266" i="3"/>
  <c r="L266" i="3" s="1"/>
  <c r="D266" i="3"/>
  <c r="K266" i="3" s="1"/>
  <c r="E265" i="3"/>
  <c r="L265" i="3" s="1"/>
  <c r="D265" i="3"/>
  <c r="L1013" i="2"/>
  <c r="K1013" i="2"/>
  <c r="E1009" i="2"/>
  <c r="D1009" i="2"/>
  <c r="K1009" i="2" s="1"/>
  <c r="E1008" i="2"/>
  <c r="D1008" i="2"/>
  <c r="K874" i="1"/>
  <c r="K872" i="1"/>
  <c r="A874" i="1"/>
  <c r="L874" i="1" s="1"/>
  <c r="E872" i="1"/>
  <c r="L872" i="1" s="1"/>
  <c r="D872" i="1"/>
  <c r="E871" i="1"/>
  <c r="L871" i="1" s="1"/>
  <c r="D871" i="1"/>
  <c r="K871" i="1" s="1"/>
  <c r="E869" i="1"/>
  <c r="L869" i="1" s="1"/>
  <c r="D869" i="1"/>
  <c r="K869" i="1" s="1"/>
  <c r="E866" i="1"/>
  <c r="D866" i="1"/>
  <c r="L1009" i="2" l="1"/>
  <c r="E11" i="51"/>
  <c r="D11" i="51"/>
  <c r="B11" i="51"/>
  <c r="A11" i="51"/>
  <c r="E5" i="51"/>
  <c r="D5" i="51"/>
  <c r="K5" i="51"/>
  <c r="L5" i="51"/>
  <c r="L9" i="50" l="1"/>
  <c r="K9" i="50"/>
  <c r="L8" i="50"/>
  <c r="K8" i="50"/>
  <c r="L6" i="50"/>
  <c r="K6" i="50"/>
  <c r="L5" i="50"/>
  <c r="K5" i="50"/>
  <c r="E9" i="50"/>
  <c r="D9" i="50"/>
  <c r="E8" i="50"/>
  <c r="D8" i="50"/>
  <c r="E6" i="50"/>
  <c r="D6" i="50"/>
  <c r="E5" i="50"/>
  <c r="D5" i="50"/>
  <c r="E50" i="49"/>
  <c r="D50" i="49"/>
  <c r="B50" i="49"/>
  <c r="A50" i="49"/>
  <c r="L12" i="49"/>
  <c r="K12" i="49"/>
  <c r="L11" i="49"/>
  <c r="K11" i="49"/>
  <c r="K5" i="49"/>
  <c r="L5" i="49"/>
  <c r="K7" i="49"/>
  <c r="L7" i="49"/>
  <c r="E11" i="49"/>
  <c r="D11" i="49"/>
  <c r="E9" i="49"/>
  <c r="D9" i="49"/>
  <c r="E8" i="49"/>
  <c r="L8" i="49" s="1"/>
  <c r="D8" i="49"/>
  <c r="K8" i="49" s="1"/>
  <c r="E7" i="49"/>
  <c r="D7" i="49"/>
  <c r="E5" i="49"/>
  <c r="D5" i="49"/>
  <c r="L9" i="49"/>
  <c r="E38" i="29"/>
  <c r="L38" i="29" s="1"/>
  <c r="D38" i="29"/>
  <c r="K38" i="29" s="1"/>
  <c r="L361" i="23"/>
  <c r="K361" i="23"/>
  <c r="E360" i="23"/>
  <c r="D360" i="23"/>
  <c r="K360" i="23" s="1"/>
  <c r="E359" i="23"/>
  <c r="D359" i="23"/>
  <c r="K359" i="23" s="1"/>
  <c r="E351" i="23"/>
  <c r="D351" i="23"/>
  <c r="K351" i="23" s="1"/>
  <c r="E349" i="23"/>
  <c r="D349" i="23"/>
  <c r="K349" i="23" s="1"/>
  <c r="E347" i="23"/>
  <c r="D347" i="23"/>
  <c r="K347" i="23" s="1"/>
  <c r="L351" i="23" l="1"/>
  <c r="L347" i="23"/>
  <c r="L360" i="23"/>
  <c r="L349" i="23"/>
  <c r="L359" i="23"/>
  <c r="K9" i="49"/>
  <c r="J141" i="20" l="1"/>
  <c r="K141" i="20"/>
  <c r="K195" i="18"/>
  <c r="K190" i="18"/>
  <c r="K188" i="18"/>
  <c r="E194" i="18"/>
  <c r="D194" i="18"/>
  <c r="J194" i="18" s="1"/>
  <c r="E191" i="18"/>
  <c r="D191" i="18"/>
  <c r="J191" i="18" s="1"/>
  <c r="E189" i="18"/>
  <c r="D189" i="18"/>
  <c r="J189" i="18" s="1"/>
  <c r="E187" i="18"/>
  <c r="D187" i="18"/>
  <c r="J187" i="18" s="1"/>
  <c r="K323" i="16"/>
  <c r="J323" i="16"/>
  <c r="K320" i="16"/>
  <c r="J320" i="16"/>
  <c r="K321" i="16"/>
  <c r="J321" i="16"/>
  <c r="E321" i="16"/>
  <c r="D321" i="16"/>
  <c r="E320" i="16"/>
  <c r="D320" i="16"/>
  <c r="E318" i="16"/>
  <c r="K318" i="16" s="1"/>
  <c r="D318" i="16"/>
  <c r="J318" i="16" s="1"/>
  <c r="E316" i="16"/>
  <c r="K316" i="16" s="1"/>
  <c r="D316" i="16"/>
  <c r="J316" i="16" s="1"/>
  <c r="E314" i="16"/>
  <c r="K314" i="16" s="1"/>
  <c r="D314" i="16"/>
  <c r="J314" i="16" s="1"/>
  <c r="K29" i="25"/>
  <c r="E29" i="25"/>
  <c r="L29" i="25" s="1"/>
  <c r="D29" i="25"/>
  <c r="K194" i="18" l="1"/>
  <c r="K189" i="18"/>
  <c r="K187" i="18"/>
  <c r="K191" i="18"/>
  <c r="E332" i="4"/>
  <c r="D332" i="4"/>
  <c r="K332" i="4" s="1"/>
  <c r="E331" i="4"/>
  <c r="D331" i="4"/>
  <c r="K331" i="4" s="1"/>
  <c r="E330" i="4"/>
  <c r="D330" i="4"/>
  <c r="K330" i="4" s="1"/>
  <c r="E264" i="3"/>
  <c r="L264" i="3" s="1"/>
  <c r="D264" i="3"/>
  <c r="K264" i="3" s="1"/>
  <c r="E262" i="3"/>
  <c r="L262" i="3" s="1"/>
  <c r="D262" i="3"/>
  <c r="K262" i="3" s="1"/>
  <c r="L331" i="4" l="1"/>
  <c r="L332" i="4"/>
  <c r="L330" i="4"/>
  <c r="L1008" i="2"/>
  <c r="K1008" i="2"/>
  <c r="E1007" i="2"/>
  <c r="D1007" i="2"/>
  <c r="K1007" i="2" s="1"/>
  <c r="E1006" i="2"/>
  <c r="D1006" i="2"/>
  <c r="K1006" i="2" s="1"/>
  <c r="E1004" i="2"/>
  <c r="D1004" i="2"/>
  <c r="K1004" i="2" s="1"/>
  <c r="E1001" i="2"/>
  <c r="D1001" i="2"/>
  <c r="K1001" i="2" s="1"/>
  <c r="E999" i="2"/>
  <c r="D999" i="2"/>
  <c r="K999" i="2" s="1"/>
  <c r="E995" i="2"/>
  <c r="D995" i="2"/>
  <c r="K995" i="2" s="1"/>
  <c r="E993" i="2"/>
  <c r="D993" i="2"/>
  <c r="K993" i="2" s="1"/>
  <c r="L863" i="1"/>
  <c r="L857" i="1"/>
  <c r="L866" i="1"/>
  <c r="K866" i="1"/>
  <c r="L852" i="1"/>
  <c r="L844" i="1"/>
  <c r="E868" i="1"/>
  <c r="L868" i="1" s="1"/>
  <c r="D868" i="1"/>
  <c r="K868" i="1" s="1"/>
  <c r="E864" i="1"/>
  <c r="L864" i="1" s="1"/>
  <c r="D864" i="1"/>
  <c r="K864" i="1" s="1"/>
  <c r="E863" i="1"/>
  <c r="D863" i="1"/>
  <c r="K863" i="1" s="1"/>
  <c r="E860" i="1"/>
  <c r="L860" i="1" s="1"/>
  <c r="D860" i="1"/>
  <c r="K860" i="1" s="1"/>
  <c r="E857" i="1"/>
  <c r="D857" i="1"/>
  <c r="K857" i="1" s="1"/>
  <c r="E854" i="1"/>
  <c r="L854" i="1" s="1"/>
  <c r="D854" i="1"/>
  <c r="K854" i="1" s="1"/>
  <c r="E852" i="1"/>
  <c r="D852" i="1"/>
  <c r="K852" i="1" s="1"/>
  <c r="E850" i="1"/>
  <c r="L850" i="1" s="1"/>
  <c r="D850" i="1"/>
  <c r="K850" i="1" s="1"/>
  <c r="E844" i="1"/>
  <c r="D844" i="1"/>
  <c r="K844" i="1" s="1"/>
  <c r="E841" i="1"/>
  <c r="D841" i="1"/>
  <c r="L993" i="2" l="1"/>
  <c r="L999" i="2"/>
  <c r="L1004" i="2"/>
  <c r="L1007" i="2"/>
  <c r="L995" i="2"/>
  <c r="L1001" i="2"/>
  <c r="L1006" i="2"/>
  <c r="E10" i="47"/>
  <c r="D10" i="47"/>
  <c r="B10" i="47"/>
  <c r="A10" i="47"/>
  <c r="E5" i="47"/>
  <c r="D5" i="47"/>
  <c r="E7" i="46"/>
  <c r="D7" i="46"/>
  <c r="B7" i="46"/>
  <c r="A7" i="46"/>
  <c r="B18" i="41"/>
  <c r="K9" i="41"/>
  <c r="E18" i="41"/>
  <c r="D18" i="41"/>
  <c r="E9" i="41"/>
  <c r="D9" i="41"/>
  <c r="E6" i="41"/>
  <c r="D6" i="41"/>
  <c r="E7" i="39"/>
  <c r="D7" i="39"/>
  <c r="B7" i="39"/>
  <c r="A7" i="39"/>
  <c r="E7" i="38"/>
  <c r="D7" i="38"/>
  <c r="B7" i="38"/>
  <c r="A7" i="38"/>
  <c r="D6" i="45"/>
  <c r="E6" i="45"/>
  <c r="D6" i="44"/>
  <c r="E6" i="44"/>
  <c r="B13" i="42"/>
  <c r="A13" i="42"/>
  <c r="E20" i="36"/>
  <c r="D20" i="36"/>
  <c r="B20" i="36"/>
  <c r="A20" i="36"/>
  <c r="B18" i="40"/>
  <c r="A18" i="40"/>
  <c r="E7" i="40"/>
  <c r="D7" i="40"/>
  <c r="K7" i="40" s="1"/>
  <c r="E5" i="40"/>
  <c r="E18" i="40" s="1"/>
  <c r="D5" i="40"/>
  <c r="D6" i="36"/>
  <c r="K6" i="36" s="1"/>
  <c r="E6" i="36"/>
  <c r="D7" i="37"/>
  <c r="K7" i="37" s="1"/>
  <c r="E7" i="37"/>
  <c r="D8" i="41"/>
  <c r="K8" i="41" s="1"/>
  <c r="E8" i="41"/>
  <c r="D18" i="40" l="1"/>
  <c r="L5" i="47"/>
  <c r="K5" i="47"/>
  <c r="K5" i="46"/>
  <c r="L5" i="46"/>
  <c r="L9" i="41"/>
  <c r="A18" i="41"/>
  <c r="L7" i="40"/>
  <c r="L7" i="37"/>
  <c r="L6" i="36"/>
  <c r="L8" i="41"/>
  <c r="L6" i="44" l="1"/>
  <c r="K6" i="44"/>
  <c r="E5" i="44"/>
  <c r="L5" i="44" s="1"/>
  <c r="D5" i="44"/>
  <c r="K5" i="44" s="1"/>
  <c r="L6" i="45"/>
  <c r="K6" i="45"/>
  <c r="E5" i="45"/>
  <c r="D5" i="45"/>
  <c r="L6" i="43"/>
  <c r="K6" i="43"/>
  <c r="E5" i="43"/>
  <c r="D5" i="43"/>
  <c r="K6" i="42"/>
  <c r="L6" i="42"/>
  <c r="K5" i="43" l="1"/>
  <c r="K5" i="45"/>
  <c r="L5" i="45"/>
  <c r="L5" i="42"/>
  <c r="E13" i="42"/>
  <c r="K5" i="42"/>
  <c r="D13" i="42"/>
  <c r="L5" i="43"/>
  <c r="E6" i="37" l="1"/>
  <c r="D6" i="37"/>
  <c r="L6" i="41" l="1"/>
  <c r="K6" i="41"/>
  <c r="E5" i="41"/>
  <c r="D5" i="41"/>
  <c r="K5" i="41" s="1"/>
  <c r="K5" i="40"/>
  <c r="E5" i="39"/>
  <c r="L5" i="39" s="1"/>
  <c r="D5" i="39"/>
  <c r="K5" i="39" s="1"/>
  <c r="K5" i="38"/>
  <c r="E5" i="38"/>
  <c r="L5" i="38" s="1"/>
  <c r="D5" i="38"/>
  <c r="K6" i="37"/>
  <c r="L6" i="37"/>
  <c r="E5" i="37"/>
  <c r="E29" i="37" s="1"/>
  <c r="D5" i="37"/>
  <c r="E5" i="36"/>
  <c r="D5" i="36"/>
  <c r="K5" i="36" s="1"/>
  <c r="K5" i="37" l="1"/>
  <c r="D29" i="37"/>
  <c r="L5" i="41"/>
  <c r="L5" i="40"/>
  <c r="L5" i="37"/>
  <c r="L5" i="36"/>
  <c r="K37" i="29"/>
  <c r="L37" i="29"/>
  <c r="E35" i="29"/>
  <c r="D35" i="29"/>
  <c r="K35" i="29" s="1"/>
  <c r="E33" i="29"/>
  <c r="D33" i="29"/>
  <c r="K33" i="29" s="1"/>
  <c r="L344" i="23"/>
  <c r="K344" i="23"/>
  <c r="E339" i="23"/>
  <c r="D339" i="23"/>
  <c r="K339" i="23" s="1"/>
  <c r="E335" i="23"/>
  <c r="D335" i="23"/>
  <c r="K335" i="23" s="1"/>
  <c r="E334" i="23"/>
  <c r="D334" i="23"/>
  <c r="K334" i="23" s="1"/>
  <c r="E332" i="23"/>
  <c r="D332" i="23"/>
  <c r="K332" i="23" s="1"/>
  <c r="E331" i="23"/>
  <c r="D331" i="23"/>
  <c r="K331" i="23" s="1"/>
  <c r="E330" i="23"/>
  <c r="D330" i="23"/>
  <c r="K330" i="23" s="1"/>
  <c r="E329" i="23"/>
  <c r="D329" i="23"/>
  <c r="K329" i="23" s="1"/>
  <c r="E328" i="23"/>
  <c r="D328" i="23"/>
  <c r="K328" i="23" s="1"/>
  <c r="E327" i="23"/>
  <c r="D327" i="23"/>
  <c r="K327" i="23" s="1"/>
  <c r="L334" i="23" l="1"/>
  <c r="L35" i="29"/>
  <c r="L33" i="29"/>
  <c r="L335" i="23"/>
  <c r="L332" i="23"/>
  <c r="L339" i="23"/>
  <c r="L328" i="23"/>
  <c r="L330" i="23"/>
  <c r="L331" i="23"/>
  <c r="L327" i="23"/>
  <c r="L329" i="23"/>
  <c r="E12" i="31"/>
  <c r="K12" i="31" s="1"/>
  <c r="D12" i="31"/>
  <c r="J12" i="31" s="1"/>
  <c r="K140" i="20"/>
  <c r="J140" i="20"/>
  <c r="K139" i="20"/>
  <c r="J139" i="20"/>
  <c r="K137" i="20"/>
  <c r="J137" i="20"/>
  <c r="E140" i="20"/>
  <c r="D140" i="20"/>
  <c r="E139" i="20"/>
  <c r="D139" i="20"/>
  <c r="E137" i="20"/>
  <c r="D137" i="20"/>
  <c r="K63" i="19"/>
  <c r="J63" i="19"/>
  <c r="E63" i="19"/>
  <c r="D63" i="19"/>
  <c r="E186" i="18"/>
  <c r="D186" i="18"/>
  <c r="J186" i="18" s="1"/>
  <c r="E185" i="18"/>
  <c r="D185" i="18"/>
  <c r="K185" i="18" s="1"/>
  <c r="E184" i="18"/>
  <c r="D184" i="18"/>
  <c r="J184" i="18" s="1"/>
  <c r="E183" i="18"/>
  <c r="D183" i="18"/>
  <c r="J183" i="18" s="1"/>
  <c r="E182" i="18"/>
  <c r="D182" i="18"/>
  <c r="J182" i="18" s="1"/>
  <c r="K312" i="16"/>
  <c r="J312" i="16"/>
  <c r="J310" i="16"/>
  <c r="E310" i="16"/>
  <c r="K310" i="16" s="1"/>
  <c r="D310" i="16"/>
  <c r="E309" i="16"/>
  <c r="D309" i="16"/>
  <c r="J309" i="16" s="1"/>
  <c r="E308" i="16"/>
  <c r="D308" i="16"/>
  <c r="J308" i="16" s="1"/>
  <c r="E307" i="16"/>
  <c r="D307" i="16"/>
  <c r="J307" i="16" s="1"/>
  <c r="K183" i="18" l="1"/>
  <c r="K182" i="18"/>
  <c r="K184" i="18"/>
  <c r="K186" i="18"/>
  <c r="J185" i="18"/>
  <c r="K309" i="16"/>
  <c r="K307" i="16"/>
  <c r="K308" i="16"/>
  <c r="E23" i="30"/>
  <c r="D23" i="30"/>
  <c r="K23" i="30" s="1"/>
  <c r="E28" i="25"/>
  <c r="D28" i="25"/>
  <c r="K28" i="25" s="1"/>
  <c r="E26" i="25"/>
  <c r="D26" i="25"/>
  <c r="K26" i="25" s="1"/>
  <c r="L329" i="4"/>
  <c r="K329" i="4"/>
  <c r="L327" i="4"/>
  <c r="K327" i="4"/>
  <c r="E328" i="4"/>
  <c r="L328" i="4" s="1"/>
  <c r="D328" i="4"/>
  <c r="K328" i="4" s="1"/>
  <c r="E327" i="4"/>
  <c r="D327" i="4"/>
  <c r="E325" i="4"/>
  <c r="L325" i="4" s="1"/>
  <c r="D325" i="4"/>
  <c r="K325" i="4" s="1"/>
  <c r="L28" i="25" l="1"/>
  <c r="L26" i="25"/>
  <c r="L23" i="30"/>
  <c r="L260" i="3"/>
  <c r="K260" i="3"/>
  <c r="L256" i="3"/>
  <c r="K256" i="3"/>
  <c r="E260" i="3"/>
  <c r="D260" i="3"/>
  <c r="E258" i="3"/>
  <c r="L258" i="3" s="1"/>
  <c r="D258" i="3"/>
  <c r="K258" i="3" s="1"/>
  <c r="E256" i="3"/>
  <c r="D256" i="3"/>
  <c r="L992" i="2"/>
  <c r="K992" i="2"/>
  <c r="E990" i="2"/>
  <c r="D990" i="2"/>
  <c r="K990" i="2" s="1"/>
  <c r="E989" i="2"/>
  <c r="D989" i="2"/>
  <c r="K989" i="2" s="1"/>
  <c r="E988" i="2"/>
  <c r="D988" i="2"/>
  <c r="E984" i="2"/>
  <c r="D984" i="2"/>
  <c r="K984" i="2" s="1"/>
  <c r="E983" i="2"/>
  <c r="D983" i="2"/>
  <c r="K983" i="2" s="1"/>
  <c r="E981" i="2"/>
  <c r="D981" i="2"/>
  <c r="K981" i="2" s="1"/>
  <c r="E980" i="2"/>
  <c r="D980" i="2"/>
  <c r="K980" i="2" s="1"/>
  <c r="L833" i="1"/>
  <c r="L841" i="1"/>
  <c r="K841" i="1"/>
  <c r="E837" i="1"/>
  <c r="L837" i="1" s="1"/>
  <c r="D837" i="1"/>
  <c r="K837" i="1" s="1"/>
  <c r="E836" i="1"/>
  <c r="L836" i="1" s="1"/>
  <c r="D836" i="1"/>
  <c r="K836" i="1" s="1"/>
  <c r="E833" i="1"/>
  <c r="D833" i="1"/>
  <c r="K833" i="1" s="1"/>
  <c r="E832" i="1"/>
  <c r="L832" i="1" s="1"/>
  <c r="D832" i="1"/>
  <c r="K832" i="1" s="1"/>
  <c r="E829" i="1"/>
  <c r="L829" i="1" s="1"/>
  <c r="D829" i="1"/>
  <c r="K829" i="1" s="1"/>
  <c r="E826" i="1"/>
  <c r="L826" i="1" s="1"/>
  <c r="D826" i="1"/>
  <c r="K826" i="1" s="1"/>
  <c r="L988" i="2" l="1"/>
  <c r="L981" i="2"/>
  <c r="L989" i="2"/>
  <c r="L984" i="2"/>
  <c r="L980" i="2"/>
  <c r="L983" i="2"/>
  <c r="L990" i="2"/>
  <c r="K988" i="2"/>
  <c r="K135" i="20"/>
  <c r="J135" i="20"/>
  <c r="J133" i="20"/>
  <c r="E133" i="20"/>
  <c r="K133" i="20" s="1"/>
  <c r="D133" i="20"/>
  <c r="E129" i="20"/>
  <c r="K129" i="20" s="1"/>
  <c r="D129" i="20"/>
  <c r="J129" i="20" s="1"/>
  <c r="E128" i="20"/>
  <c r="D128" i="20"/>
  <c r="J62" i="19"/>
  <c r="K62" i="19"/>
  <c r="E61" i="19"/>
  <c r="D61" i="19"/>
  <c r="K179" i="18"/>
  <c r="J179" i="18"/>
  <c r="J135" i="17"/>
  <c r="K135" i="17"/>
  <c r="K306" i="16"/>
  <c r="J306" i="16"/>
  <c r="E303" i="16"/>
  <c r="D303" i="16"/>
  <c r="K25" i="25" l="1"/>
  <c r="L25" i="25"/>
  <c r="E24" i="25"/>
  <c r="D24" i="25"/>
  <c r="K24" i="25" s="1"/>
  <c r="L22" i="30"/>
  <c r="K22" i="30"/>
  <c r="L20" i="30"/>
  <c r="K20" i="30"/>
  <c r="E20" i="30"/>
  <c r="D20" i="30"/>
  <c r="L323" i="4"/>
  <c r="K323" i="4"/>
  <c r="E323" i="4"/>
  <c r="D323" i="4"/>
  <c r="E322" i="4"/>
  <c r="D322" i="4"/>
  <c r="K255" i="3"/>
  <c r="L255" i="3"/>
  <c r="E254" i="3"/>
  <c r="D254" i="3"/>
  <c r="K254" i="3" s="1"/>
  <c r="E252" i="3"/>
  <c r="L252" i="3" s="1"/>
  <c r="D252" i="3"/>
  <c r="K252" i="3" s="1"/>
  <c r="E251" i="3"/>
  <c r="D251" i="3"/>
  <c r="L979" i="2"/>
  <c r="K979" i="2"/>
  <c r="E978" i="2"/>
  <c r="D978" i="2"/>
  <c r="K978" i="2" s="1"/>
  <c r="E976" i="2"/>
  <c r="D976" i="2"/>
  <c r="K976" i="2" s="1"/>
  <c r="E975" i="2"/>
  <c r="D975" i="2"/>
  <c r="K975" i="2" s="1"/>
  <c r="E974" i="2"/>
  <c r="D974" i="2"/>
  <c r="K974" i="2" s="1"/>
  <c r="E972" i="2"/>
  <c r="D972" i="2"/>
  <c r="K972" i="2" s="1"/>
  <c r="E971" i="2"/>
  <c r="D971" i="2"/>
  <c r="K971" i="2" s="1"/>
  <c r="E965" i="2"/>
  <c r="D965" i="2"/>
  <c r="K965" i="2" s="1"/>
  <c r="E964" i="2"/>
  <c r="D964" i="2"/>
  <c r="K964" i="2" s="1"/>
  <c r="E963" i="2"/>
  <c r="D963" i="2"/>
  <c r="K963" i="2" s="1"/>
  <c r="E961" i="2"/>
  <c r="D961" i="2"/>
  <c r="K961" i="2" s="1"/>
  <c r="E960" i="2"/>
  <c r="D960" i="2"/>
  <c r="K960" i="2" s="1"/>
  <c r="E959" i="2"/>
  <c r="D959" i="2"/>
  <c r="E952" i="2"/>
  <c r="D952" i="2"/>
  <c r="L814" i="1"/>
  <c r="K814" i="1"/>
  <c r="L824" i="1"/>
  <c r="K824" i="1"/>
  <c r="E823" i="1"/>
  <c r="D823" i="1"/>
  <c r="K823" i="1" s="1"/>
  <c r="E819" i="1"/>
  <c r="L819" i="1" s="1"/>
  <c r="D819" i="1"/>
  <c r="K819" i="1" s="1"/>
  <c r="E818" i="1"/>
  <c r="L818" i="1" s="1"/>
  <c r="D818" i="1"/>
  <c r="K818" i="1" s="1"/>
  <c r="E814" i="1"/>
  <c r="D814" i="1"/>
  <c r="E810" i="1"/>
  <c r="L810" i="1" s="1"/>
  <c r="D810" i="1"/>
  <c r="K810" i="1" s="1"/>
  <c r="E809" i="1"/>
  <c r="L809" i="1" s="1"/>
  <c r="D809" i="1"/>
  <c r="K809" i="1" s="1"/>
  <c r="E806" i="1"/>
  <c r="D806" i="1"/>
  <c r="L960" i="2" l="1"/>
  <c r="L963" i="2"/>
  <c r="L965" i="2"/>
  <c r="L972" i="2"/>
  <c r="L823" i="1"/>
  <c r="L961" i="2"/>
  <c r="L964" i="2"/>
  <c r="L971" i="2"/>
  <c r="L974" i="2"/>
  <c r="L976" i="2"/>
  <c r="L975" i="2"/>
  <c r="L24" i="25"/>
  <c r="L254" i="3"/>
  <c r="L978" i="2"/>
  <c r="B69" i="29"/>
  <c r="A69" i="29"/>
  <c r="E36" i="29"/>
  <c r="D36" i="29"/>
  <c r="K36" i="29" s="1"/>
  <c r="E34" i="29"/>
  <c r="D34" i="29"/>
  <c r="K34" i="29" s="1"/>
  <c r="E31" i="29"/>
  <c r="D31" i="29"/>
  <c r="K31" i="29" s="1"/>
  <c r="E29" i="29"/>
  <c r="D29" i="29"/>
  <c r="K29" i="29" s="1"/>
  <c r="E28" i="29"/>
  <c r="D28" i="29"/>
  <c r="E338" i="23"/>
  <c r="D338" i="23"/>
  <c r="K338" i="23" s="1"/>
  <c r="L326" i="23"/>
  <c r="K326" i="23"/>
  <c r="E325" i="23"/>
  <c r="D325" i="23"/>
  <c r="K325" i="23" s="1"/>
  <c r="E323" i="23"/>
  <c r="D323" i="23"/>
  <c r="K323" i="23" s="1"/>
  <c r="E321" i="23"/>
  <c r="D321" i="23"/>
  <c r="K321" i="23" s="1"/>
  <c r="E317" i="23"/>
  <c r="D317" i="23"/>
  <c r="K317" i="23" s="1"/>
  <c r="E314" i="23"/>
  <c r="D314" i="23"/>
  <c r="L321" i="23" l="1"/>
  <c r="L34" i="29"/>
  <c r="L31" i="29"/>
  <c r="L36" i="29"/>
  <c r="L29" i="29"/>
  <c r="L317" i="23"/>
  <c r="L323" i="23"/>
  <c r="L338" i="23"/>
  <c r="L325" i="23"/>
  <c r="K28" i="29"/>
  <c r="L28" i="29"/>
  <c r="E27" i="29"/>
  <c r="D27" i="29"/>
  <c r="K27" i="29" s="1"/>
  <c r="E26" i="29"/>
  <c r="D26" i="29"/>
  <c r="K26" i="29" s="1"/>
  <c r="L314" i="23"/>
  <c r="K314" i="23"/>
  <c r="E315" i="23"/>
  <c r="D315" i="23"/>
  <c r="K315" i="23" s="1"/>
  <c r="E313" i="23"/>
  <c r="D313" i="23"/>
  <c r="K313" i="23" s="1"/>
  <c r="E311" i="23"/>
  <c r="D311" i="23"/>
  <c r="K311" i="23" s="1"/>
  <c r="E310" i="23"/>
  <c r="D310" i="23"/>
  <c r="K310" i="23" s="1"/>
  <c r="E306" i="23"/>
  <c r="D306" i="23"/>
  <c r="K306" i="23" s="1"/>
  <c r="E305" i="23"/>
  <c r="D305" i="23"/>
  <c r="K305" i="23" s="1"/>
  <c r="E304" i="23"/>
  <c r="D304" i="23"/>
  <c r="K304" i="23" s="1"/>
  <c r="E302" i="23"/>
  <c r="D302" i="23"/>
  <c r="K302" i="23" s="1"/>
  <c r="E300" i="23"/>
  <c r="D300" i="23"/>
  <c r="K300" i="23" s="1"/>
  <c r="E298" i="23"/>
  <c r="D298" i="23"/>
  <c r="K298" i="23" s="1"/>
  <c r="E296" i="23"/>
  <c r="D296" i="23"/>
  <c r="K296" i="23" s="1"/>
  <c r="E294" i="23"/>
  <c r="D294" i="23"/>
  <c r="K294" i="23" s="1"/>
  <c r="E293" i="23"/>
  <c r="D293" i="23"/>
  <c r="K293" i="23" s="1"/>
  <c r="E291" i="23"/>
  <c r="D291" i="23"/>
  <c r="K291" i="23" s="1"/>
  <c r="E11" i="31"/>
  <c r="K11" i="31" s="1"/>
  <c r="D11" i="31"/>
  <c r="J11" i="31" s="1"/>
  <c r="E10" i="31"/>
  <c r="D10" i="31"/>
  <c r="J10" i="31" s="1"/>
  <c r="K128" i="20"/>
  <c r="J128" i="20"/>
  <c r="K119" i="20"/>
  <c r="E127" i="20"/>
  <c r="K127" i="20" s="1"/>
  <c r="D127" i="20"/>
  <c r="J127" i="20" s="1"/>
  <c r="E126" i="20"/>
  <c r="K126" i="20" s="1"/>
  <c r="D126" i="20"/>
  <c r="J126" i="20" s="1"/>
  <c r="E125" i="20"/>
  <c r="K125" i="20" s="1"/>
  <c r="D125" i="20"/>
  <c r="J125" i="20" s="1"/>
  <c r="E122" i="20"/>
  <c r="K122" i="20" s="1"/>
  <c r="D122" i="20"/>
  <c r="J122" i="20" s="1"/>
  <c r="E121" i="20"/>
  <c r="K121" i="20" s="1"/>
  <c r="D121" i="20"/>
  <c r="J121" i="20" s="1"/>
  <c r="E119" i="20"/>
  <c r="D119" i="20"/>
  <c r="J119" i="20" s="1"/>
  <c r="E117" i="20"/>
  <c r="K117" i="20" s="1"/>
  <c r="D117" i="20"/>
  <c r="J117" i="20" s="1"/>
  <c r="J61" i="19"/>
  <c r="K61" i="19"/>
  <c r="E60" i="19"/>
  <c r="D60" i="19"/>
  <c r="J133" i="17"/>
  <c r="K133" i="17"/>
  <c r="J134" i="17"/>
  <c r="K134" i="17"/>
  <c r="E134" i="17"/>
  <c r="D134" i="17"/>
  <c r="E133" i="17"/>
  <c r="D133" i="17"/>
  <c r="K303" i="16"/>
  <c r="J303" i="16"/>
  <c r="J302" i="16"/>
  <c r="E302" i="16"/>
  <c r="K302" i="16" s="1"/>
  <c r="D302" i="16"/>
  <c r="E301" i="16"/>
  <c r="K301" i="16" s="1"/>
  <c r="D301" i="16"/>
  <c r="J301" i="16" s="1"/>
  <c r="E299" i="16"/>
  <c r="K299" i="16" s="1"/>
  <c r="D299" i="16"/>
  <c r="J299" i="16" s="1"/>
  <c r="L293" i="23" l="1"/>
  <c r="L300" i="23"/>
  <c r="L311" i="23"/>
  <c r="L296" i="23"/>
  <c r="L306" i="23"/>
  <c r="L315" i="23"/>
  <c r="L291" i="23"/>
  <c r="L294" i="23"/>
  <c r="L298" i="23"/>
  <c r="L302" i="23"/>
  <c r="L310" i="23"/>
  <c r="L313" i="23"/>
  <c r="L305" i="23"/>
  <c r="L304" i="23"/>
  <c r="K10" i="31"/>
  <c r="L26" i="29"/>
  <c r="L27" i="29"/>
  <c r="E6" i="33"/>
  <c r="L6" i="33" s="1"/>
  <c r="D6" i="33"/>
  <c r="K6" i="33"/>
  <c r="L6" i="32"/>
  <c r="K6" i="32"/>
  <c r="E6" i="32"/>
  <c r="D6" i="32"/>
  <c r="E23" i="25"/>
  <c r="D23" i="25"/>
  <c r="K23" i="25" s="1"/>
  <c r="E22" i="25"/>
  <c r="D22" i="25"/>
  <c r="K22" i="25" s="1"/>
  <c r="E21" i="25"/>
  <c r="D21" i="25"/>
  <c r="K21" i="25" s="1"/>
  <c r="L18" i="30"/>
  <c r="K18" i="30"/>
  <c r="L16" i="30"/>
  <c r="K16" i="30"/>
  <c r="E18" i="30"/>
  <c r="D18" i="30"/>
  <c r="E16" i="30"/>
  <c r="D16" i="30"/>
  <c r="L322" i="4"/>
  <c r="K322" i="4"/>
  <c r="E320" i="4"/>
  <c r="L320" i="4" s="1"/>
  <c r="D320" i="4"/>
  <c r="K320" i="4" s="1"/>
  <c r="E318" i="4"/>
  <c r="L318" i="4" s="1"/>
  <c r="D318" i="4"/>
  <c r="K318" i="4" s="1"/>
  <c r="L251" i="3"/>
  <c r="K251" i="3"/>
  <c r="E249" i="3"/>
  <c r="L249" i="3" s="1"/>
  <c r="D249" i="3"/>
  <c r="K249" i="3" s="1"/>
  <c r="E248" i="3"/>
  <c r="D248" i="3"/>
  <c r="L959" i="2"/>
  <c r="K959" i="2"/>
  <c r="L952" i="2"/>
  <c r="K952" i="2"/>
  <c r="E958" i="2"/>
  <c r="D958" i="2"/>
  <c r="K958" i="2" s="1"/>
  <c r="E956" i="2"/>
  <c r="D956" i="2"/>
  <c r="K956" i="2" s="1"/>
  <c r="E953" i="2"/>
  <c r="D953" i="2"/>
  <c r="K953" i="2" s="1"/>
  <c r="E950" i="2"/>
  <c r="D950" i="2"/>
  <c r="K950" i="2" s="1"/>
  <c r="E945" i="2"/>
  <c r="D945" i="2"/>
  <c r="K945" i="2" s="1"/>
  <c r="E942" i="2"/>
  <c r="D942" i="2"/>
  <c r="K942" i="2" s="1"/>
  <c r="L806" i="1"/>
  <c r="K806" i="1"/>
  <c r="K790" i="1"/>
  <c r="E805" i="1"/>
  <c r="L805" i="1" s="1"/>
  <c r="D805" i="1"/>
  <c r="K805" i="1" s="1"/>
  <c r="E803" i="1"/>
  <c r="L803" i="1" s="1"/>
  <c r="D803" i="1"/>
  <c r="K803" i="1" s="1"/>
  <c r="E798" i="1"/>
  <c r="L798" i="1" s="1"/>
  <c r="D798" i="1"/>
  <c r="K798" i="1" s="1"/>
  <c r="E795" i="1"/>
  <c r="L795" i="1" s="1"/>
  <c r="D795" i="1"/>
  <c r="K795" i="1" s="1"/>
  <c r="E792" i="1"/>
  <c r="L792" i="1" s="1"/>
  <c r="D792" i="1"/>
  <c r="K792" i="1" s="1"/>
  <c r="E790" i="1"/>
  <c r="L790" i="1" s="1"/>
  <c r="D790" i="1"/>
  <c r="E789" i="1"/>
  <c r="L789" i="1" s="1"/>
  <c r="D789" i="1"/>
  <c r="K789" i="1" s="1"/>
  <c r="E788" i="1"/>
  <c r="L788" i="1" s="1"/>
  <c r="D788" i="1"/>
  <c r="K788" i="1" s="1"/>
  <c r="E786" i="1"/>
  <c r="D786" i="1" a="1"/>
  <c r="D786" i="1" s="1"/>
  <c r="L953" i="2" l="1"/>
  <c r="L945" i="2"/>
  <c r="L958" i="2"/>
  <c r="L942" i="2"/>
  <c r="L22" i="25"/>
  <c r="L21" i="25"/>
  <c r="L23" i="25"/>
  <c r="L950" i="2"/>
  <c r="L956" i="2"/>
  <c r="K25" i="29"/>
  <c r="L25" i="29"/>
  <c r="E24" i="29"/>
  <c r="D24" i="29"/>
  <c r="K24" i="29" s="1"/>
  <c r="E288" i="23"/>
  <c r="D288" i="23"/>
  <c r="K288" i="23" s="1"/>
  <c r="E287" i="23"/>
  <c r="D287" i="23"/>
  <c r="K287" i="23" s="1"/>
  <c r="E285" i="23"/>
  <c r="D285" i="23"/>
  <c r="K285" i="23" s="1"/>
  <c r="E283" i="23"/>
  <c r="D283" i="23"/>
  <c r="K283" i="23" s="1"/>
  <c r="E282" i="23"/>
  <c r="D282" i="23"/>
  <c r="K282" i="23" s="1"/>
  <c r="E281" i="23"/>
  <c r="D281" i="23"/>
  <c r="K281" i="23" s="1"/>
  <c r="E279" i="23"/>
  <c r="D279" i="23"/>
  <c r="K279" i="23" s="1"/>
  <c r="E275" i="23"/>
  <c r="D275" i="23"/>
  <c r="K275" i="23" s="1"/>
  <c r="E273" i="23"/>
  <c r="D273" i="23"/>
  <c r="K273" i="23" s="1"/>
  <c r="L273" i="23" l="1"/>
  <c r="L288" i="23"/>
  <c r="L279" i="23"/>
  <c r="L282" i="23"/>
  <c r="L285" i="23"/>
  <c r="L275" i="23"/>
  <c r="L281" i="23"/>
  <c r="L283" i="23"/>
  <c r="L287" i="23"/>
  <c r="L24" i="29"/>
  <c r="J9" i="31"/>
  <c r="E9" i="31"/>
  <c r="K9" i="31" s="1"/>
  <c r="D9" i="31"/>
  <c r="E116" i="20"/>
  <c r="D116" i="20"/>
  <c r="J116" i="20" s="1"/>
  <c r="E115" i="20"/>
  <c r="D115" i="20"/>
  <c r="J115" i="20" s="1"/>
  <c r="J60" i="19"/>
  <c r="K60" i="19"/>
  <c r="E59" i="19"/>
  <c r="D59" i="19"/>
  <c r="J59" i="19" s="1"/>
  <c r="E58" i="19"/>
  <c r="K58" i="19" s="1"/>
  <c r="D58" i="19"/>
  <c r="J58" i="19" s="1"/>
  <c r="K178" i="18"/>
  <c r="K177" i="18"/>
  <c r="J177" i="18"/>
  <c r="K132" i="17"/>
  <c r="J132" i="17"/>
  <c r="E130" i="17"/>
  <c r="K130" i="17" s="1"/>
  <c r="D130" i="17"/>
  <c r="J130" i="17" s="1"/>
  <c r="E128" i="17"/>
  <c r="K128" i="17" s="1"/>
  <c r="D128" i="17"/>
  <c r="J128" i="17" s="1"/>
  <c r="E127" i="17"/>
  <c r="D127" i="17"/>
  <c r="J127" i="17" s="1"/>
  <c r="J296" i="16"/>
  <c r="K296" i="16"/>
  <c r="J297" i="16"/>
  <c r="K297" i="16"/>
  <c r="J298" i="16"/>
  <c r="K298" i="16"/>
  <c r="E295" i="16"/>
  <c r="D295" i="16"/>
  <c r="J295" i="16" s="1"/>
  <c r="E293" i="16"/>
  <c r="D293" i="16"/>
  <c r="J293" i="16" s="1"/>
  <c r="K293" i="16" l="1"/>
  <c r="K115" i="20"/>
  <c r="K116" i="20"/>
  <c r="K59" i="19"/>
  <c r="K295" i="16"/>
  <c r="K127" i="17"/>
  <c r="K14" i="30"/>
  <c r="L14" i="30"/>
  <c r="J15" i="30"/>
  <c r="E15" i="30" s="1"/>
  <c r="L15" i="30" s="1"/>
  <c r="I15" i="30"/>
  <c r="D15" i="30" s="1"/>
  <c r="K15" i="30" s="1"/>
  <c r="E14" i="30"/>
  <c r="D14" i="30"/>
  <c r="E20" i="25"/>
  <c r="D20" i="25"/>
  <c r="K20" i="25" s="1"/>
  <c r="E317" i="4"/>
  <c r="D317" i="4"/>
  <c r="K317" i="4" s="1"/>
  <c r="E316" i="4"/>
  <c r="D316" i="4"/>
  <c r="K316" i="4" s="1"/>
  <c r="K248" i="3"/>
  <c r="L248" i="3"/>
  <c r="E943" i="2"/>
  <c r="D943" i="2"/>
  <c r="K943" i="2" s="1"/>
  <c r="E940" i="2"/>
  <c r="D940" i="2"/>
  <c r="K940" i="2" s="1"/>
  <c r="E939" i="2"/>
  <c r="D939" i="2"/>
  <c r="K939" i="2" s="1"/>
  <c r="E937" i="2"/>
  <c r="D937" i="2"/>
  <c r="K937" i="2" s="1"/>
  <c r="E935" i="2"/>
  <c r="D935" i="2"/>
  <c r="K935" i="2" s="1"/>
  <c r="E934" i="2"/>
  <c r="D934" i="2"/>
  <c r="K934" i="2" s="1"/>
  <c r="E933" i="2"/>
  <c r="D933" i="2"/>
  <c r="K933" i="2" s="1"/>
  <c r="E931" i="2"/>
  <c r="D931" i="2"/>
  <c r="K931" i="2" s="1"/>
  <c r="L786" i="1"/>
  <c r="K786" i="1"/>
  <c r="E784" i="1"/>
  <c r="D784" i="1"/>
  <c r="K784" i="1" s="1"/>
  <c r="E782" i="1"/>
  <c r="L782" i="1" s="1"/>
  <c r="D782" i="1"/>
  <c r="K782" i="1" s="1"/>
  <c r="E779" i="1"/>
  <c r="D779" i="1"/>
  <c r="K779" i="1" s="1"/>
  <c r="E778" i="1"/>
  <c r="L778" i="1" s="1"/>
  <c r="D778" i="1"/>
  <c r="K778" i="1" s="1"/>
  <c r="E777" i="1"/>
  <c r="L777" i="1" s="1"/>
  <c r="D777" i="1"/>
  <c r="K777" i="1" s="1"/>
  <c r="E775" i="1"/>
  <c r="L775" i="1" s="1"/>
  <c r="D775" i="1"/>
  <c r="K775" i="1" s="1"/>
  <c r="E774" i="1"/>
  <c r="L774" i="1" s="1"/>
  <c r="D774" i="1"/>
  <c r="K774" i="1" s="1"/>
  <c r="E771" i="1"/>
  <c r="L771" i="1" s="1"/>
  <c r="D771" i="1"/>
  <c r="K771" i="1" s="1"/>
  <c r="E767" i="1"/>
  <c r="L767" i="1" s="1"/>
  <c r="D767" i="1"/>
  <c r="K767" i="1" s="1"/>
  <c r="E766" i="1"/>
  <c r="L766" i="1" s="1"/>
  <c r="D766" i="1"/>
  <c r="K766" i="1" s="1"/>
  <c r="L779" i="1" l="1"/>
  <c r="L20" i="25"/>
  <c r="L317" i="4"/>
  <c r="L935" i="2"/>
  <c r="L931" i="2"/>
  <c r="L939" i="2"/>
  <c r="L943" i="2"/>
  <c r="L316" i="4"/>
  <c r="L937" i="2"/>
  <c r="L940" i="2"/>
  <c r="L784" i="1"/>
  <c r="L934" i="2"/>
  <c r="L933" i="2"/>
  <c r="E23" i="29"/>
  <c r="D23" i="29"/>
  <c r="K23" i="29" s="1"/>
  <c r="E22" i="29"/>
  <c r="D22" i="29"/>
  <c r="K22" i="29" s="1"/>
  <c r="E21" i="29"/>
  <c r="D21" i="29"/>
  <c r="L271" i="23"/>
  <c r="K271" i="23"/>
  <c r="E269" i="23"/>
  <c r="D269" i="23"/>
  <c r="K269" i="23" s="1"/>
  <c r="E267" i="23"/>
  <c r="D267" i="23"/>
  <c r="K267" i="23" s="1"/>
  <c r="E262" i="23"/>
  <c r="D262" i="23"/>
  <c r="K262" i="23" s="1"/>
  <c r="E261" i="23"/>
  <c r="D261" i="23"/>
  <c r="K261" i="23" s="1"/>
  <c r="E259" i="23"/>
  <c r="D259" i="23"/>
  <c r="K259" i="23" s="1"/>
  <c r="E256" i="23"/>
  <c r="D256" i="23"/>
  <c r="K256" i="23" s="1"/>
  <c r="L259" i="23" l="1"/>
  <c r="L256" i="23"/>
  <c r="L261" i="23"/>
  <c r="L267" i="23"/>
  <c r="L269" i="23"/>
  <c r="L23" i="29"/>
  <c r="L22" i="29"/>
  <c r="L262" i="23"/>
  <c r="J8" i="31"/>
  <c r="K8" i="31"/>
  <c r="E7" i="31"/>
  <c r="D7" i="31"/>
  <c r="J7" i="31" s="1"/>
  <c r="E6" i="31"/>
  <c r="D6" i="31"/>
  <c r="J6" i="31" s="1"/>
  <c r="E114" i="20"/>
  <c r="D114" i="20"/>
  <c r="J114" i="20" s="1"/>
  <c r="E112" i="20"/>
  <c r="D112" i="20"/>
  <c r="E176" i="18"/>
  <c r="D176" i="18"/>
  <c r="J176" i="18" s="1"/>
  <c r="E173" i="18"/>
  <c r="D173" i="18"/>
  <c r="J173" i="18" s="1"/>
  <c r="E172" i="18"/>
  <c r="D172" i="18"/>
  <c r="J172" i="18" s="1"/>
  <c r="E171" i="18"/>
  <c r="D171" i="18"/>
  <c r="J171" i="18" s="1"/>
  <c r="E170" i="18"/>
  <c r="D170" i="18"/>
  <c r="J170" i="18" s="1"/>
  <c r="E167" i="18"/>
  <c r="D167" i="18"/>
  <c r="J167" i="18" s="1"/>
  <c r="E166" i="18"/>
  <c r="D166" i="18"/>
  <c r="J166" i="18" s="1"/>
  <c r="E165" i="18"/>
  <c r="D165" i="18"/>
  <c r="J165" i="18" s="1"/>
  <c r="J123" i="17"/>
  <c r="E126" i="17"/>
  <c r="K126" i="17" s="1"/>
  <c r="D126" i="17"/>
  <c r="J126" i="17" s="1"/>
  <c r="E124" i="17"/>
  <c r="K124" i="17" s="1"/>
  <c r="D124" i="17"/>
  <c r="J124" i="17" s="1"/>
  <c r="E123" i="17"/>
  <c r="K123" i="17" s="1"/>
  <c r="D123" i="17"/>
  <c r="K292" i="16"/>
  <c r="J292" i="16"/>
  <c r="E291" i="16"/>
  <c r="D291" i="16"/>
  <c r="J291" i="16" s="1"/>
  <c r="E289" i="16"/>
  <c r="K289" i="16" s="1"/>
  <c r="D289" i="16"/>
  <c r="J289" i="16" s="1"/>
  <c r="E288" i="16"/>
  <c r="D288" i="16"/>
  <c r="J288" i="16" s="1"/>
  <c r="E286" i="16"/>
  <c r="K286" i="16" s="1"/>
  <c r="D286" i="16"/>
  <c r="J286" i="16" s="1"/>
  <c r="E285" i="16"/>
  <c r="D285" i="16"/>
  <c r="J285" i="16" s="1"/>
  <c r="E283" i="16"/>
  <c r="K283" i="16" s="1"/>
  <c r="D283" i="16"/>
  <c r="J283" i="16" s="1"/>
  <c r="E281" i="16"/>
  <c r="D281" i="16"/>
  <c r="J281" i="16" s="1"/>
  <c r="E278" i="16"/>
  <c r="D278" i="16"/>
  <c r="K166" i="18" l="1"/>
  <c r="K171" i="18"/>
  <c r="K173" i="18"/>
  <c r="K165" i="18"/>
  <c r="K167" i="18"/>
  <c r="K170" i="18"/>
  <c r="K172" i="18"/>
  <c r="K176" i="18"/>
  <c r="K281" i="16"/>
  <c r="K285" i="16"/>
  <c r="K291" i="16"/>
  <c r="K6" i="31"/>
  <c r="K114" i="20"/>
  <c r="K288" i="16"/>
  <c r="K7" i="31"/>
  <c r="K42" i="15"/>
  <c r="L42" i="15"/>
  <c r="E42" i="15"/>
  <c r="D42" i="15"/>
  <c r="B97" i="14"/>
  <c r="L97" i="14" s="1"/>
  <c r="A97" i="14"/>
  <c r="K97" i="14" s="1"/>
  <c r="E96" i="14"/>
  <c r="L96" i="14" s="1"/>
  <c r="D96" i="14"/>
  <c r="K96" i="14" s="1"/>
  <c r="L96" i="9"/>
  <c r="K96" i="9"/>
  <c r="E96" i="9"/>
  <c r="D96" i="9"/>
  <c r="K145" i="8"/>
  <c r="L145" i="8"/>
  <c r="E144" i="8"/>
  <c r="D144" i="8"/>
  <c r="K144" i="8" s="1"/>
  <c r="L144" i="8" l="1"/>
  <c r="E19" i="25"/>
  <c r="D19" i="25"/>
  <c r="K19" i="25" s="1"/>
  <c r="E18" i="25"/>
  <c r="D18" i="25"/>
  <c r="K18" i="25" s="1"/>
  <c r="E17" i="25"/>
  <c r="D17" i="25"/>
  <c r="K17" i="25" s="1"/>
  <c r="E16" i="25"/>
  <c r="L16" i="25" s="1"/>
  <c r="D16" i="25"/>
  <c r="K16" i="25" s="1"/>
  <c r="E15" i="25"/>
  <c r="D15" i="25"/>
  <c r="E314" i="4"/>
  <c r="L314" i="4" s="1"/>
  <c r="D314" i="4"/>
  <c r="K314" i="4" s="1"/>
  <c r="E313" i="4"/>
  <c r="D313" i="4"/>
  <c r="K313" i="4" s="1"/>
  <c r="K245" i="3"/>
  <c r="L245" i="3"/>
  <c r="K246" i="3"/>
  <c r="L246" i="3"/>
  <c r="K247" i="3"/>
  <c r="L247" i="3"/>
  <c r="E244" i="3"/>
  <c r="D244" i="3"/>
  <c r="K244" i="3" s="1"/>
  <c r="E243" i="3"/>
  <c r="D243" i="3"/>
  <c r="K243" i="3" s="1"/>
  <c r="E242" i="3"/>
  <c r="D242" i="3"/>
  <c r="L932" i="2"/>
  <c r="K932" i="2"/>
  <c r="E930" i="2"/>
  <c r="D930" i="2"/>
  <c r="K930" i="2" s="1"/>
  <c r="E928" i="2"/>
  <c r="D928" i="2"/>
  <c r="K928" i="2" s="1"/>
  <c r="E927" i="2"/>
  <c r="D927" i="2"/>
  <c r="K927" i="2" s="1"/>
  <c r="E926" i="2"/>
  <c r="D926" i="2"/>
  <c r="K926" i="2" s="1"/>
  <c r="E922" i="2"/>
  <c r="D922" i="2"/>
  <c r="K922" i="2" s="1"/>
  <c r="E921" i="2"/>
  <c r="D921" i="2"/>
  <c r="K921" i="2" s="1"/>
  <c r="E920" i="2"/>
  <c r="D920" i="2"/>
  <c r="K920" i="2" s="1"/>
  <c r="E917" i="2"/>
  <c r="D917" i="2"/>
  <c r="K917" i="2" s="1"/>
  <c r="E916" i="2"/>
  <c r="D916" i="2"/>
  <c r="K916" i="2" s="1"/>
  <c r="E915" i="2"/>
  <c r="D915" i="2"/>
  <c r="K915" i="2" s="1"/>
  <c r="E913" i="2"/>
  <c r="D913" i="2"/>
  <c r="K913" i="2" s="1"/>
  <c r="E908" i="2"/>
  <c r="D908" i="2"/>
  <c r="E906" i="2"/>
  <c r="D906" i="2"/>
  <c r="K906" i="2" s="1"/>
  <c r="E899" i="2"/>
  <c r="D899" i="2"/>
  <c r="E765" i="1"/>
  <c r="D765" i="1"/>
  <c r="K765" i="1" s="1"/>
  <c r="E762" i="1"/>
  <c r="L762" i="1" s="1"/>
  <c r="D762" i="1"/>
  <c r="K762" i="1" s="1"/>
  <c r="E760" i="1"/>
  <c r="D760" i="1"/>
  <c r="K760" i="1" s="1"/>
  <c r="E759" i="1"/>
  <c r="L759" i="1" s="1"/>
  <c r="D759" i="1"/>
  <c r="K759" i="1" s="1"/>
  <c r="E757" i="1"/>
  <c r="D757" i="1"/>
  <c r="K757" i="1" s="1"/>
  <c r="E756" i="1"/>
  <c r="D756" i="1"/>
  <c r="K756" i="1" s="1"/>
  <c r="E755" i="1"/>
  <c r="D755" i="1"/>
  <c r="K755" i="1" s="1"/>
  <c r="E754" i="1"/>
  <c r="L754" i="1" s="1"/>
  <c r="D754" i="1"/>
  <c r="K754" i="1" s="1"/>
  <c r="E752" i="1"/>
  <c r="D752" i="1"/>
  <c r="K752" i="1" s="1"/>
  <c r="L18" i="25" l="1"/>
  <c r="L17" i="25"/>
  <c r="L19" i="25"/>
  <c r="L244" i="3"/>
  <c r="L313" i="4"/>
  <c r="L752" i="1"/>
  <c r="L755" i="1"/>
  <c r="L757" i="1"/>
  <c r="L760" i="1"/>
  <c r="L765" i="1"/>
  <c r="L243" i="3"/>
  <c r="L915" i="2"/>
  <c r="L917" i="2"/>
  <c r="L921" i="2"/>
  <c r="L926" i="2"/>
  <c r="L928" i="2"/>
  <c r="L906" i="2"/>
  <c r="L916" i="2"/>
  <c r="L920" i="2"/>
  <c r="L927" i="2"/>
  <c r="L913" i="2"/>
  <c r="L922" i="2"/>
  <c r="L930" i="2"/>
  <c r="L899" i="2"/>
  <c r="L756" i="1"/>
  <c r="K899" i="2"/>
  <c r="E312" i="4" l="1"/>
  <c r="D312" i="4"/>
  <c r="K312" i="4" s="1"/>
  <c r="L312" i="4" l="1"/>
  <c r="E41" i="15"/>
  <c r="D41" i="15"/>
  <c r="K41" i="15" s="1"/>
  <c r="L41" i="15" l="1"/>
  <c r="K251" i="23"/>
  <c r="L251" i="23"/>
  <c r="E258" i="23" l="1"/>
  <c r="D258" i="23"/>
  <c r="E143" i="8" l="1"/>
  <c r="D143" i="8"/>
  <c r="J168" i="18" l="1"/>
  <c r="K168" i="18"/>
  <c r="J169" i="18"/>
  <c r="K169" i="18"/>
  <c r="E164" i="18" l="1"/>
  <c r="D164" i="18"/>
  <c r="K910" i="2" l="1"/>
  <c r="L910" i="2"/>
  <c r="E912" i="2"/>
  <c r="D912" i="2"/>
  <c r="E750" i="1"/>
  <c r="D750" i="1"/>
  <c r="E751" i="1"/>
  <c r="D751" i="1"/>
  <c r="K751" i="1" s="1"/>
  <c r="K745" i="1"/>
  <c r="L745" i="1"/>
  <c r="E744" i="1"/>
  <c r="D744" i="1"/>
  <c r="L751" i="1" l="1"/>
  <c r="K143" i="8" l="1"/>
  <c r="L143" i="8"/>
  <c r="E280" i="16" l="1"/>
  <c r="D280" i="16"/>
  <c r="K242" i="3" l="1"/>
  <c r="L242" i="3"/>
  <c r="E241" i="3"/>
  <c r="D241" i="3"/>
  <c r="L912" i="2"/>
  <c r="K912" i="2"/>
  <c r="L911" i="2"/>
  <c r="K911" i="2"/>
  <c r="E896" i="2"/>
  <c r="D896" i="2"/>
  <c r="E747" i="1" l="1"/>
  <c r="D747" i="1"/>
  <c r="K21" i="29" l="1"/>
  <c r="L21" i="29"/>
  <c r="L258" i="23"/>
  <c r="K258" i="23"/>
  <c r="E257" i="23"/>
  <c r="D257" i="23"/>
  <c r="K257" i="23" s="1"/>
  <c r="E254" i="23"/>
  <c r="D254" i="23"/>
  <c r="K254" i="23" s="1"/>
  <c r="E252" i="23"/>
  <c r="D252" i="23"/>
  <c r="K252" i="23" s="1"/>
  <c r="E250" i="23"/>
  <c r="D250" i="23"/>
  <c r="K250" i="23" s="1"/>
  <c r="E249" i="23"/>
  <c r="D249" i="23"/>
  <c r="K249" i="23" s="1"/>
  <c r="E248" i="23"/>
  <c r="D248" i="23"/>
  <c r="K248" i="23" s="1"/>
  <c r="L252" i="23" l="1"/>
  <c r="L257" i="23"/>
  <c r="L254" i="23"/>
  <c r="L249" i="23"/>
  <c r="L250" i="23"/>
  <c r="L248" i="23"/>
  <c r="K112" i="20"/>
  <c r="J112" i="20"/>
  <c r="K163" i="18"/>
  <c r="K164" i="18"/>
  <c r="J164" i="18"/>
  <c r="E162" i="18"/>
  <c r="D162" i="18"/>
  <c r="J162" i="18" s="1"/>
  <c r="E161" i="18"/>
  <c r="D161" i="18"/>
  <c r="J161" i="18" s="1"/>
  <c r="E160" i="18"/>
  <c r="D160" i="18"/>
  <c r="J160" i="18" s="1"/>
  <c r="J122" i="17"/>
  <c r="K122" i="17"/>
  <c r="E122" i="17"/>
  <c r="D122" i="17"/>
  <c r="K278" i="16"/>
  <c r="J278" i="16"/>
  <c r="K280" i="16"/>
  <c r="J280" i="16"/>
  <c r="K276" i="16"/>
  <c r="E277" i="16"/>
  <c r="D277" i="16"/>
  <c r="J277" i="16" s="1"/>
  <c r="E276" i="16"/>
  <c r="D276" i="16"/>
  <c r="J276" i="16" s="1"/>
  <c r="K162" i="18" l="1"/>
  <c r="K277" i="16"/>
  <c r="K161" i="18"/>
  <c r="K160" i="18"/>
  <c r="E94" i="14"/>
  <c r="L94" i="14" s="1"/>
  <c r="D94" i="14"/>
  <c r="K94" i="14" s="1"/>
  <c r="E92" i="14"/>
  <c r="L92" i="14" s="1"/>
  <c r="D92" i="14"/>
  <c r="K92" i="14" s="1"/>
  <c r="E95" i="9"/>
  <c r="L95" i="9" s="1"/>
  <c r="D95" i="9"/>
  <c r="K95" i="9" s="1"/>
  <c r="E93" i="9"/>
  <c r="L93" i="9" s="1"/>
  <c r="D93" i="9"/>
  <c r="K93" i="9" s="1"/>
  <c r="L140" i="8"/>
  <c r="K140" i="8"/>
  <c r="E142" i="8"/>
  <c r="L142" i="8" s="1"/>
  <c r="D142" i="8"/>
  <c r="K142" i="8" s="1"/>
  <c r="E140" i="8"/>
  <c r="D140" i="8"/>
  <c r="E137" i="8"/>
  <c r="L137" i="8" s="1"/>
  <c r="D137" i="8"/>
  <c r="K137" i="8" s="1"/>
  <c r="E310" i="4" l="1"/>
  <c r="D310" i="4"/>
  <c r="K310" i="4" s="1"/>
  <c r="E308" i="4"/>
  <c r="D308" i="4"/>
  <c r="K308" i="4" s="1"/>
  <c r="L241" i="3"/>
  <c r="K241" i="3"/>
  <c r="E240" i="3"/>
  <c r="L240" i="3" s="1"/>
  <c r="D240" i="3"/>
  <c r="K240" i="3" s="1"/>
  <c r="L896" i="2"/>
  <c r="K896" i="2"/>
  <c r="L908" i="2"/>
  <c r="K908" i="2"/>
  <c r="E905" i="2"/>
  <c r="D905" i="2"/>
  <c r="K905" i="2" s="1"/>
  <c r="E902" i="2"/>
  <c r="D902" i="2"/>
  <c r="K902" i="2" s="1"/>
  <c r="E901" i="2"/>
  <c r="D901" i="2"/>
  <c r="K901" i="2" s="1"/>
  <c r="E900" i="2"/>
  <c r="D900" i="2"/>
  <c r="K900" i="2" s="1"/>
  <c r="E895" i="2"/>
  <c r="D895" i="2"/>
  <c r="K895" i="2" s="1"/>
  <c r="E893" i="2"/>
  <c r="D893" i="2"/>
  <c r="K893" i="2" s="1"/>
  <c r="E892" i="2"/>
  <c r="D892" i="2"/>
  <c r="K892" i="2" s="1"/>
  <c r="E891" i="2"/>
  <c r="D891" i="2"/>
  <c r="K891" i="2" s="1"/>
  <c r="E890" i="2"/>
  <c r="D890" i="2"/>
  <c r="K890" i="2" s="1"/>
  <c r="E889" i="2"/>
  <c r="D889" i="2"/>
  <c r="K889" i="2" s="1"/>
  <c r="E888" i="2"/>
  <c r="D888" i="2"/>
  <c r="K888" i="2" s="1"/>
  <c r="E886" i="2"/>
  <c r="D886" i="2"/>
  <c r="K886" i="2" s="1"/>
  <c r="E885" i="2"/>
  <c r="D885" i="2"/>
  <c r="K885" i="2" s="1"/>
  <c r="E884" i="2"/>
  <c r="D884" i="2"/>
  <c r="K884" i="2" s="1"/>
  <c r="E882" i="2"/>
  <c r="D882" i="2"/>
  <c r="K882" i="2" s="1"/>
  <c r="L750" i="1"/>
  <c r="K750" i="1"/>
  <c r="L747" i="1"/>
  <c r="K747" i="1"/>
  <c r="E746" i="1"/>
  <c r="D746" i="1"/>
  <c r="K746" i="1" s="1"/>
  <c r="L744" i="1"/>
  <c r="K744" i="1"/>
  <c r="E741" i="1"/>
  <c r="D741" i="1"/>
  <c r="K741" i="1" s="1"/>
  <c r="E739" i="1"/>
  <c r="D739" i="1"/>
  <c r="K739" i="1" s="1"/>
  <c r="E737" i="1"/>
  <c r="D737" i="1"/>
  <c r="K737" i="1" s="1"/>
  <c r="E734" i="1"/>
  <c r="D734" i="1"/>
  <c r="K734" i="1" s="1"/>
  <c r="L308" i="4" l="1"/>
  <c r="L310" i="4"/>
  <c r="L746" i="1"/>
  <c r="L884" i="2"/>
  <c r="L886" i="2"/>
  <c r="L889" i="2"/>
  <c r="L891" i="2"/>
  <c r="L900" i="2"/>
  <c r="L902" i="2"/>
  <c r="L893" i="2"/>
  <c r="L882" i="2"/>
  <c r="L885" i="2"/>
  <c r="L888" i="2"/>
  <c r="L890" i="2"/>
  <c r="L892" i="2"/>
  <c r="L895" i="2"/>
  <c r="L901" i="2"/>
  <c r="L734" i="1"/>
  <c r="L739" i="1"/>
  <c r="L905" i="2"/>
  <c r="L737" i="1"/>
  <c r="L741" i="1"/>
  <c r="E116" i="17" l="1"/>
  <c r="K116" i="17" s="1"/>
  <c r="D116" i="17"/>
  <c r="J116" i="17" s="1"/>
  <c r="E115" i="17"/>
  <c r="K115" i="17" s="1"/>
  <c r="D115" i="17"/>
  <c r="J115" i="17" s="1"/>
  <c r="B20" i="31" l="1"/>
  <c r="A20" i="31"/>
  <c r="E5" i="31" l="1"/>
  <c r="E20" i="31" s="1"/>
  <c r="D5" i="31"/>
  <c r="J5" i="31" l="1"/>
  <c r="D20" i="31"/>
  <c r="K5" i="31"/>
  <c r="E17" i="29"/>
  <c r="D17" i="29"/>
  <c r="K17" i="29" s="1"/>
  <c r="L247" i="23"/>
  <c r="K247" i="23"/>
  <c r="E245" i="23"/>
  <c r="D245" i="23"/>
  <c r="K245" i="23" s="1"/>
  <c r="E244" i="23"/>
  <c r="D244" i="23"/>
  <c r="K244" i="23" s="1"/>
  <c r="E243" i="23"/>
  <c r="D243" i="23"/>
  <c r="K243" i="23" s="1"/>
  <c r="E242" i="23"/>
  <c r="D242" i="23"/>
  <c r="K242" i="23" s="1"/>
  <c r="E238" i="23"/>
  <c r="D238" i="23"/>
  <c r="K238" i="23" s="1"/>
  <c r="E236" i="23"/>
  <c r="D236" i="23"/>
  <c r="K236" i="23" s="1"/>
  <c r="E235" i="23"/>
  <c r="D235" i="23"/>
  <c r="K235" i="23" s="1"/>
  <c r="E233" i="23"/>
  <c r="D233" i="23"/>
  <c r="K233" i="23" s="1"/>
  <c r="L235" i="23" l="1"/>
  <c r="L238" i="23"/>
  <c r="L243" i="23"/>
  <c r="L245" i="23"/>
  <c r="L17" i="29"/>
  <c r="L233" i="23"/>
  <c r="L236" i="23"/>
  <c r="L242" i="23"/>
  <c r="L244" i="23"/>
  <c r="E110" i="20"/>
  <c r="D110" i="20"/>
  <c r="J110" i="20" s="1"/>
  <c r="E109" i="20"/>
  <c r="D109" i="20"/>
  <c r="J109" i="20" s="1"/>
  <c r="E108" i="20"/>
  <c r="D108" i="20"/>
  <c r="J108" i="20" s="1"/>
  <c r="J57" i="19"/>
  <c r="K57" i="19"/>
  <c r="J159" i="18"/>
  <c r="K159" i="18"/>
  <c r="K157" i="18"/>
  <c r="E158" i="18"/>
  <c r="D158" i="18"/>
  <c r="J158" i="18" s="1"/>
  <c r="E156" i="18"/>
  <c r="D156" i="18"/>
  <c r="J156" i="18" s="1"/>
  <c r="E121" i="17"/>
  <c r="D121" i="17"/>
  <c r="J121" i="17" s="1"/>
  <c r="E120" i="17"/>
  <c r="D120" i="17"/>
  <c r="J120" i="17" s="1"/>
  <c r="K275" i="16"/>
  <c r="J275" i="16"/>
  <c r="E260" i="16"/>
  <c r="D260" i="16"/>
  <c r="J260" i="16" s="1"/>
  <c r="E274" i="16"/>
  <c r="D274" i="16"/>
  <c r="J274" i="16" s="1"/>
  <c r="E270" i="16"/>
  <c r="D270" i="16"/>
  <c r="J270" i="16" s="1"/>
  <c r="E269" i="16"/>
  <c r="D269" i="16"/>
  <c r="J269" i="16" s="1"/>
  <c r="E268" i="16"/>
  <c r="D268" i="16"/>
  <c r="J268" i="16" s="1"/>
  <c r="E267" i="16"/>
  <c r="D267" i="16"/>
  <c r="J267" i="16" s="1"/>
  <c r="E264" i="16"/>
  <c r="D264" i="16"/>
  <c r="J264" i="16" s="1"/>
  <c r="E263" i="16"/>
  <c r="D263" i="16"/>
  <c r="J263" i="16" s="1"/>
  <c r="E261" i="16"/>
  <c r="D261" i="16"/>
  <c r="J261" i="16" s="1"/>
  <c r="K156" i="18" l="1"/>
  <c r="K108" i="20"/>
  <c r="K110" i="20"/>
  <c r="K263" i="16"/>
  <c r="K267" i="16"/>
  <c r="K269" i="16"/>
  <c r="K274" i="16"/>
  <c r="K121" i="17"/>
  <c r="K109" i="20"/>
  <c r="K158" i="18"/>
  <c r="K261" i="16"/>
  <c r="K264" i="16"/>
  <c r="K268" i="16"/>
  <c r="K270" i="16"/>
  <c r="K260" i="16"/>
  <c r="K120" i="17"/>
  <c r="K40" i="15"/>
  <c r="L40" i="15"/>
  <c r="L92" i="9"/>
  <c r="K92" i="9"/>
  <c r="L134" i="8"/>
  <c r="K134" i="8"/>
  <c r="L132" i="8"/>
  <c r="K132" i="8"/>
  <c r="E134" i="8"/>
  <c r="D134" i="8"/>
  <c r="E133" i="8"/>
  <c r="L133" i="8" s="1"/>
  <c r="D133" i="8"/>
  <c r="K133" i="8" s="1"/>
  <c r="E132" i="8"/>
  <c r="D132" i="8"/>
  <c r="E307" i="4" l="1"/>
  <c r="L307" i="4" s="1"/>
  <c r="D307" i="4"/>
  <c r="K307" i="4" s="1"/>
  <c r="E305" i="4"/>
  <c r="L305" i="4" s="1"/>
  <c r="D305" i="4"/>
  <c r="K305" i="4" s="1"/>
  <c r="E301" i="4"/>
  <c r="D301" i="4"/>
  <c r="K301" i="4" s="1"/>
  <c r="L238" i="3"/>
  <c r="K238" i="3"/>
  <c r="K237" i="3"/>
  <c r="E237" i="3"/>
  <c r="L237" i="3" s="1"/>
  <c r="D237" i="3"/>
  <c r="E881" i="2"/>
  <c r="D881" i="2"/>
  <c r="K881" i="2" s="1"/>
  <c r="E880" i="2"/>
  <c r="D880" i="2"/>
  <c r="K880" i="2" s="1"/>
  <c r="E879" i="2"/>
  <c r="D879" i="2"/>
  <c r="K879" i="2" s="1"/>
  <c r="E878" i="2"/>
  <c r="D878" i="2"/>
  <c r="K878" i="2" s="1"/>
  <c r="E877" i="2"/>
  <c r="D877" i="2"/>
  <c r="K877" i="2" s="1"/>
  <c r="E876" i="2"/>
  <c r="D876" i="2"/>
  <c r="K876" i="2" s="1"/>
  <c r="E873" i="2"/>
  <c r="D873" i="2"/>
  <c r="K873" i="2" s="1"/>
  <c r="E872" i="2"/>
  <c r="D872" i="2"/>
  <c r="K872" i="2" s="1"/>
  <c r="E871" i="2"/>
  <c r="D871" i="2"/>
  <c r="K871" i="2" s="1"/>
  <c r="E870" i="2"/>
  <c r="D870" i="2"/>
  <c r="K870" i="2" s="1"/>
  <c r="E868" i="2"/>
  <c r="D868" i="2"/>
  <c r="K868" i="2" s="1"/>
  <c r="E867" i="2"/>
  <c r="D867" i="2"/>
  <c r="K867" i="2" s="1"/>
  <c r="E865" i="2"/>
  <c r="D865" i="2"/>
  <c r="K865" i="2" s="1"/>
  <c r="E863" i="2"/>
  <c r="D863" i="2"/>
  <c r="K863" i="2" s="1"/>
  <c r="L732" i="1"/>
  <c r="K732" i="1"/>
  <c r="E729" i="1"/>
  <c r="D729" i="1"/>
  <c r="K729" i="1" s="1"/>
  <c r="E724" i="1"/>
  <c r="D724" i="1"/>
  <c r="K724" i="1" s="1"/>
  <c r="E722" i="1"/>
  <c r="D722" i="1"/>
  <c r="K722" i="1" s="1"/>
  <c r="L301" i="4" l="1"/>
  <c r="L729" i="1"/>
  <c r="L722" i="1"/>
  <c r="L863" i="2"/>
  <c r="L867" i="2"/>
  <c r="L870" i="2"/>
  <c r="L872" i="2"/>
  <c r="L876" i="2"/>
  <c r="L878" i="2"/>
  <c r="L880" i="2"/>
  <c r="L865" i="2"/>
  <c r="L868" i="2"/>
  <c r="L871" i="2"/>
  <c r="L873" i="2"/>
  <c r="L877" i="2"/>
  <c r="L879" i="2"/>
  <c r="L881" i="2"/>
  <c r="L724" i="1"/>
  <c r="B39" i="15"/>
  <c r="L39" i="15" s="1"/>
  <c r="K39" i="15"/>
  <c r="K20" i="29" l="1"/>
  <c r="L20" i="29"/>
  <c r="L232" i="23"/>
  <c r="K232" i="23"/>
  <c r="E231" i="23"/>
  <c r="D231" i="23"/>
  <c r="K231" i="23" s="1"/>
  <c r="E228" i="23"/>
  <c r="D228" i="23"/>
  <c r="L228" i="23" s="1"/>
  <c r="E227" i="23"/>
  <c r="D227" i="23"/>
  <c r="K227" i="23" s="1"/>
  <c r="E225" i="23"/>
  <c r="D225" i="23"/>
  <c r="K225" i="23" s="1"/>
  <c r="E224" i="23"/>
  <c r="D224" i="23"/>
  <c r="K224" i="23" s="1"/>
  <c r="E223" i="23"/>
  <c r="D223" i="23"/>
  <c r="K223" i="23" s="1"/>
  <c r="E221" i="23"/>
  <c r="D221" i="23"/>
  <c r="K221" i="23" s="1"/>
  <c r="E220" i="23"/>
  <c r="D220" i="23"/>
  <c r="K220" i="23" s="1"/>
  <c r="E219" i="23"/>
  <c r="D219" i="23"/>
  <c r="K219" i="23" s="1"/>
  <c r="K228" i="23" l="1"/>
  <c r="L221" i="23"/>
  <c r="L224" i="23"/>
  <c r="L227" i="23"/>
  <c r="L231" i="23"/>
  <c r="L220" i="23"/>
  <c r="L223" i="23"/>
  <c r="L225" i="23"/>
  <c r="L219" i="23"/>
  <c r="L90" i="14"/>
  <c r="K90" i="14"/>
  <c r="E90" i="14"/>
  <c r="D90" i="14"/>
  <c r="B90" i="9"/>
  <c r="B99" i="9" s="1"/>
  <c r="A90" i="9"/>
  <c r="A99" i="9" s="1"/>
  <c r="L130" i="8"/>
  <c r="K130" i="8"/>
  <c r="L13" i="30" l="1"/>
  <c r="K13" i="30"/>
  <c r="A49" i="30"/>
  <c r="E11" i="30"/>
  <c r="L11" i="30" s="1"/>
  <c r="D11" i="30"/>
  <c r="K11" i="30" s="1"/>
  <c r="K300" i="4"/>
  <c r="L300" i="4"/>
  <c r="E299" i="4"/>
  <c r="D299" i="4"/>
  <c r="K299" i="4" s="1"/>
  <c r="E298" i="4"/>
  <c r="D298" i="4"/>
  <c r="K298" i="4" s="1"/>
  <c r="L235" i="3"/>
  <c r="K235" i="3"/>
  <c r="E234" i="3"/>
  <c r="D234" i="3"/>
  <c r="K234" i="3" s="1"/>
  <c r="L861" i="2"/>
  <c r="K861" i="2"/>
  <c r="E862" i="2"/>
  <c r="D862" i="2"/>
  <c r="K862" i="2" s="1"/>
  <c r="E859" i="2"/>
  <c r="D859" i="2"/>
  <c r="K859" i="2" s="1"/>
  <c r="E858" i="2"/>
  <c r="D858" i="2"/>
  <c r="K858" i="2" s="1"/>
  <c r="E856" i="2"/>
  <c r="D856" i="2"/>
  <c r="K856" i="2" s="1"/>
  <c r="E853" i="2"/>
  <c r="D853" i="2"/>
  <c r="K853" i="2" s="1"/>
  <c r="E852" i="2"/>
  <c r="D852" i="2"/>
  <c r="K852" i="2" s="1"/>
  <c r="E851" i="2"/>
  <c r="D851" i="2"/>
  <c r="K851" i="2" s="1"/>
  <c r="E849" i="2"/>
  <c r="D849" i="2"/>
  <c r="K849" i="2" s="1"/>
  <c r="L721" i="1"/>
  <c r="K721" i="1"/>
  <c r="E717" i="1"/>
  <c r="D717" i="1"/>
  <c r="K717" i="1" s="1"/>
  <c r="E715" i="1"/>
  <c r="D715" i="1"/>
  <c r="K715" i="1" s="1"/>
  <c r="E714" i="1"/>
  <c r="D714" i="1"/>
  <c r="K714" i="1" s="1"/>
  <c r="E713" i="1"/>
  <c r="D713" i="1"/>
  <c r="K713" i="1" s="1"/>
  <c r="E711" i="1"/>
  <c r="D711" i="1"/>
  <c r="K711" i="1" s="1"/>
  <c r="E710" i="1"/>
  <c r="D710" i="1"/>
  <c r="K710" i="1" s="1"/>
  <c r="E707" i="1"/>
  <c r="D707" i="1"/>
  <c r="K707" i="1" s="1"/>
  <c r="E704" i="1"/>
  <c r="D704" i="1"/>
  <c r="K704" i="1" s="1"/>
  <c r="L234" i="3" l="1"/>
  <c r="L715" i="1"/>
  <c r="L707" i="1"/>
  <c r="L711" i="1"/>
  <c r="L717" i="1"/>
  <c r="L298" i="4"/>
  <c r="L299" i="4"/>
  <c r="L714" i="1"/>
  <c r="L704" i="1"/>
  <c r="L849" i="2"/>
  <c r="L852" i="2"/>
  <c r="L859" i="2"/>
  <c r="L856" i="2"/>
  <c r="L710" i="1"/>
  <c r="L713" i="1"/>
  <c r="L851" i="2"/>
  <c r="L853" i="2"/>
  <c r="L858" i="2"/>
  <c r="L862" i="2"/>
  <c r="K9" i="30"/>
  <c r="L7" i="30"/>
  <c r="K5" i="30"/>
  <c r="E5" i="30"/>
  <c r="D5" i="30"/>
  <c r="E10" i="30"/>
  <c r="L10" i="30" s="1"/>
  <c r="D10" i="30"/>
  <c r="K10" i="30" s="1"/>
  <c r="E9" i="30"/>
  <c r="L9" i="30" s="1"/>
  <c r="D9" i="30"/>
  <c r="E7" i="30"/>
  <c r="D7" i="30"/>
  <c r="K7" i="30" s="1"/>
  <c r="E49" i="30" l="1"/>
  <c r="B5" i="30"/>
  <c r="D49" i="30"/>
  <c r="E19" i="29"/>
  <c r="D19" i="29"/>
  <c r="K19" i="29" s="1"/>
  <c r="E18" i="29"/>
  <c r="D18" i="29"/>
  <c r="K18" i="29" s="1"/>
  <c r="E16" i="29"/>
  <c r="D16" i="29"/>
  <c r="L218" i="23"/>
  <c r="K218" i="23"/>
  <c r="E217" i="23"/>
  <c r="D217" i="23"/>
  <c r="K217" i="23" s="1"/>
  <c r="B217" i="23"/>
  <c r="E213" i="23"/>
  <c r="D213" i="23"/>
  <c r="K213" i="23" s="1"/>
  <c r="E210" i="23"/>
  <c r="D210" i="23"/>
  <c r="K210" i="23" s="1"/>
  <c r="E207" i="23"/>
  <c r="D207" i="23"/>
  <c r="K207" i="23" s="1"/>
  <c r="E206" i="23"/>
  <c r="D206" i="23"/>
  <c r="K206" i="23" s="1"/>
  <c r="E204" i="23"/>
  <c r="D204" i="23"/>
  <c r="K204" i="23" s="1"/>
  <c r="L207" i="23" l="1"/>
  <c r="L213" i="23"/>
  <c r="K16" i="29"/>
  <c r="L19" i="29"/>
  <c r="L16" i="29"/>
  <c r="L5" i="30"/>
  <c r="B49" i="30"/>
  <c r="L206" i="23"/>
  <c r="L210" i="23"/>
  <c r="L18" i="29"/>
  <c r="L204" i="23"/>
  <c r="L217" i="23"/>
  <c r="K107" i="20"/>
  <c r="J107" i="20"/>
  <c r="E105" i="20"/>
  <c r="D105" i="20"/>
  <c r="J105" i="20" s="1"/>
  <c r="E104" i="20"/>
  <c r="D104" i="20"/>
  <c r="J104" i="20" s="1"/>
  <c r="K155" i="18"/>
  <c r="J155" i="18"/>
  <c r="K151" i="18"/>
  <c r="E154" i="18"/>
  <c r="D154" i="18"/>
  <c r="J154" i="18" s="1"/>
  <c r="E153" i="18"/>
  <c r="D153" i="18"/>
  <c r="J153" i="18" s="1"/>
  <c r="E152" i="18"/>
  <c r="D152" i="18"/>
  <c r="J152" i="18" s="1"/>
  <c r="E150" i="18"/>
  <c r="D150" i="18"/>
  <c r="J150" i="18" s="1"/>
  <c r="J118" i="17"/>
  <c r="K118" i="17"/>
  <c r="E259" i="16"/>
  <c r="D259" i="16"/>
  <c r="J259" i="16" s="1"/>
  <c r="E257" i="16"/>
  <c r="D257" i="16"/>
  <c r="J257" i="16" s="1"/>
  <c r="E255" i="16"/>
  <c r="D255" i="16"/>
  <c r="J255" i="16" s="1"/>
  <c r="E254" i="16"/>
  <c r="D254" i="16"/>
  <c r="K254" i="16" s="1"/>
  <c r="E253" i="16"/>
  <c r="K253" i="16" s="1"/>
  <c r="D253" i="16"/>
  <c r="J253" i="16" s="1"/>
  <c r="K152" i="18" l="1"/>
  <c r="K154" i="18"/>
  <c r="K150" i="18"/>
  <c r="K153" i="18"/>
  <c r="K255" i="16"/>
  <c r="K259" i="16"/>
  <c r="K105" i="20"/>
  <c r="K257" i="16"/>
  <c r="K104" i="20"/>
  <c r="J254" i="16"/>
  <c r="K89" i="14"/>
  <c r="L89" i="14"/>
  <c r="L90" i="9"/>
  <c r="K90" i="9"/>
  <c r="E89" i="9"/>
  <c r="D89" i="9"/>
  <c r="K89" i="9" s="1"/>
  <c r="K129" i="8"/>
  <c r="L129" i="8"/>
  <c r="E128" i="8"/>
  <c r="D128" i="8"/>
  <c r="K128" i="8" s="1"/>
  <c r="A128" i="8"/>
  <c r="L128" i="8" l="1"/>
  <c r="L89" i="9"/>
  <c r="L293" i="4"/>
  <c r="E297" i="4"/>
  <c r="D297" i="4"/>
  <c r="K297" i="4" s="1"/>
  <c r="E295" i="4"/>
  <c r="D295" i="4"/>
  <c r="K295" i="4" s="1"/>
  <c r="E293" i="4"/>
  <c r="D293" i="4"/>
  <c r="K293" i="4" s="1"/>
  <c r="E292" i="4"/>
  <c r="D292" i="4"/>
  <c r="K292" i="4" s="1"/>
  <c r="L230" i="3"/>
  <c r="E233" i="3"/>
  <c r="D233" i="3"/>
  <c r="K233" i="3" s="1"/>
  <c r="E231" i="3"/>
  <c r="D231" i="3"/>
  <c r="K231" i="3" s="1"/>
  <c r="E230" i="3"/>
  <c r="D230" i="3"/>
  <c r="K230" i="3" s="1"/>
  <c r="E228" i="3"/>
  <c r="D228" i="3"/>
  <c r="K228" i="3" s="1"/>
  <c r="E848" i="2"/>
  <c r="D848" i="2"/>
  <c r="K848" i="2" s="1"/>
  <c r="E846" i="2"/>
  <c r="D846" i="2"/>
  <c r="K846" i="2" s="1"/>
  <c r="E845" i="2"/>
  <c r="D845" i="2"/>
  <c r="K845" i="2" s="1"/>
  <c r="E844" i="2"/>
  <c r="D844" i="2"/>
  <c r="K844" i="2" s="1"/>
  <c r="E843" i="2"/>
  <c r="D843" i="2"/>
  <c r="K843" i="2" s="1"/>
  <c r="E840" i="2"/>
  <c r="D840" i="2"/>
  <c r="K840" i="2" s="1"/>
  <c r="E839" i="2"/>
  <c r="D839" i="2"/>
  <c r="K839" i="2" s="1"/>
  <c r="E838" i="2"/>
  <c r="D838" i="2"/>
  <c r="K838" i="2" s="1"/>
  <c r="E836" i="2"/>
  <c r="D836" i="2"/>
  <c r="K836" i="2" s="1"/>
  <c r="E703" i="1"/>
  <c r="D703" i="1"/>
  <c r="K703" i="1" s="1"/>
  <c r="E701" i="1"/>
  <c r="D701" i="1"/>
  <c r="K701" i="1" s="1"/>
  <c r="E700" i="1"/>
  <c r="D700" i="1"/>
  <c r="K700" i="1" s="1"/>
  <c r="E698" i="1"/>
  <c r="D698" i="1"/>
  <c r="K698" i="1" s="1"/>
  <c r="E695" i="1"/>
  <c r="D695" i="1"/>
  <c r="K695" i="1" s="1"/>
  <c r="E694" i="1"/>
  <c r="D694" i="1"/>
  <c r="K694" i="1" s="1"/>
  <c r="E693" i="1"/>
  <c r="D693" i="1"/>
  <c r="K693" i="1" s="1"/>
  <c r="E692" i="1"/>
  <c r="D692" i="1"/>
  <c r="K692" i="1" s="1"/>
  <c r="E691" i="1"/>
  <c r="D691" i="1"/>
  <c r="K691" i="1" s="1"/>
  <c r="E688" i="1"/>
  <c r="D688" i="1"/>
  <c r="K688" i="1" s="1"/>
  <c r="L292" i="4" l="1"/>
  <c r="L295" i="4"/>
  <c r="L297" i="4"/>
  <c r="L228" i="3"/>
  <c r="L231" i="3"/>
  <c r="L233" i="3"/>
  <c r="L701" i="1"/>
  <c r="L695" i="1"/>
  <c r="L843" i="2"/>
  <c r="L845" i="2"/>
  <c r="L691" i="1"/>
  <c r="L703" i="1"/>
  <c r="L700" i="1"/>
  <c r="L688" i="1"/>
  <c r="L698" i="1"/>
  <c r="L693" i="1"/>
  <c r="L694" i="1"/>
  <c r="L692" i="1"/>
  <c r="L840" i="2"/>
  <c r="L844" i="2"/>
  <c r="L846" i="2"/>
  <c r="L848" i="2"/>
  <c r="L839" i="2"/>
  <c r="L838" i="2"/>
  <c r="L836" i="2"/>
  <c r="L88" i="9"/>
  <c r="K88" i="9"/>
  <c r="E38" i="15" l="1"/>
  <c r="D38" i="15"/>
  <c r="E686" i="1"/>
  <c r="D686" i="1"/>
  <c r="K686" i="1" s="1"/>
  <c r="E684" i="1"/>
  <c r="D684" i="1"/>
  <c r="K684" i="1" s="1"/>
  <c r="L686" i="1" l="1"/>
  <c r="L684" i="1"/>
  <c r="L203" i="23"/>
  <c r="K203" i="23"/>
  <c r="L197" i="23"/>
  <c r="K197" i="23"/>
  <c r="E202" i="23"/>
  <c r="D202" i="23"/>
  <c r="K202" i="23" s="1"/>
  <c r="E201" i="23"/>
  <c r="D201" i="23"/>
  <c r="K201" i="23" s="1"/>
  <c r="E199" i="23"/>
  <c r="D199" i="23"/>
  <c r="K199" i="23" s="1"/>
  <c r="E198" i="23"/>
  <c r="D198" i="23"/>
  <c r="K198" i="23" s="1"/>
  <c r="E195" i="23"/>
  <c r="D195" i="23"/>
  <c r="K195" i="23" s="1"/>
  <c r="E194" i="23"/>
  <c r="D194" i="23"/>
  <c r="K194" i="23" s="1"/>
  <c r="E193" i="23"/>
  <c r="D193" i="23"/>
  <c r="K193" i="23" s="1"/>
  <c r="E192" i="23"/>
  <c r="D192" i="23"/>
  <c r="K192" i="23" s="1"/>
  <c r="E191" i="23"/>
  <c r="D191" i="23"/>
  <c r="K191" i="23" s="1"/>
  <c r="L195" i="23" l="1"/>
  <c r="L199" i="23"/>
  <c r="L192" i="23"/>
  <c r="L194" i="23"/>
  <c r="L198" i="23"/>
  <c r="L201" i="23"/>
  <c r="L191" i="23"/>
  <c r="L193" i="23"/>
  <c r="L202" i="23"/>
  <c r="E281" i="4"/>
  <c r="D281" i="4"/>
  <c r="K281" i="4" s="1"/>
  <c r="L281" i="4" l="1"/>
  <c r="E134" i="18"/>
  <c r="D134" i="18"/>
  <c r="J134" i="18" s="1"/>
  <c r="K134" i="18" l="1"/>
  <c r="L14" i="29"/>
  <c r="K14" i="29"/>
  <c r="E13" i="29"/>
  <c r="D13" i="29"/>
  <c r="K13" i="29" s="1"/>
  <c r="E190" i="23"/>
  <c r="D190" i="23"/>
  <c r="K190" i="23" s="1"/>
  <c r="E187" i="23"/>
  <c r="D187" i="23"/>
  <c r="K187" i="23" s="1"/>
  <c r="E186" i="23"/>
  <c r="D186" i="23"/>
  <c r="K186" i="23" s="1"/>
  <c r="E184" i="23"/>
  <c r="D184" i="23"/>
  <c r="K184" i="23" s="1"/>
  <c r="E183" i="23"/>
  <c r="D183" i="23"/>
  <c r="K183" i="23" s="1"/>
  <c r="L13" i="29" l="1"/>
  <c r="L184" i="23"/>
  <c r="L183" i="23"/>
  <c r="L186" i="23"/>
  <c r="L190" i="23"/>
  <c r="L187" i="23"/>
  <c r="A151" i="20"/>
  <c r="B151" i="20"/>
  <c r="E103" i="20"/>
  <c r="D103" i="20"/>
  <c r="J103" i="20" s="1"/>
  <c r="K149" i="18"/>
  <c r="K148" i="18"/>
  <c r="J148" i="18"/>
  <c r="K146" i="18"/>
  <c r="E147" i="18"/>
  <c r="D147" i="18"/>
  <c r="J147" i="18" s="1"/>
  <c r="E145" i="18"/>
  <c r="D145" i="18"/>
  <c r="J145" i="18" s="1"/>
  <c r="E144" i="18"/>
  <c r="D144" i="18"/>
  <c r="J144" i="18" s="1"/>
  <c r="E143" i="18"/>
  <c r="D143" i="18"/>
  <c r="J143" i="18" s="1"/>
  <c r="E142" i="18"/>
  <c r="D142" i="18"/>
  <c r="J142" i="18" s="1"/>
  <c r="E140" i="18"/>
  <c r="D140" i="18"/>
  <c r="J140" i="18" s="1"/>
  <c r="E252" i="16"/>
  <c r="D252" i="16"/>
  <c r="J252" i="16" s="1"/>
  <c r="E250" i="16"/>
  <c r="D250" i="16"/>
  <c r="J250" i="16" s="1"/>
  <c r="K142" i="18" l="1"/>
  <c r="K147" i="18"/>
  <c r="K144" i="18"/>
  <c r="K145" i="18"/>
  <c r="K143" i="18"/>
  <c r="K250" i="16"/>
  <c r="K140" i="18"/>
  <c r="K252" i="16"/>
  <c r="K103" i="20"/>
  <c r="K38" i="15"/>
  <c r="L38" i="15"/>
  <c r="K88" i="14"/>
  <c r="L88" i="14"/>
  <c r="E86" i="9"/>
  <c r="D86" i="9"/>
  <c r="K86" i="9" s="1"/>
  <c r="K127" i="8"/>
  <c r="L127" i="8"/>
  <c r="E126" i="8"/>
  <c r="D126" i="8"/>
  <c r="K126" i="8" s="1"/>
  <c r="E125" i="8"/>
  <c r="D125" i="8"/>
  <c r="K125" i="8" s="1"/>
  <c r="L86" i="9" l="1"/>
  <c r="L125" i="8"/>
  <c r="L126" i="8"/>
  <c r="K61" i="6"/>
  <c r="L61" i="6"/>
  <c r="L291" i="4"/>
  <c r="K291" i="4"/>
  <c r="L289" i="4"/>
  <c r="K289" i="4"/>
  <c r="E290" i="4"/>
  <c r="D290" i="4"/>
  <c r="K290" i="4" s="1"/>
  <c r="E287" i="4"/>
  <c r="L287" i="4" s="1"/>
  <c r="D287" i="4"/>
  <c r="K287" i="4" s="1"/>
  <c r="E286" i="4"/>
  <c r="D286" i="4"/>
  <c r="K286" i="4" s="1"/>
  <c r="E285" i="4"/>
  <c r="D285" i="4"/>
  <c r="E284" i="4"/>
  <c r="D284" i="4"/>
  <c r="K284" i="4" s="1"/>
  <c r="E283" i="4"/>
  <c r="D283" i="4"/>
  <c r="K283" i="4" s="1"/>
  <c r="K227" i="3"/>
  <c r="L227" i="3"/>
  <c r="E226" i="3"/>
  <c r="L226" i="3" s="1"/>
  <c r="D226" i="3"/>
  <c r="K226" i="3" s="1"/>
  <c r="E224" i="3"/>
  <c r="D224" i="3"/>
  <c r="K224" i="3" s="1"/>
  <c r="L837" i="2"/>
  <c r="K837" i="2"/>
  <c r="E834" i="2"/>
  <c r="D834" i="2"/>
  <c r="K834" i="2" s="1"/>
  <c r="E833" i="2"/>
  <c r="D833" i="2"/>
  <c r="K833" i="2" s="1"/>
  <c r="E832" i="2"/>
  <c r="D832" i="2"/>
  <c r="K832" i="2" s="1"/>
  <c r="E831" i="2"/>
  <c r="D831" i="2"/>
  <c r="K831" i="2" s="1"/>
  <c r="E829" i="2"/>
  <c r="D829" i="2"/>
  <c r="K829" i="2" s="1"/>
  <c r="E828" i="2"/>
  <c r="D828" i="2"/>
  <c r="K828" i="2" s="1"/>
  <c r="E827" i="2"/>
  <c r="D827" i="2"/>
  <c r="K827" i="2" s="1"/>
  <c r="E825" i="2"/>
  <c r="D825" i="2"/>
  <c r="K825" i="2" s="1"/>
  <c r="E824" i="2"/>
  <c r="D824" i="2"/>
  <c r="K824" i="2" s="1"/>
  <c r="E823" i="2"/>
  <c r="D823" i="2"/>
  <c r="K823" i="2" s="1"/>
  <c r="E820" i="2"/>
  <c r="D820" i="2"/>
  <c r="K820" i="2" s="1"/>
  <c r="E818" i="2"/>
  <c r="D818" i="2"/>
  <c r="K818" i="2" s="1"/>
  <c r="E816" i="2"/>
  <c r="D816" i="2"/>
  <c r="K816" i="2" s="1"/>
  <c r="E687" i="1"/>
  <c r="D687" i="1"/>
  <c r="K687" i="1" s="1"/>
  <c r="E685" i="1"/>
  <c r="D685" i="1"/>
  <c r="K685" i="1" s="1"/>
  <c r="E683" i="1"/>
  <c r="D683" i="1"/>
  <c r="K683" i="1" s="1"/>
  <c r="E681" i="1"/>
  <c r="D681" i="1"/>
  <c r="K681" i="1" s="1"/>
  <c r="E680" i="1"/>
  <c r="D680" i="1"/>
  <c r="K680" i="1" s="1"/>
  <c r="E679" i="1"/>
  <c r="D679" i="1"/>
  <c r="K679" i="1" s="1"/>
  <c r="E677" i="1"/>
  <c r="D677" i="1"/>
  <c r="K677" i="1" s="1"/>
  <c r="E675" i="1"/>
  <c r="D675" i="1"/>
  <c r="K675" i="1" s="1"/>
  <c r="E673" i="1"/>
  <c r="L673" i="1" s="1"/>
  <c r="D673" i="1"/>
  <c r="K673" i="1" s="1"/>
  <c r="L224" i="3" l="1"/>
  <c r="L818" i="2"/>
  <c r="L823" i="2"/>
  <c r="L825" i="2"/>
  <c r="L828" i="2"/>
  <c r="L677" i="1"/>
  <c r="L831" i="2"/>
  <c r="L833" i="2"/>
  <c r="L681" i="1"/>
  <c r="L675" i="1"/>
  <c r="L679" i="1"/>
  <c r="L680" i="1"/>
  <c r="L683" i="1"/>
  <c r="L687" i="1"/>
  <c r="L832" i="2"/>
  <c r="L834" i="2"/>
  <c r="L816" i="2"/>
  <c r="L820" i="2"/>
  <c r="L824" i="2"/>
  <c r="L827" i="2"/>
  <c r="L829" i="2"/>
  <c r="L284" i="4"/>
  <c r="L286" i="4"/>
  <c r="L285" i="4"/>
  <c r="L290" i="4"/>
  <c r="L283" i="4"/>
  <c r="K285" i="4"/>
  <c r="L685" i="1"/>
  <c r="K182" i="23"/>
  <c r="L182" i="23"/>
  <c r="E181" i="23"/>
  <c r="D181" i="23"/>
  <c r="K181" i="23" s="1"/>
  <c r="E180" i="23"/>
  <c r="D180" i="23"/>
  <c r="K180" i="23" s="1"/>
  <c r="E179" i="23"/>
  <c r="D179" i="23"/>
  <c r="K179" i="23" s="1"/>
  <c r="K172" i="23"/>
  <c r="L172" i="23"/>
  <c r="E171" i="23"/>
  <c r="D171" i="23"/>
  <c r="L179" i="23" l="1"/>
  <c r="L181" i="23"/>
  <c r="L180" i="23"/>
  <c r="E141" i="18"/>
  <c r="D141" i="18"/>
  <c r="J141" i="18" s="1"/>
  <c r="E119" i="17"/>
  <c r="D119" i="17"/>
  <c r="J119" i="17" s="1"/>
  <c r="K246" i="16"/>
  <c r="J246" i="16"/>
  <c r="K141" i="18" l="1"/>
  <c r="K119" i="17"/>
  <c r="E37" i="15"/>
  <c r="L37" i="15" s="1"/>
  <c r="D37" i="15"/>
  <c r="K37" i="15" s="1"/>
  <c r="L87" i="14"/>
  <c r="K87" i="14"/>
  <c r="E86" i="14"/>
  <c r="D86" i="14"/>
  <c r="K86" i="14" s="1"/>
  <c r="L85" i="9"/>
  <c r="K85" i="9"/>
  <c r="E83" i="9"/>
  <c r="D83" i="9"/>
  <c r="K83" i="9" s="1"/>
  <c r="L124" i="8"/>
  <c r="K124" i="8"/>
  <c r="E123" i="8"/>
  <c r="D123" i="8"/>
  <c r="K123" i="8" s="1"/>
  <c r="E121" i="8"/>
  <c r="D121" i="8"/>
  <c r="K121" i="8" s="1"/>
  <c r="L123" i="8" l="1"/>
  <c r="L83" i="9"/>
  <c r="L86" i="14"/>
  <c r="L121" i="8"/>
  <c r="E279" i="4"/>
  <c r="L279" i="4" s="1"/>
  <c r="D279" i="4"/>
  <c r="K279" i="4" s="1"/>
  <c r="K282" i="4"/>
  <c r="L282" i="4"/>
  <c r="L223" i="3"/>
  <c r="K223" i="3"/>
  <c r="E221" i="3"/>
  <c r="D221" i="3"/>
  <c r="K221" i="3" s="1"/>
  <c r="E220" i="3"/>
  <c r="D220" i="3"/>
  <c r="K220" i="3" s="1"/>
  <c r="L815" i="2"/>
  <c r="K815" i="2"/>
  <c r="L813" i="2"/>
  <c r="K813" i="2"/>
  <c r="E814" i="2"/>
  <c r="D814" i="2"/>
  <c r="K814" i="2" s="1"/>
  <c r="E812" i="2"/>
  <c r="D812" i="2"/>
  <c r="K812" i="2" s="1"/>
  <c r="E811" i="2"/>
  <c r="D811" i="2"/>
  <c r="K811" i="2" s="1"/>
  <c r="E810" i="2"/>
  <c r="D810" i="2"/>
  <c r="K810" i="2" s="1"/>
  <c r="E808" i="2"/>
  <c r="D808" i="2"/>
  <c r="K808" i="2" s="1"/>
  <c r="E806" i="2"/>
  <c r="D806" i="2"/>
  <c r="K806" i="2" s="1"/>
  <c r="E805" i="2"/>
  <c r="D805" i="2"/>
  <c r="K805" i="2" s="1"/>
  <c r="E803" i="2"/>
  <c r="D803" i="2"/>
  <c r="K803" i="2" s="1"/>
  <c r="E801" i="2"/>
  <c r="D801" i="2"/>
  <c r="K801" i="2" s="1"/>
  <c r="E800" i="2"/>
  <c r="D800" i="2"/>
  <c r="K800" i="2" s="1"/>
  <c r="E799" i="2"/>
  <c r="D799" i="2"/>
  <c r="K799" i="2" s="1"/>
  <c r="E797" i="2"/>
  <c r="D797" i="2"/>
  <c r="K797" i="2" s="1"/>
  <c r="E795" i="2"/>
  <c r="D795" i="2"/>
  <c r="K795" i="2" s="1"/>
  <c r="E794" i="2"/>
  <c r="D794" i="2"/>
  <c r="K794" i="2" s="1"/>
  <c r="E792" i="2"/>
  <c r="D792" i="2"/>
  <c r="K792" i="2" s="1"/>
  <c r="E791" i="2"/>
  <c r="D791" i="2"/>
  <c r="K791" i="2" s="1"/>
  <c r="E790" i="2"/>
  <c r="D790" i="2"/>
  <c r="K790" i="2" s="1"/>
  <c r="E789" i="2"/>
  <c r="D789" i="2"/>
  <c r="K789" i="2" s="1"/>
  <c r="E788" i="2"/>
  <c r="D788" i="2"/>
  <c r="K788" i="2" s="1"/>
  <c r="E786" i="2"/>
  <c r="D786" i="2"/>
  <c r="K786" i="2" s="1"/>
  <c r="L670" i="1"/>
  <c r="K670" i="1"/>
  <c r="E667" i="1"/>
  <c r="D667" i="1"/>
  <c r="K667" i="1" s="1"/>
  <c r="E666" i="1"/>
  <c r="D666" i="1"/>
  <c r="K666" i="1" s="1"/>
  <c r="E665" i="1"/>
  <c r="D665" i="1"/>
  <c r="K665" i="1" s="1"/>
  <c r="E664" i="1"/>
  <c r="D664" i="1"/>
  <c r="K664" i="1" s="1"/>
  <c r="E661" i="1"/>
  <c r="D661" i="1"/>
  <c r="K661" i="1" s="1"/>
  <c r="E660" i="1"/>
  <c r="D660" i="1"/>
  <c r="K660" i="1" s="1"/>
  <c r="E658" i="1"/>
  <c r="D658" i="1"/>
  <c r="K658" i="1" s="1"/>
  <c r="L221" i="3" l="1"/>
  <c r="L220" i="3"/>
  <c r="L660" i="1"/>
  <c r="L788" i="2"/>
  <c r="L790" i="2"/>
  <c r="L792" i="2"/>
  <c r="L795" i="2"/>
  <c r="L786" i="2"/>
  <c r="L791" i="2"/>
  <c r="L794" i="2"/>
  <c r="L797" i="2"/>
  <c r="L806" i="2"/>
  <c r="L789" i="2"/>
  <c r="L800" i="2"/>
  <c r="L803" i="2"/>
  <c r="L810" i="2"/>
  <c r="L812" i="2"/>
  <c r="L799" i="2"/>
  <c r="L801" i="2"/>
  <c r="L805" i="2"/>
  <c r="L808" i="2"/>
  <c r="L811" i="2"/>
  <c r="L814" i="2"/>
  <c r="L664" i="1"/>
  <c r="L666" i="1"/>
  <c r="L658" i="1"/>
  <c r="L661" i="1"/>
  <c r="L665" i="1"/>
  <c r="L667" i="1"/>
  <c r="K137" i="18"/>
  <c r="E136" i="18"/>
  <c r="D136" i="18"/>
  <c r="J136" i="18" s="1"/>
  <c r="E135" i="18"/>
  <c r="D135" i="18"/>
  <c r="J135" i="18" s="1"/>
  <c r="K136" i="18" l="1"/>
  <c r="K135" i="18"/>
  <c r="B364" i="4"/>
  <c r="E280" i="4"/>
  <c r="L280" i="4" s="1"/>
  <c r="D280" i="4"/>
  <c r="K280" i="4" s="1"/>
  <c r="K7" i="28" l="1"/>
  <c r="E7" i="28"/>
  <c r="L7" i="28" s="1"/>
  <c r="D7" i="28"/>
  <c r="L10" i="29" l="1"/>
  <c r="K10" i="29"/>
  <c r="L57" i="24"/>
  <c r="K57" i="24"/>
  <c r="K56" i="24"/>
  <c r="L56" i="24"/>
  <c r="E56" i="24"/>
  <c r="D56" i="24"/>
  <c r="E55" i="24"/>
  <c r="L55" i="24" s="1"/>
  <c r="D55" i="24"/>
  <c r="K55" i="24" s="1"/>
  <c r="E178" i="23"/>
  <c r="D178" i="23"/>
  <c r="K178" i="23" s="1"/>
  <c r="E177" i="23"/>
  <c r="D177" i="23"/>
  <c r="K177" i="23" s="1"/>
  <c r="E176" i="23"/>
  <c r="D176" i="23"/>
  <c r="K176" i="23" s="1"/>
  <c r="E174" i="23"/>
  <c r="D174" i="23"/>
  <c r="K174" i="23" s="1"/>
  <c r="E173" i="23"/>
  <c r="D173" i="23"/>
  <c r="K173" i="23" s="1"/>
  <c r="L171" i="23"/>
  <c r="K171" i="23"/>
  <c r="E170" i="23"/>
  <c r="D170" i="23"/>
  <c r="K170" i="23" s="1"/>
  <c r="E169" i="23"/>
  <c r="D169" i="23"/>
  <c r="K169" i="23" s="1"/>
  <c r="E168" i="23"/>
  <c r="D168" i="23"/>
  <c r="K168" i="23" s="1"/>
  <c r="E167" i="23"/>
  <c r="D167" i="23"/>
  <c r="K167" i="23" s="1"/>
  <c r="E165" i="23"/>
  <c r="D165" i="23"/>
  <c r="K165" i="23" s="1"/>
  <c r="E164" i="23"/>
  <c r="D164" i="23"/>
  <c r="K164" i="23" s="1"/>
  <c r="E161" i="23"/>
  <c r="D161" i="23"/>
  <c r="K161" i="23" s="1"/>
  <c r="E159" i="23"/>
  <c r="D159" i="23"/>
  <c r="K159" i="23" s="1"/>
  <c r="J139" i="18"/>
  <c r="K139" i="18"/>
  <c r="K248" i="16"/>
  <c r="J248" i="16"/>
  <c r="E247" i="16"/>
  <c r="D247" i="16"/>
  <c r="J247" i="16" s="1"/>
  <c r="L161" i="23" l="1"/>
  <c r="L165" i="23"/>
  <c r="L178" i="23"/>
  <c r="L170" i="23"/>
  <c r="L173" i="23"/>
  <c r="L176" i="23"/>
  <c r="L168" i="23"/>
  <c r="L159" i="23"/>
  <c r="L164" i="23"/>
  <c r="L174" i="23"/>
  <c r="L177" i="23"/>
  <c r="K247" i="16"/>
  <c r="L167" i="23"/>
  <c r="L169" i="23"/>
  <c r="K36" i="15"/>
  <c r="E36" i="15"/>
  <c r="D36" i="15"/>
  <c r="L36" i="15" s="1"/>
  <c r="E84" i="14"/>
  <c r="L84" i="14" s="1"/>
  <c r="D84" i="14"/>
  <c r="K84" i="14" s="1"/>
  <c r="E82" i="14"/>
  <c r="L82" i="14" s="1"/>
  <c r="D82" i="14"/>
  <c r="K82" i="14" s="1"/>
  <c r="K82" i="9"/>
  <c r="L82" i="9"/>
  <c r="L118" i="8"/>
  <c r="K118" i="8"/>
  <c r="K117" i="8"/>
  <c r="E117" i="8"/>
  <c r="L117" i="8" s="1"/>
  <c r="D117" i="8"/>
  <c r="L278" i="4" l="1"/>
  <c r="K278" i="4"/>
  <c r="E277" i="4"/>
  <c r="D277" i="4"/>
  <c r="K277" i="4" s="1"/>
  <c r="E276" i="4"/>
  <c r="D276" i="4"/>
  <c r="K276" i="4" s="1"/>
  <c r="E275" i="4"/>
  <c r="D275" i="4"/>
  <c r="K275" i="4" s="1"/>
  <c r="E785" i="2"/>
  <c r="D785" i="2"/>
  <c r="K785" i="2" s="1"/>
  <c r="E784" i="2"/>
  <c r="D784" i="2"/>
  <c r="K784" i="2" s="1"/>
  <c r="E783" i="2"/>
  <c r="D783" i="2"/>
  <c r="K783" i="2" s="1"/>
  <c r="E779" i="2"/>
  <c r="D779" i="2"/>
  <c r="K779" i="2" s="1"/>
  <c r="E777" i="2"/>
  <c r="D777" i="2"/>
  <c r="K777" i="2" s="1"/>
  <c r="E776" i="2"/>
  <c r="D776" i="2"/>
  <c r="K776" i="2" s="1"/>
  <c r="E775" i="2"/>
  <c r="D775" i="2"/>
  <c r="K775" i="2" s="1"/>
  <c r="E773" i="2"/>
  <c r="D773" i="2"/>
  <c r="K773" i="2" s="1"/>
  <c r="E770" i="2"/>
  <c r="D770" i="2"/>
  <c r="K770" i="2" s="1"/>
  <c r="L657" i="1"/>
  <c r="K657" i="1"/>
  <c r="L656" i="1"/>
  <c r="K656" i="1"/>
  <c r="L770" i="2" l="1"/>
  <c r="L775" i="2"/>
  <c r="L777" i="2"/>
  <c r="L783" i="2"/>
  <c r="L785" i="2"/>
  <c r="L776" i="2"/>
  <c r="L779" i="2"/>
  <c r="L784" i="2"/>
  <c r="L773" i="2"/>
  <c r="L277" i="4"/>
  <c r="L275" i="4"/>
  <c r="L276" i="4"/>
  <c r="E654" i="1"/>
  <c r="D654" i="1"/>
  <c r="K654" i="1" s="1"/>
  <c r="E653" i="1"/>
  <c r="D653" i="1"/>
  <c r="K653" i="1" s="1"/>
  <c r="E652" i="1"/>
  <c r="D652" i="1"/>
  <c r="K652" i="1" s="1"/>
  <c r="E649" i="1"/>
  <c r="D649" i="1"/>
  <c r="K649" i="1" s="1"/>
  <c r="L649" i="1" l="1"/>
  <c r="L653" i="1"/>
  <c r="L654" i="1"/>
  <c r="L652" i="1"/>
  <c r="E772" i="2"/>
  <c r="D772" i="2"/>
  <c r="K772" i="2" s="1"/>
  <c r="E648" i="1"/>
  <c r="D648" i="1"/>
  <c r="K648" i="1" s="1"/>
  <c r="E646" i="1"/>
  <c r="D646" i="1"/>
  <c r="K646" i="1" s="1"/>
  <c r="L772" i="2" l="1"/>
  <c r="L646" i="1"/>
  <c r="L648" i="1"/>
  <c r="K9" i="29"/>
  <c r="L9" i="29"/>
  <c r="E8" i="29"/>
  <c r="D8" i="29"/>
  <c r="L155" i="23"/>
  <c r="K155" i="23"/>
  <c r="K131" i="18" l="1"/>
  <c r="E138" i="18"/>
  <c r="D138" i="18"/>
  <c r="J138" i="18" s="1"/>
  <c r="E133" i="18"/>
  <c r="D133" i="18"/>
  <c r="J133" i="18" s="1"/>
  <c r="E132" i="18"/>
  <c r="D132" i="18"/>
  <c r="J132" i="18" s="1"/>
  <c r="E130" i="18"/>
  <c r="D130" i="18"/>
  <c r="J130" i="18" s="1"/>
  <c r="E129" i="18"/>
  <c r="D129" i="18"/>
  <c r="J129" i="18" s="1"/>
  <c r="K113" i="17"/>
  <c r="J113" i="17"/>
  <c r="E112" i="17"/>
  <c r="D112" i="17"/>
  <c r="E245" i="16"/>
  <c r="D245" i="16"/>
  <c r="J245" i="16" s="1"/>
  <c r="E244" i="16"/>
  <c r="D244" i="16"/>
  <c r="J244" i="16" s="1"/>
  <c r="E241" i="16"/>
  <c r="D241" i="16"/>
  <c r="J241" i="16" s="1"/>
  <c r="E239" i="16"/>
  <c r="D239" i="16"/>
  <c r="J239" i="16" s="1"/>
  <c r="E237" i="16"/>
  <c r="D237" i="16"/>
  <c r="J237" i="16" s="1"/>
  <c r="K237" i="16" l="1"/>
  <c r="K245" i="16"/>
  <c r="K130" i="18"/>
  <c r="K241" i="16"/>
  <c r="K239" i="16"/>
  <c r="K244" i="16"/>
  <c r="K129" i="18"/>
  <c r="K132" i="18"/>
  <c r="K138" i="18"/>
  <c r="K133" i="18"/>
  <c r="K35" i="15"/>
  <c r="L35" i="15"/>
  <c r="E35" i="15"/>
  <c r="D35" i="15"/>
  <c r="K81" i="14"/>
  <c r="L81" i="14"/>
  <c r="E81" i="14"/>
  <c r="D81" i="14"/>
  <c r="E81" i="9"/>
  <c r="L81" i="9" s="1"/>
  <c r="D81" i="9"/>
  <c r="K81" i="9" s="1"/>
  <c r="L15" i="25" l="1"/>
  <c r="K15" i="25"/>
  <c r="E273" i="4"/>
  <c r="L273" i="4" s="1"/>
  <c r="D273" i="4"/>
  <c r="K273" i="4" s="1"/>
  <c r="L219" i="3"/>
  <c r="K219" i="3"/>
  <c r="L218" i="3"/>
  <c r="K218" i="3"/>
  <c r="E218" i="3"/>
  <c r="D218" i="3"/>
  <c r="L771" i="2" l="1"/>
  <c r="K771" i="2"/>
  <c r="E769" i="2"/>
  <c r="D769" i="2"/>
  <c r="K769" i="2" s="1"/>
  <c r="E768" i="2"/>
  <c r="D768" i="2"/>
  <c r="K768" i="2" s="1"/>
  <c r="E766" i="2"/>
  <c r="D766" i="2"/>
  <c r="K766" i="2" s="1"/>
  <c r="K765" i="2"/>
  <c r="E763" i="2"/>
  <c r="D763" i="2"/>
  <c r="K763" i="2" s="1"/>
  <c r="E762" i="2"/>
  <c r="D762" i="2"/>
  <c r="K762" i="2" s="1"/>
  <c r="E760" i="2"/>
  <c r="D760" i="2"/>
  <c r="K760" i="2" s="1"/>
  <c r="E758" i="2"/>
  <c r="D758" i="2"/>
  <c r="K758" i="2" s="1"/>
  <c r="E757" i="2"/>
  <c r="D757" i="2"/>
  <c r="K757" i="2" s="1"/>
  <c r="E755" i="2"/>
  <c r="D755" i="2"/>
  <c r="K755" i="2" s="1"/>
  <c r="L645" i="1"/>
  <c r="K645" i="1"/>
  <c r="E643" i="1"/>
  <c r="D643" i="1"/>
  <c r="K643" i="1" s="1"/>
  <c r="E641" i="1"/>
  <c r="D641" i="1"/>
  <c r="K641" i="1" s="1"/>
  <c r="E639" i="1"/>
  <c r="D639" i="1"/>
  <c r="K639" i="1" s="1"/>
  <c r="E637" i="1"/>
  <c r="D637" i="1"/>
  <c r="K637" i="1" s="1"/>
  <c r="E635" i="1"/>
  <c r="D635" i="1"/>
  <c r="K635" i="1" s="1"/>
  <c r="E634" i="1"/>
  <c r="D634" i="1"/>
  <c r="K634" i="1" s="1"/>
  <c r="E632" i="1"/>
  <c r="D632" i="1"/>
  <c r="K632" i="1" s="1"/>
  <c r="L634" i="1" l="1"/>
  <c r="L637" i="1"/>
  <c r="L641" i="1"/>
  <c r="L755" i="2"/>
  <c r="L758" i="2"/>
  <c r="L766" i="2"/>
  <c r="L757" i="2"/>
  <c r="L760" i="2"/>
  <c r="L763" i="2"/>
  <c r="L635" i="1"/>
  <c r="L639" i="1"/>
  <c r="L643" i="1"/>
  <c r="L632" i="1"/>
  <c r="L762" i="2"/>
  <c r="L765" i="2"/>
  <c r="L768" i="2"/>
  <c r="L769" i="2"/>
  <c r="K8" i="29" l="1"/>
  <c r="L8" i="29"/>
  <c r="E7" i="29"/>
  <c r="D7" i="29"/>
  <c r="K7" i="29" s="1"/>
  <c r="E5" i="29"/>
  <c r="D5" i="29"/>
  <c r="L157" i="23"/>
  <c r="K157" i="23"/>
  <c r="E154" i="23"/>
  <c r="D154" i="23"/>
  <c r="K154" i="23" s="1"/>
  <c r="E153" i="23"/>
  <c r="D153" i="23"/>
  <c r="K153" i="23" s="1"/>
  <c r="E152" i="23"/>
  <c r="D152" i="23"/>
  <c r="K152" i="23" s="1"/>
  <c r="E151" i="23"/>
  <c r="D151" i="23"/>
  <c r="K151" i="23" s="1"/>
  <c r="E150" i="23"/>
  <c r="D150" i="23"/>
  <c r="K150" i="23" s="1"/>
  <c r="E149" i="23"/>
  <c r="D149" i="23"/>
  <c r="K149" i="23" s="1"/>
  <c r="E148" i="23"/>
  <c r="D148" i="23"/>
  <c r="K148" i="23" s="1"/>
  <c r="E147" i="23"/>
  <c r="D147" i="23"/>
  <c r="K147" i="23" s="1"/>
  <c r="E145" i="23"/>
  <c r="D145" i="23"/>
  <c r="K145" i="23" s="1"/>
  <c r="E144" i="23"/>
  <c r="D144" i="23"/>
  <c r="K144" i="23" s="1"/>
  <c r="E146" i="23"/>
  <c r="D146" i="23"/>
  <c r="E69" i="29" l="1"/>
  <c r="D69" i="29"/>
  <c r="L154" i="23"/>
  <c r="L7" i="29"/>
  <c r="L150" i="23"/>
  <c r="L148" i="23"/>
  <c r="L152" i="23"/>
  <c r="L151" i="23"/>
  <c r="L147" i="23"/>
  <c r="L149" i="23"/>
  <c r="L153" i="23"/>
  <c r="L145" i="23"/>
  <c r="L144" i="23"/>
  <c r="K128" i="18"/>
  <c r="E127" i="18"/>
  <c r="D127" i="18"/>
  <c r="J127" i="18" s="1"/>
  <c r="E126" i="18"/>
  <c r="D126" i="18"/>
  <c r="J126" i="18" s="1"/>
  <c r="E125" i="18"/>
  <c r="D125" i="18"/>
  <c r="K236" i="16"/>
  <c r="J236" i="16"/>
  <c r="E234" i="16"/>
  <c r="D234" i="16"/>
  <c r="J234" i="16" s="1"/>
  <c r="E230" i="16"/>
  <c r="D230" i="16"/>
  <c r="J230" i="16" s="1"/>
  <c r="E229" i="16"/>
  <c r="D229" i="16"/>
  <c r="K127" i="18" l="1"/>
  <c r="K234" i="16"/>
  <c r="K230" i="16"/>
  <c r="K126" i="18"/>
  <c r="L101" i="13"/>
  <c r="E101" i="13"/>
  <c r="D101" i="13"/>
  <c r="K101" i="13" s="1"/>
  <c r="A103" i="13"/>
  <c r="B103" i="13"/>
  <c r="L175" i="12"/>
  <c r="E177" i="12"/>
  <c r="L177" i="12" s="1"/>
  <c r="D177" i="12"/>
  <c r="K177" i="12" s="1"/>
  <c r="E175" i="12"/>
  <c r="D175" i="12"/>
  <c r="K175" i="12" s="1"/>
  <c r="E174" i="12"/>
  <c r="D174" i="12"/>
  <c r="K34" i="15"/>
  <c r="E34" i="15"/>
  <c r="D34" i="15"/>
  <c r="L34" i="15" s="1"/>
  <c r="K80" i="14"/>
  <c r="L80" i="14"/>
  <c r="E79" i="14"/>
  <c r="D79" i="14"/>
  <c r="K79" i="14" s="1"/>
  <c r="L80" i="9"/>
  <c r="E80" i="9"/>
  <c r="D80" i="9"/>
  <c r="K80" i="9" s="1"/>
  <c r="K115" i="8"/>
  <c r="L115" i="8"/>
  <c r="K116" i="8"/>
  <c r="L116" i="8"/>
  <c r="L79" i="14" l="1"/>
  <c r="K60" i="6"/>
  <c r="L60" i="6"/>
  <c r="E272" i="4"/>
  <c r="D272" i="4"/>
  <c r="K272" i="4" s="1"/>
  <c r="E270" i="4"/>
  <c r="L270" i="4" s="1"/>
  <c r="D270" i="4"/>
  <c r="K270" i="4" s="1"/>
  <c r="E269" i="4"/>
  <c r="D269" i="4"/>
  <c r="K269" i="4" s="1"/>
  <c r="E267" i="4"/>
  <c r="L267" i="4" s="1"/>
  <c r="D267" i="4"/>
  <c r="K267" i="4" s="1"/>
  <c r="E266" i="4"/>
  <c r="D266" i="4"/>
  <c r="L215" i="3"/>
  <c r="L216" i="3"/>
  <c r="K216" i="3"/>
  <c r="E215" i="3"/>
  <c r="D215" i="3"/>
  <c r="K215" i="3" s="1"/>
  <c r="E213" i="3"/>
  <c r="L213" i="3" s="1"/>
  <c r="D213" i="3"/>
  <c r="K213" i="3" s="1"/>
  <c r="E212" i="3"/>
  <c r="D212" i="3"/>
  <c r="E754" i="2"/>
  <c r="D754" i="2"/>
  <c r="K754" i="2" s="1"/>
  <c r="E751" i="2"/>
  <c r="D751" i="2"/>
  <c r="K751" i="2" s="1"/>
  <c r="E748" i="2"/>
  <c r="D748" i="2"/>
  <c r="K748" i="2" s="1"/>
  <c r="E747" i="2"/>
  <c r="D747" i="2"/>
  <c r="K747" i="2" s="1"/>
  <c r="E745" i="2"/>
  <c r="D745" i="2"/>
  <c r="K745" i="2" s="1"/>
  <c r="E743" i="2"/>
  <c r="D743" i="2"/>
  <c r="K743" i="2" s="1"/>
  <c r="E742" i="2"/>
  <c r="D742" i="2"/>
  <c r="K742" i="2" s="1"/>
  <c r="E740" i="2"/>
  <c r="D740" i="2"/>
  <c r="K740" i="2" s="1"/>
  <c r="E732" i="2"/>
  <c r="D732" i="2"/>
  <c r="L269" i="4" l="1"/>
  <c r="L272" i="4"/>
  <c r="L745" i="2"/>
  <c r="L742" i="2"/>
  <c r="L748" i="2"/>
  <c r="L754" i="2"/>
  <c r="L740" i="2"/>
  <c r="L743" i="2"/>
  <c r="L747" i="2"/>
  <c r="L751" i="2"/>
  <c r="E631" i="1"/>
  <c r="D631" i="1"/>
  <c r="K631" i="1" s="1"/>
  <c r="E630" i="1"/>
  <c r="D630" i="1"/>
  <c r="K630" i="1" s="1"/>
  <c r="E629" i="1"/>
  <c r="D629" i="1"/>
  <c r="K629" i="1" s="1"/>
  <c r="E625" i="1"/>
  <c r="D625" i="1"/>
  <c r="K625" i="1" s="1"/>
  <c r="E623" i="1"/>
  <c r="D623" i="1"/>
  <c r="K623" i="1" s="1"/>
  <c r="E622" i="1"/>
  <c r="D622" i="1"/>
  <c r="K622" i="1" s="1"/>
  <c r="E619" i="1"/>
  <c r="D619" i="1"/>
  <c r="K619" i="1" s="1"/>
  <c r="E617" i="1"/>
  <c r="D617" i="1"/>
  <c r="K617" i="1" s="1"/>
  <c r="L617" i="1" l="1"/>
  <c r="L625" i="1"/>
  <c r="L630" i="1"/>
  <c r="L622" i="1"/>
  <c r="L619" i="1"/>
  <c r="L623" i="1"/>
  <c r="L629" i="1"/>
  <c r="L631" i="1"/>
  <c r="E78" i="14"/>
  <c r="L78" i="14" s="1"/>
  <c r="D78" i="14"/>
  <c r="K78" i="14" s="1"/>
  <c r="K616" i="1" l="1"/>
  <c r="L616" i="1"/>
  <c r="E78" i="9" l="1"/>
  <c r="L78" i="9" s="1"/>
  <c r="D78" i="9"/>
  <c r="K78" i="9" s="1"/>
  <c r="E76" i="9"/>
  <c r="D76" i="9"/>
  <c r="K76" i="9" s="1"/>
  <c r="L76" i="9" l="1"/>
  <c r="L737" i="2"/>
  <c r="K737" i="2"/>
  <c r="E735" i="2"/>
  <c r="D735" i="2"/>
  <c r="K735" i="2" s="1"/>
  <c r="E733" i="2"/>
  <c r="D733" i="2"/>
  <c r="K733" i="2" s="1"/>
  <c r="E731" i="2"/>
  <c r="D731" i="2"/>
  <c r="K731" i="2" s="1"/>
  <c r="L735" i="2" l="1"/>
  <c r="L733" i="2"/>
  <c r="L731" i="2"/>
  <c r="E54" i="24"/>
  <c r="L54" i="24" s="1"/>
  <c r="D54" i="24"/>
  <c r="K54" i="24" s="1"/>
  <c r="E53" i="24"/>
  <c r="L53" i="24" s="1"/>
  <c r="D53" i="24"/>
  <c r="K53" i="24" s="1"/>
  <c r="E52" i="24"/>
  <c r="L52" i="24" s="1"/>
  <c r="D52" i="24"/>
  <c r="K52" i="24" s="1"/>
  <c r="E51" i="24"/>
  <c r="L51" i="24" s="1"/>
  <c r="D51" i="24"/>
  <c r="K51" i="24" s="1"/>
  <c r="L146" i="23"/>
  <c r="K146" i="23"/>
  <c r="E143" i="23"/>
  <c r="D143" i="23"/>
  <c r="K143" i="23" s="1"/>
  <c r="E141" i="23"/>
  <c r="D141" i="23"/>
  <c r="K141" i="23" s="1"/>
  <c r="E140" i="23"/>
  <c r="D140" i="23"/>
  <c r="K140" i="23" s="1"/>
  <c r="E139" i="23"/>
  <c r="D139" i="23"/>
  <c r="K139" i="23" s="1"/>
  <c r="E138" i="23"/>
  <c r="D138" i="23"/>
  <c r="K138" i="23" s="1"/>
  <c r="E137" i="23"/>
  <c r="D137" i="23"/>
  <c r="K137" i="23" s="1"/>
  <c r="L137" i="23" l="1"/>
  <c r="L138" i="23"/>
  <c r="L140" i="23"/>
  <c r="L143" i="23"/>
  <c r="L139" i="23"/>
  <c r="L141" i="23"/>
  <c r="K102" i="20"/>
  <c r="J102" i="20"/>
  <c r="J125" i="18"/>
  <c r="K125" i="18"/>
  <c r="J112" i="17"/>
  <c r="K112" i="17"/>
  <c r="E225" i="16"/>
  <c r="D225" i="16"/>
  <c r="K224" i="16"/>
  <c r="K229" i="16"/>
  <c r="J229" i="16"/>
  <c r="E227" i="16"/>
  <c r="D227" i="16"/>
  <c r="J227" i="16" s="1"/>
  <c r="K225" i="16" l="1"/>
  <c r="J225" i="16"/>
  <c r="K227" i="16"/>
  <c r="J224" i="16"/>
  <c r="K174" i="12" l="1"/>
  <c r="L174" i="12"/>
  <c r="K77" i="14"/>
  <c r="L77" i="14"/>
  <c r="E77" i="14"/>
  <c r="D77" i="14"/>
  <c r="L266" i="4" l="1"/>
  <c r="K266" i="4"/>
  <c r="E265" i="4"/>
  <c r="D265" i="4"/>
  <c r="K265" i="4" s="1"/>
  <c r="E263" i="4"/>
  <c r="D263" i="4"/>
  <c r="K263" i="4" s="1"/>
  <c r="E261" i="4"/>
  <c r="D261" i="4"/>
  <c r="K261" i="4" s="1"/>
  <c r="K212" i="3"/>
  <c r="L212" i="3"/>
  <c r="E211" i="3"/>
  <c r="D211" i="3"/>
  <c r="K211" i="3" s="1"/>
  <c r="L726" i="2"/>
  <c r="K726" i="2"/>
  <c r="L732" i="2"/>
  <c r="K732" i="2"/>
  <c r="E730" i="2"/>
  <c r="D730" i="2"/>
  <c r="K730" i="2" s="1"/>
  <c r="E728" i="2"/>
  <c r="D728" i="2"/>
  <c r="K728" i="2" s="1"/>
  <c r="E725" i="2"/>
  <c r="D725" i="2"/>
  <c r="K725" i="2" s="1"/>
  <c r="E724" i="2"/>
  <c r="D724" i="2"/>
  <c r="K724" i="2" s="1"/>
  <c r="E723" i="2"/>
  <c r="D723" i="2"/>
  <c r="K723" i="2" s="1"/>
  <c r="E722" i="2"/>
  <c r="D722" i="2"/>
  <c r="K722" i="2" s="1"/>
  <c r="E615" i="1"/>
  <c r="D615" i="1"/>
  <c r="K615" i="1" s="1"/>
  <c r="E613" i="1"/>
  <c r="D613" i="1"/>
  <c r="K613" i="1" s="1"/>
  <c r="E610" i="1"/>
  <c r="D610" i="1"/>
  <c r="K610" i="1" s="1"/>
  <c r="E608" i="1"/>
  <c r="D608" i="1"/>
  <c r="K608" i="1" s="1"/>
  <c r="E607" i="1"/>
  <c r="D607" i="1"/>
  <c r="K607" i="1" s="1"/>
  <c r="E606" i="1"/>
  <c r="D606" i="1"/>
  <c r="K606" i="1" s="1"/>
  <c r="E605" i="1"/>
  <c r="D605" i="1"/>
  <c r="K605" i="1" s="1"/>
  <c r="E604" i="1"/>
  <c r="D604" i="1"/>
  <c r="K604" i="1" s="1"/>
  <c r="A183" i="1"/>
  <c r="L261" i="4" l="1"/>
  <c r="L211" i="3"/>
  <c r="L265" i="4"/>
  <c r="L263" i="4"/>
  <c r="L604" i="1"/>
  <c r="L606" i="1"/>
  <c r="L608" i="1"/>
  <c r="L613" i="1"/>
  <c r="L728" i="2"/>
  <c r="L605" i="1"/>
  <c r="L607" i="1"/>
  <c r="L610" i="1"/>
  <c r="L615" i="1"/>
  <c r="L730" i="2"/>
  <c r="L724" i="2"/>
  <c r="L725" i="2"/>
  <c r="L723" i="2"/>
  <c r="L722" i="2"/>
  <c r="K130" i="23"/>
  <c r="L130" i="23"/>
  <c r="K131" i="23"/>
  <c r="L131" i="23"/>
  <c r="L136" i="23" l="1"/>
  <c r="K136" i="23"/>
  <c r="J124" i="18" l="1"/>
  <c r="K124" i="18"/>
  <c r="J223" i="16"/>
  <c r="K223" i="16"/>
  <c r="E99" i="13" l="1"/>
  <c r="D99" i="13"/>
  <c r="K99" i="13" s="1"/>
  <c r="E98" i="13"/>
  <c r="D98" i="13"/>
  <c r="K98" i="13" s="1"/>
  <c r="E96" i="13"/>
  <c r="D96" i="13"/>
  <c r="K96" i="13" s="1"/>
  <c r="L173" i="12"/>
  <c r="K173" i="12"/>
  <c r="E170" i="12"/>
  <c r="L170" i="12" s="1"/>
  <c r="D170" i="12"/>
  <c r="K170" i="12" s="1"/>
  <c r="E66" i="11"/>
  <c r="L66" i="11" s="1"/>
  <c r="D66" i="11"/>
  <c r="K66" i="11" s="1"/>
  <c r="K33" i="15"/>
  <c r="L33" i="15"/>
  <c r="E33" i="15"/>
  <c r="D33" i="15"/>
  <c r="E32" i="15"/>
  <c r="L32" i="15" s="1"/>
  <c r="D32" i="15"/>
  <c r="K32" i="15" s="1"/>
  <c r="E76" i="14"/>
  <c r="L76" i="14" s="1"/>
  <c r="D76" i="14"/>
  <c r="K76" i="14" s="1"/>
  <c r="K114" i="8"/>
  <c r="L114" i="8"/>
  <c r="L96" i="13" l="1"/>
  <c r="L98" i="13"/>
  <c r="L99" i="13"/>
  <c r="E13" i="25"/>
  <c r="L13" i="25" s="1"/>
  <c r="D13" i="25"/>
  <c r="K13" i="25" s="1"/>
  <c r="E31" i="21"/>
  <c r="L31" i="21" s="1"/>
  <c r="D31" i="21"/>
  <c r="K31" i="21" s="1"/>
  <c r="E29" i="21"/>
  <c r="L29" i="21" s="1"/>
  <c r="D29" i="21"/>
  <c r="K29" i="21" s="1"/>
  <c r="E59" i="6"/>
  <c r="L59" i="6" s="1"/>
  <c r="D59" i="6"/>
  <c r="K59" i="6" s="1"/>
  <c r="K259" i="4"/>
  <c r="E259" i="4"/>
  <c r="D259" i="4"/>
  <c r="E602" i="1"/>
  <c r="D602" i="1"/>
  <c r="K602" i="1" s="1"/>
  <c r="L721" i="2"/>
  <c r="K721" i="2"/>
  <c r="E720" i="2"/>
  <c r="D720" i="2"/>
  <c r="E718" i="2"/>
  <c r="D718" i="2"/>
  <c r="K718" i="2" s="1"/>
  <c r="E717" i="2"/>
  <c r="D717" i="2"/>
  <c r="K717" i="2" s="1"/>
  <c r="E716" i="2"/>
  <c r="D716" i="2"/>
  <c r="K716" i="2" s="1"/>
  <c r="E713" i="2"/>
  <c r="D713" i="2"/>
  <c r="K713" i="2" s="1"/>
  <c r="K209" i="3"/>
  <c r="L209" i="3"/>
  <c r="L259" i="4" l="1"/>
  <c r="L713" i="2"/>
  <c r="L717" i="2"/>
  <c r="L716" i="2"/>
  <c r="L720" i="2"/>
  <c r="L718" i="2"/>
  <c r="L602" i="1"/>
  <c r="K720" i="2"/>
  <c r="E75" i="14"/>
  <c r="L75" i="14" s="1"/>
  <c r="D75" i="14"/>
  <c r="K75" i="14" s="1"/>
  <c r="K73" i="14" l="1"/>
  <c r="K74" i="14"/>
  <c r="L74" i="14"/>
  <c r="E73" i="14"/>
  <c r="L73" i="14" s="1"/>
  <c r="D73" i="14"/>
  <c r="E49" i="24" l="1"/>
  <c r="L49" i="24" s="1"/>
  <c r="D49" i="24"/>
  <c r="K49" i="24" s="1"/>
  <c r="E48" i="24"/>
  <c r="D48" i="24"/>
  <c r="K48" i="24" s="1"/>
  <c r="E134" i="23"/>
  <c r="D134" i="23"/>
  <c r="K134" i="23" s="1"/>
  <c r="E133" i="23"/>
  <c r="D133" i="23"/>
  <c r="K133" i="23" s="1"/>
  <c r="E132" i="23"/>
  <c r="D132" i="23"/>
  <c r="K132" i="23" s="1"/>
  <c r="E127" i="23"/>
  <c r="D127" i="23"/>
  <c r="K127" i="23" s="1"/>
  <c r="E126" i="23"/>
  <c r="D126" i="23"/>
  <c r="K126" i="23" s="1"/>
  <c r="E125" i="23"/>
  <c r="D125" i="23"/>
  <c r="K125" i="23" s="1"/>
  <c r="E120" i="23"/>
  <c r="D120" i="23"/>
  <c r="K120" i="23" s="1"/>
  <c r="L48" i="24" l="1"/>
  <c r="L125" i="23"/>
  <c r="L133" i="23"/>
  <c r="L127" i="23"/>
  <c r="L120" i="23"/>
  <c r="L126" i="23"/>
  <c r="L132" i="23"/>
  <c r="L134" i="23"/>
  <c r="E100" i="20"/>
  <c r="D100" i="20"/>
  <c r="J100" i="20" s="1"/>
  <c r="E123" i="18"/>
  <c r="D123" i="18"/>
  <c r="J123" i="18" s="1"/>
  <c r="E122" i="18"/>
  <c r="D122" i="18"/>
  <c r="J122" i="18" s="1"/>
  <c r="E111" i="17"/>
  <c r="D111" i="17"/>
  <c r="J111" i="17" s="1"/>
  <c r="E226" i="16"/>
  <c r="D226" i="16"/>
  <c r="K221" i="16"/>
  <c r="E218" i="16"/>
  <c r="D218" i="16"/>
  <c r="J218" i="16" s="1"/>
  <c r="K100" i="20" l="1"/>
  <c r="K111" i="17"/>
  <c r="K122" i="18"/>
  <c r="K218" i="16"/>
  <c r="K226" i="16"/>
  <c r="J221" i="16"/>
  <c r="K123" i="18"/>
  <c r="L226" i="16"/>
  <c r="J226" i="16"/>
  <c r="L97" i="13" l="1"/>
  <c r="K97" i="13"/>
  <c r="L168" i="12"/>
  <c r="K168" i="12"/>
  <c r="E167" i="12"/>
  <c r="D167" i="12"/>
  <c r="K167" i="12" s="1"/>
  <c r="E166" i="12"/>
  <c r="D166" i="12"/>
  <c r="K166" i="12" s="1"/>
  <c r="L79" i="10"/>
  <c r="K79" i="10"/>
  <c r="L75" i="9"/>
  <c r="K75" i="9"/>
  <c r="L166" i="12" l="1"/>
  <c r="L167" i="12"/>
  <c r="L113" i="8"/>
  <c r="K113" i="8"/>
  <c r="E111" i="8"/>
  <c r="D111" i="8"/>
  <c r="K111" i="8" s="1"/>
  <c r="L111" i="8" l="1"/>
  <c r="L258" i="4"/>
  <c r="K258" i="4"/>
  <c r="E257" i="4"/>
  <c r="L257" i="4" s="1"/>
  <c r="D257" i="4"/>
  <c r="K257" i="4" s="1"/>
  <c r="E256" i="4"/>
  <c r="D256" i="4"/>
  <c r="K256" i="4" s="1"/>
  <c r="E254" i="4"/>
  <c r="L254" i="4" s="1"/>
  <c r="D254" i="4"/>
  <c r="K254" i="4" s="1"/>
  <c r="E210" i="3"/>
  <c r="D210" i="3"/>
  <c r="K210" i="3" s="1"/>
  <c r="E207" i="3"/>
  <c r="L207" i="3" s="1"/>
  <c r="D207" i="3"/>
  <c r="K207" i="3" s="1"/>
  <c r="L710" i="2"/>
  <c r="E711" i="2"/>
  <c r="D711" i="2"/>
  <c r="K711" i="2" s="1"/>
  <c r="K710" i="2"/>
  <c r="E709" i="2"/>
  <c r="D709" i="2"/>
  <c r="K709" i="2" s="1"/>
  <c r="E707" i="2"/>
  <c r="D707" i="2"/>
  <c r="K707" i="2" s="1"/>
  <c r="E706" i="2"/>
  <c r="D706" i="2"/>
  <c r="K706" i="2" s="1"/>
  <c r="E705" i="2"/>
  <c r="D705" i="2"/>
  <c r="K705" i="2" s="1"/>
  <c r="E703" i="2"/>
  <c r="D703" i="2"/>
  <c r="K703" i="2" s="1"/>
  <c r="E701" i="2"/>
  <c r="D701" i="2"/>
  <c r="K701" i="2" s="1"/>
  <c r="E700" i="2"/>
  <c r="D700" i="2"/>
  <c r="K700" i="2" s="1"/>
  <c r="E698" i="2"/>
  <c r="D698" i="2"/>
  <c r="K698" i="2" s="1"/>
  <c r="K694" i="2"/>
  <c r="L694" i="2"/>
  <c r="K693" i="2"/>
  <c r="L693" i="2"/>
  <c r="K691" i="2"/>
  <c r="L691" i="2"/>
  <c r="E690" i="2"/>
  <c r="D690" i="2"/>
  <c r="K690" i="2" s="1"/>
  <c r="L687" i="2"/>
  <c r="K687" i="2"/>
  <c r="L600" i="1"/>
  <c r="E601" i="1"/>
  <c r="D601" i="1"/>
  <c r="K601" i="1" s="1"/>
  <c r="K600" i="1"/>
  <c r="E595" i="1"/>
  <c r="D595" i="1"/>
  <c r="K595" i="1" s="1"/>
  <c r="E592" i="1"/>
  <c r="D592" i="1"/>
  <c r="K592" i="1" s="1"/>
  <c r="L210" i="3" l="1"/>
  <c r="L256" i="4"/>
  <c r="L701" i="2"/>
  <c r="L707" i="2"/>
  <c r="L700" i="2"/>
  <c r="L703" i="2"/>
  <c r="L706" i="2"/>
  <c r="L601" i="1"/>
  <c r="L690" i="2"/>
  <c r="L711" i="2"/>
  <c r="L698" i="2"/>
  <c r="L705" i="2"/>
  <c r="L709" i="2"/>
  <c r="L592" i="1"/>
  <c r="L595" i="1"/>
  <c r="K253" i="4"/>
  <c r="L253" i="4"/>
  <c r="K206" i="3"/>
  <c r="L206" i="3" l="1"/>
  <c r="K5" i="29"/>
  <c r="L5" i="29"/>
  <c r="L46" i="24"/>
  <c r="K46" i="24"/>
  <c r="E44" i="24"/>
  <c r="D44" i="24"/>
  <c r="K44" i="24" s="1"/>
  <c r="E43" i="24"/>
  <c r="D43" i="24"/>
  <c r="K43" i="24" s="1"/>
  <c r="E124" i="23"/>
  <c r="D124" i="23"/>
  <c r="K124" i="23" s="1"/>
  <c r="E123" i="23"/>
  <c r="D123" i="23"/>
  <c r="K123" i="23" s="1"/>
  <c r="E121" i="23"/>
  <c r="D121" i="23"/>
  <c r="K121" i="23" s="1"/>
  <c r="E119" i="23"/>
  <c r="D119" i="23"/>
  <c r="K119" i="23" s="1"/>
  <c r="E117" i="23"/>
  <c r="D117" i="23"/>
  <c r="K117" i="23" s="1"/>
  <c r="E116" i="23"/>
  <c r="B116" i="23" s="1"/>
  <c r="D116" i="23"/>
  <c r="K116" i="23" s="1"/>
  <c r="L44" i="24" l="1"/>
  <c r="L116" i="23"/>
  <c r="L119" i="23"/>
  <c r="L123" i="23"/>
  <c r="L43" i="24"/>
  <c r="L117" i="23"/>
  <c r="L121" i="23"/>
  <c r="L124" i="23"/>
  <c r="K121" i="18"/>
  <c r="J121" i="18"/>
  <c r="K118" i="18"/>
  <c r="E120" i="18"/>
  <c r="D120" i="18"/>
  <c r="J120" i="18" s="1"/>
  <c r="E119" i="18"/>
  <c r="D119" i="18"/>
  <c r="J119" i="18" s="1"/>
  <c r="E117" i="18"/>
  <c r="D117" i="18"/>
  <c r="J117" i="18" s="1"/>
  <c r="J110" i="17"/>
  <c r="K110" i="17"/>
  <c r="E216" i="16"/>
  <c r="K216" i="16" s="1"/>
  <c r="D216" i="16"/>
  <c r="J216" i="16" s="1"/>
  <c r="E214" i="16"/>
  <c r="D214" i="16"/>
  <c r="J214" i="16" s="1"/>
  <c r="K117" i="18" l="1"/>
  <c r="K214" i="16"/>
  <c r="K120" i="18"/>
  <c r="K119" i="18"/>
  <c r="K95" i="13"/>
  <c r="L95" i="13"/>
  <c r="L165" i="12"/>
  <c r="K165" i="12"/>
  <c r="E164" i="12"/>
  <c r="L164" i="12" s="1"/>
  <c r="D164" i="12"/>
  <c r="K164" i="12" s="1"/>
  <c r="K110" i="8" l="1"/>
  <c r="L110" i="8"/>
  <c r="E12" i="25" l="1"/>
  <c r="D12" i="25"/>
  <c r="K12" i="25" s="1"/>
  <c r="E252" i="4"/>
  <c r="D252" i="4"/>
  <c r="K252" i="4" s="1"/>
  <c r="E250" i="4"/>
  <c r="D250" i="4"/>
  <c r="K250" i="4" s="1"/>
  <c r="E249" i="4"/>
  <c r="D249" i="4"/>
  <c r="K249" i="4" s="1"/>
  <c r="K247" i="4"/>
  <c r="L247" i="4"/>
  <c r="K205" i="3"/>
  <c r="E205" i="3"/>
  <c r="L205" i="3" s="1"/>
  <c r="D205" i="3"/>
  <c r="K202" i="3"/>
  <c r="L202" i="3"/>
  <c r="L685" i="2"/>
  <c r="K685" i="2"/>
  <c r="E697" i="2"/>
  <c r="D697" i="2"/>
  <c r="K697" i="2" s="1"/>
  <c r="E696" i="2"/>
  <c r="D696" i="2"/>
  <c r="K696" i="2" s="1"/>
  <c r="E695" i="2"/>
  <c r="D695" i="2"/>
  <c r="K695" i="2" s="1"/>
  <c r="E692" i="2"/>
  <c r="D692" i="2"/>
  <c r="K692" i="2" s="1"/>
  <c r="E688" i="2"/>
  <c r="D688" i="2"/>
  <c r="K688" i="2" s="1"/>
  <c r="L252" i="4" l="1"/>
  <c r="L250" i="4"/>
  <c r="L12" i="25"/>
  <c r="L249" i="4"/>
  <c r="L692" i="2"/>
  <c r="L696" i="2"/>
  <c r="L688" i="2"/>
  <c r="L697" i="2"/>
  <c r="L695" i="2"/>
  <c r="L683" i="2"/>
  <c r="K683" i="2"/>
  <c r="E590" i="1"/>
  <c r="D590" i="1"/>
  <c r="K590" i="1" s="1"/>
  <c r="E589" i="1"/>
  <c r="D589" i="1"/>
  <c r="K589" i="1" s="1"/>
  <c r="E587" i="1"/>
  <c r="D587" i="1"/>
  <c r="K587" i="1" s="1"/>
  <c r="E586" i="1"/>
  <c r="D586" i="1"/>
  <c r="K586" i="1" s="1"/>
  <c r="L589" i="1" l="1"/>
  <c r="L587" i="1"/>
  <c r="L590" i="1"/>
  <c r="L586" i="1"/>
  <c r="E108" i="17"/>
  <c r="D108" i="17"/>
  <c r="J108" i="17" s="1"/>
  <c r="E113" i="18"/>
  <c r="D113" i="18"/>
  <c r="J113" i="18" s="1"/>
  <c r="E112" i="18"/>
  <c r="D112" i="18"/>
  <c r="J112" i="18" s="1"/>
  <c r="K108" i="17" l="1"/>
  <c r="K113" i="18"/>
  <c r="K112" i="18"/>
  <c r="L42" i="24"/>
  <c r="K42" i="24"/>
  <c r="E39" i="24"/>
  <c r="D39" i="24"/>
  <c r="K39" i="24" s="1"/>
  <c r="E115" i="23"/>
  <c r="D115" i="23"/>
  <c r="K115" i="23" s="1"/>
  <c r="E113" i="23"/>
  <c r="D113" i="23"/>
  <c r="K113" i="23" s="1"/>
  <c r="E112" i="23"/>
  <c r="D112" i="23"/>
  <c r="K112" i="23" s="1"/>
  <c r="E111" i="23"/>
  <c r="D111" i="23"/>
  <c r="K111" i="23" s="1"/>
  <c r="E110" i="23"/>
  <c r="D110" i="23"/>
  <c r="K110" i="23" s="1"/>
  <c r="E108" i="23"/>
  <c r="D108" i="23"/>
  <c r="K108" i="23" s="1"/>
  <c r="E107" i="23"/>
  <c r="D107" i="23"/>
  <c r="K107" i="23" s="1"/>
  <c r="E106" i="23"/>
  <c r="D106" i="23"/>
  <c r="K106" i="23" s="1"/>
  <c r="E105" i="23"/>
  <c r="D105" i="23"/>
  <c r="K105" i="23" s="1"/>
  <c r="L39" i="24" l="1"/>
  <c r="L115" i="23"/>
  <c r="L106" i="23"/>
  <c r="L108" i="23"/>
  <c r="L111" i="23"/>
  <c r="L113" i="23"/>
  <c r="L105" i="23"/>
  <c r="L107" i="23"/>
  <c r="L110" i="23"/>
  <c r="L112" i="23"/>
  <c r="E99" i="20"/>
  <c r="D99" i="20"/>
  <c r="J99" i="20" s="1"/>
  <c r="E98" i="20"/>
  <c r="D98" i="20"/>
  <c r="J98" i="20" s="1"/>
  <c r="E56" i="19"/>
  <c r="D56" i="19"/>
  <c r="J56" i="19" s="1"/>
  <c r="E116" i="18"/>
  <c r="D116" i="18"/>
  <c r="J116" i="18" s="1"/>
  <c r="K213" i="16"/>
  <c r="J213" i="16"/>
  <c r="E212" i="16"/>
  <c r="D212" i="16"/>
  <c r="J212" i="16" s="1"/>
  <c r="E211" i="16"/>
  <c r="D211" i="16"/>
  <c r="J211" i="16" s="1"/>
  <c r="E210" i="16"/>
  <c r="D210" i="16"/>
  <c r="J210" i="16" s="1"/>
  <c r="E207" i="16"/>
  <c r="D207" i="16"/>
  <c r="J207" i="16" s="1"/>
  <c r="K56" i="19" l="1"/>
  <c r="K98" i="20"/>
  <c r="K99" i="20"/>
  <c r="K210" i="16"/>
  <c r="K212" i="16"/>
  <c r="K207" i="16"/>
  <c r="K211" i="16"/>
  <c r="K116" i="18"/>
  <c r="K72" i="14"/>
  <c r="L72" i="14"/>
  <c r="E74" i="9"/>
  <c r="L74" i="9" s="1"/>
  <c r="D74" i="9"/>
  <c r="K74" i="9" s="1"/>
  <c r="E72" i="9"/>
  <c r="D72" i="9"/>
  <c r="K72" i="9" s="1"/>
  <c r="K109" i="8"/>
  <c r="L109" i="8"/>
  <c r="L72" i="9" l="1"/>
  <c r="E11" i="25"/>
  <c r="D11" i="25"/>
  <c r="E9" i="25"/>
  <c r="D9" i="25"/>
  <c r="K9" i="25" s="1"/>
  <c r="E28" i="21"/>
  <c r="D28" i="21"/>
  <c r="K28" i="21" s="1"/>
  <c r="E27" i="21"/>
  <c r="L27" i="21" s="1"/>
  <c r="D27" i="21"/>
  <c r="K27" i="21" s="1"/>
  <c r="E26" i="21"/>
  <c r="D26" i="21"/>
  <c r="K26" i="21" s="1"/>
  <c r="E204" i="3"/>
  <c r="D204" i="3"/>
  <c r="K204" i="3" s="1"/>
  <c r="L681" i="2"/>
  <c r="K681" i="2"/>
  <c r="L684" i="2"/>
  <c r="K684" i="2"/>
  <c r="L11" i="25" l="1"/>
  <c r="L26" i="21"/>
  <c r="L28" i="21"/>
  <c r="L9" i="25"/>
  <c r="K11" i="25"/>
  <c r="L204" i="3"/>
  <c r="E679" i="2"/>
  <c r="D679" i="2"/>
  <c r="K679" i="2" s="1"/>
  <c r="E678" i="2"/>
  <c r="D678" i="2"/>
  <c r="K678" i="2" s="1"/>
  <c r="E676" i="2"/>
  <c r="D676" i="2"/>
  <c r="K676" i="2" s="1"/>
  <c r="E675" i="2"/>
  <c r="D675" i="2"/>
  <c r="E674" i="2"/>
  <c r="D674" i="2"/>
  <c r="K674" i="2" s="1"/>
  <c r="E673" i="2"/>
  <c r="D673" i="2"/>
  <c r="E672" i="2"/>
  <c r="D672" i="2"/>
  <c r="K672" i="2" s="1"/>
  <c r="E671" i="2"/>
  <c r="D671" i="2"/>
  <c r="K671" i="2" s="1"/>
  <c r="E670" i="2"/>
  <c r="D670" i="2"/>
  <c r="K670" i="2" s="1"/>
  <c r="L584" i="1"/>
  <c r="K584" i="1"/>
  <c r="E585" i="1"/>
  <c r="D585" i="1"/>
  <c r="K585" i="1" s="1"/>
  <c r="E581" i="1"/>
  <c r="D581" i="1"/>
  <c r="K581" i="1" s="1"/>
  <c r="E580" i="1"/>
  <c r="D580" i="1"/>
  <c r="E578" i="1"/>
  <c r="D578" i="1"/>
  <c r="K578" i="1" s="1"/>
  <c r="E577" i="1"/>
  <c r="D577" i="1"/>
  <c r="K577" i="1" s="1"/>
  <c r="E576" i="1"/>
  <c r="D576" i="1"/>
  <c r="K576" i="1" s="1"/>
  <c r="L673" i="2" l="1"/>
  <c r="L675" i="2"/>
  <c r="L580" i="1"/>
  <c r="L576" i="1"/>
  <c r="L578" i="1"/>
  <c r="L670" i="2"/>
  <c r="L672" i="2"/>
  <c r="L581" i="1"/>
  <c r="K580" i="1"/>
  <c r="L577" i="1"/>
  <c r="L585" i="1"/>
  <c r="L674" i="2"/>
  <c r="L671" i="2"/>
  <c r="L678" i="2"/>
  <c r="K675" i="2"/>
  <c r="K673" i="2"/>
  <c r="L676" i="2"/>
  <c r="L679" i="2"/>
  <c r="B9" i="28"/>
  <c r="A9" i="28"/>
  <c r="E6" i="28"/>
  <c r="D6" i="28"/>
  <c r="E5" i="28"/>
  <c r="D5" i="28"/>
  <c r="K5" i="28" s="1"/>
  <c r="B10" i="26"/>
  <c r="A10" i="26"/>
  <c r="E7" i="26"/>
  <c r="D7" i="26"/>
  <c r="K7" i="26" s="1"/>
  <c r="E6" i="26"/>
  <c r="D6" i="26"/>
  <c r="K6" i="26" s="1"/>
  <c r="E5" i="26"/>
  <c r="D5" i="26"/>
  <c r="L5" i="26" l="1"/>
  <c r="L7" i="26"/>
  <c r="L6" i="26"/>
  <c r="L6" i="28"/>
  <c r="D10" i="26"/>
  <c r="E9" i="28"/>
  <c r="E10" i="26"/>
  <c r="K5" i="26"/>
  <c r="D9" i="28"/>
  <c r="L5" i="28"/>
  <c r="K6" i="28"/>
  <c r="K103" i="23" l="1"/>
  <c r="L103" i="23"/>
  <c r="E102" i="23"/>
  <c r="D102" i="23"/>
  <c r="K102" i="23" s="1"/>
  <c r="E101" i="23"/>
  <c r="D101" i="23"/>
  <c r="K101" i="23" s="1"/>
  <c r="E99" i="23"/>
  <c r="D99" i="23"/>
  <c r="K99" i="23" s="1"/>
  <c r="E98" i="23"/>
  <c r="D98" i="23"/>
  <c r="K98" i="23" s="1"/>
  <c r="E96" i="23"/>
  <c r="D96" i="23"/>
  <c r="K96" i="23" s="1"/>
  <c r="L98" i="23" l="1"/>
  <c r="L96" i="23"/>
  <c r="L99" i="23"/>
  <c r="L102" i="23"/>
  <c r="L101" i="23"/>
  <c r="E96" i="20"/>
  <c r="D96" i="20"/>
  <c r="J96" i="20" s="1"/>
  <c r="E95" i="20"/>
  <c r="D95" i="20"/>
  <c r="J95" i="20" s="1"/>
  <c r="E55" i="19"/>
  <c r="D55" i="19"/>
  <c r="J55" i="19" s="1"/>
  <c r="E115" i="18"/>
  <c r="D115" i="18"/>
  <c r="J115" i="18" s="1"/>
  <c r="E114" i="18"/>
  <c r="D114" i="18"/>
  <c r="J114" i="18" s="1"/>
  <c r="E111" i="18"/>
  <c r="D111" i="18"/>
  <c r="J111" i="18" s="1"/>
  <c r="K109" i="17"/>
  <c r="J109" i="17"/>
  <c r="K55" i="19" l="1"/>
  <c r="K96" i="20"/>
  <c r="K111" i="18"/>
  <c r="K95" i="20"/>
  <c r="K115" i="18"/>
  <c r="K114" i="18"/>
  <c r="K206" i="16"/>
  <c r="J206" i="16"/>
  <c r="E203" i="16"/>
  <c r="D203" i="16"/>
  <c r="J203" i="16" s="1"/>
  <c r="E202" i="16"/>
  <c r="D202" i="16"/>
  <c r="J202" i="16" s="1"/>
  <c r="E200" i="16"/>
  <c r="D200" i="16"/>
  <c r="J200" i="16" s="1"/>
  <c r="E199" i="16"/>
  <c r="D199" i="16"/>
  <c r="J199" i="16" s="1"/>
  <c r="K203" i="16" l="1"/>
  <c r="K200" i="16"/>
  <c r="K202" i="16"/>
  <c r="K199" i="16"/>
  <c r="E94" i="13"/>
  <c r="D94" i="13"/>
  <c r="K94" i="13" s="1"/>
  <c r="L162" i="12"/>
  <c r="K162" i="12"/>
  <c r="E161" i="12"/>
  <c r="D161" i="12"/>
  <c r="K161" i="12" s="1"/>
  <c r="E159" i="12"/>
  <c r="D159" i="12"/>
  <c r="K159" i="12" s="1"/>
  <c r="E63" i="11"/>
  <c r="D63" i="11"/>
  <c r="K63" i="11" s="1"/>
  <c r="L78" i="10"/>
  <c r="K78" i="10"/>
  <c r="L63" i="11" l="1"/>
  <c r="L161" i="12"/>
  <c r="L94" i="13"/>
  <c r="L159" i="12"/>
  <c r="L31" i="15"/>
  <c r="K31" i="15"/>
  <c r="B52" i="25" l="1"/>
  <c r="C52" i="25"/>
  <c r="A52" i="25"/>
  <c r="E8" i="25"/>
  <c r="D8" i="25"/>
  <c r="K8" i="25" s="1"/>
  <c r="E7" i="25"/>
  <c r="D7" i="25"/>
  <c r="K7" i="25" s="1"/>
  <c r="E5" i="25"/>
  <c r="D5" i="25"/>
  <c r="K5" i="25" s="1"/>
  <c r="E25" i="21"/>
  <c r="D25" i="21"/>
  <c r="K25" i="21" s="1"/>
  <c r="E24" i="21"/>
  <c r="D24" i="21"/>
  <c r="K24" i="21" s="1"/>
  <c r="K58" i="6"/>
  <c r="L58" i="6"/>
  <c r="D246" i="4"/>
  <c r="K243" i="4"/>
  <c r="L243" i="4"/>
  <c r="E248" i="4"/>
  <c r="D248" i="4"/>
  <c r="K248" i="4" s="1"/>
  <c r="E246" i="4"/>
  <c r="E245" i="4"/>
  <c r="D245" i="4"/>
  <c r="E203" i="3"/>
  <c r="D203" i="3"/>
  <c r="K203" i="3" s="1"/>
  <c r="E669" i="2"/>
  <c r="D669" i="2"/>
  <c r="K669" i="2" s="1"/>
  <c r="E668" i="2"/>
  <c r="D668" i="2"/>
  <c r="E667" i="2"/>
  <c r="D667" i="2"/>
  <c r="K667" i="2" s="1"/>
  <c r="E666" i="2"/>
  <c r="D666" i="2"/>
  <c r="K666" i="2" s="1"/>
  <c r="E662" i="2"/>
  <c r="D662" i="2"/>
  <c r="K662" i="2" s="1"/>
  <c r="E658" i="2"/>
  <c r="D658" i="2"/>
  <c r="K658" i="2" s="1"/>
  <c r="E655" i="2"/>
  <c r="D655" i="2"/>
  <c r="K655" i="2" s="1"/>
  <c r="E652" i="2"/>
  <c r="D652" i="2"/>
  <c r="K652" i="2" s="1"/>
  <c r="E651" i="2"/>
  <c r="D651" i="2"/>
  <c r="K651" i="2" s="1"/>
  <c r="E650" i="2"/>
  <c r="D650" i="2"/>
  <c r="K650" i="2" s="1"/>
  <c r="K574" i="1"/>
  <c r="L574" i="1"/>
  <c r="E572" i="1"/>
  <c r="D572" i="1"/>
  <c r="K572" i="1" s="1"/>
  <c r="E571" i="1"/>
  <c r="D571" i="1"/>
  <c r="E570" i="1"/>
  <c r="D570" i="1"/>
  <c r="K570" i="1" s="1"/>
  <c r="E567" i="1"/>
  <c r="D567" i="1"/>
  <c r="L203" i="3" l="1"/>
  <c r="L24" i="21"/>
  <c r="L245" i="4"/>
  <c r="L248" i="4"/>
  <c r="L567" i="1"/>
  <c r="L571" i="1"/>
  <c r="L5" i="25"/>
  <c r="K245" i="4"/>
  <c r="L25" i="21"/>
  <c r="L570" i="1"/>
  <c r="L572" i="1"/>
  <c r="E52" i="25"/>
  <c r="L8" i="25"/>
  <c r="L650" i="2"/>
  <c r="L652" i="2"/>
  <c r="L658" i="2"/>
  <c r="L666" i="2"/>
  <c r="L651" i="2"/>
  <c r="L655" i="2"/>
  <c r="L662" i="2"/>
  <c r="L667" i="2"/>
  <c r="L669" i="2"/>
  <c r="K668" i="2"/>
  <c r="L668" i="2"/>
  <c r="K567" i="1"/>
  <c r="K571" i="1"/>
  <c r="L7" i="25"/>
  <c r="D52" i="25"/>
  <c r="L246" i="4"/>
  <c r="K246" i="4"/>
  <c r="E37" i="24"/>
  <c r="D37" i="24"/>
  <c r="K37" i="24" s="1"/>
  <c r="E35" i="24"/>
  <c r="D35" i="24"/>
  <c r="K35" i="24" s="1"/>
  <c r="L95" i="23"/>
  <c r="K95" i="23"/>
  <c r="E93" i="23"/>
  <c r="D93" i="23"/>
  <c r="K93" i="23" s="1"/>
  <c r="E92" i="23"/>
  <c r="D92" i="23"/>
  <c r="K92" i="23" s="1"/>
  <c r="E91" i="23"/>
  <c r="D91" i="23"/>
  <c r="K91" i="23" s="1"/>
  <c r="E87" i="23"/>
  <c r="D87" i="23"/>
  <c r="K87" i="23" s="1"/>
  <c r="E86" i="23"/>
  <c r="D86" i="23"/>
  <c r="K86" i="23" s="1"/>
  <c r="L87" i="23" l="1"/>
  <c r="L92" i="23"/>
  <c r="L93" i="23"/>
  <c r="L86" i="23"/>
  <c r="L91" i="23"/>
  <c r="L35" i="24"/>
  <c r="L37" i="24"/>
  <c r="K110" i="18"/>
  <c r="J110" i="18"/>
  <c r="E106" i="17"/>
  <c r="D106" i="17"/>
  <c r="J106" i="17" s="1"/>
  <c r="E105" i="17"/>
  <c r="D105" i="17"/>
  <c r="E102" i="17"/>
  <c r="D102" i="17"/>
  <c r="J102" i="17" s="1"/>
  <c r="E196" i="16"/>
  <c r="D196" i="16"/>
  <c r="J196" i="16" s="1"/>
  <c r="L71" i="14"/>
  <c r="K71" i="14"/>
  <c r="K108" i="8"/>
  <c r="L108" i="8"/>
  <c r="E107" i="8"/>
  <c r="D107" i="8"/>
  <c r="K107" i="8" s="1"/>
  <c r="K106" i="17" l="1"/>
  <c r="K105" i="17"/>
  <c r="L107" i="8"/>
  <c r="K102" i="17"/>
  <c r="K196" i="16"/>
  <c r="J105" i="17"/>
  <c r="E23" i="21"/>
  <c r="D23" i="21"/>
  <c r="K23" i="21" s="1"/>
  <c r="E22" i="21"/>
  <c r="D22" i="21"/>
  <c r="K22" i="21" s="1"/>
  <c r="K55" i="6"/>
  <c r="E55" i="6"/>
  <c r="L55" i="6" s="1"/>
  <c r="D55" i="6"/>
  <c r="L240" i="4"/>
  <c r="K240" i="4"/>
  <c r="L199" i="3"/>
  <c r="K199" i="3"/>
  <c r="E197" i="3"/>
  <c r="D197" i="3"/>
  <c r="K197" i="3" s="1"/>
  <c r="E196" i="3"/>
  <c r="L196" i="3" s="1"/>
  <c r="D196" i="3"/>
  <c r="K196" i="3" s="1"/>
  <c r="E195" i="3"/>
  <c r="D195" i="3"/>
  <c r="K195" i="3" s="1"/>
  <c r="L648" i="2"/>
  <c r="K648" i="2"/>
  <c r="E647" i="2"/>
  <c r="D647" i="2"/>
  <c r="K647" i="2" s="1"/>
  <c r="E646" i="2"/>
  <c r="D646" i="2"/>
  <c r="K646" i="2" s="1"/>
  <c r="E645" i="2"/>
  <c r="D645" i="2"/>
  <c r="K645" i="2" s="1"/>
  <c r="E642" i="2"/>
  <c r="D642" i="2"/>
  <c r="K642" i="2" s="1"/>
  <c r="E641" i="2"/>
  <c r="D641" i="2"/>
  <c r="K641" i="2" s="1"/>
  <c r="K639" i="2"/>
  <c r="L639" i="2"/>
  <c r="E565" i="1"/>
  <c r="D565" i="1"/>
  <c r="K565" i="1" s="1"/>
  <c r="E563" i="1"/>
  <c r="D563" i="1"/>
  <c r="K563" i="1" s="1"/>
  <c r="E560" i="1"/>
  <c r="D560" i="1"/>
  <c r="K560" i="1" s="1"/>
  <c r="E558" i="1"/>
  <c r="D558" i="1"/>
  <c r="K558" i="1" s="1"/>
  <c r="E557" i="1"/>
  <c r="D557" i="1"/>
  <c r="K557" i="1" s="1"/>
  <c r="E555" i="1"/>
  <c r="D555" i="1"/>
  <c r="K555" i="1" s="1"/>
  <c r="E554" i="1"/>
  <c r="D554" i="1"/>
  <c r="K554" i="1" s="1"/>
  <c r="L23" i="21" l="1"/>
  <c r="L563" i="1"/>
  <c r="L554" i="1"/>
  <c r="L557" i="1"/>
  <c r="L560" i="1"/>
  <c r="L565" i="1"/>
  <c r="L645" i="2"/>
  <c r="L647" i="2"/>
  <c r="L22" i="21"/>
  <c r="L195" i="3"/>
  <c r="L197" i="3"/>
  <c r="L642" i="2"/>
  <c r="L646" i="2"/>
  <c r="L555" i="1"/>
  <c r="L558" i="1"/>
  <c r="L641" i="2"/>
  <c r="E551" i="1"/>
  <c r="D551" i="1"/>
  <c r="K551" i="1" s="1"/>
  <c r="L551" i="1" l="1"/>
  <c r="L29" i="24"/>
  <c r="K29" i="24"/>
  <c r="E34" i="24"/>
  <c r="D34" i="24"/>
  <c r="K34" i="24" s="1"/>
  <c r="E33" i="24"/>
  <c r="D33" i="24"/>
  <c r="K33" i="24" s="1"/>
  <c r="E28" i="24"/>
  <c r="D28" i="24"/>
  <c r="K28" i="24" s="1"/>
  <c r="E27" i="24"/>
  <c r="D27" i="24"/>
  <c r="K27" i="24" s="1"/>
  <c r="E26" i="24"/>
  <c r="D26" i="24"/>
  <c r="K26" i="24" s="1"/>
  <c r="L85" i="23"/>
  <c r="K85" i="23"/>
  <c r="E84" i="23"/>
  <c r="D84" i="23"/>
  <c r="K84" i="23" s="1"/>
  <c r="E83" i="23"/>
  <c r="D83" i="23"/>
  <c r="K83" i="23" s="1"/>
  <c r="E82" i="23"/>
  <c r="D82" i="23"/>
  <c r="K82" i="23" s="1"/>
  <c r="E81" i="23"/>
  <c r="D81" i="23"/>
  <c r="K81" i="23" s="1"/>
  <c r="E80" i="23"/>
  <c r="D80" i="23"/>
  <c r="K80" i="23" s="1"/>
  <c r="E79" i="23"/>
  <c r="D79" i="23"/>
  <c r="K79" i="23" s="1"/>
  <c r="E77" i="23"/>
  <c r="D77" i="23"/>
  <c r="K77" i="23" s="1"/>
  <c r="E76" i="23"/>
  <c r="D76" i="23"/>
  <c r="K76" i="23" s="1"/>
  <c r="E75" i="23"/>
  <c r="D75" i="23"/>
  <c r="K75" i="23" s="1"/>
  <c r="E74" i="23"/>
  <c r="D74" i="23"/>
  <c r="K74" i="23" s="1"/>
  <c r="E73" i="23"/>
  <c r="D73" i="23"/>
  <c r="K73" i="23" s="1"/>
  <c r="E72" i="23"/>
  <c r="D72" i="23"/>
  <c r="K72" i="23" s="1"/>
  <c r="E71" i="23"/>
  <c r="D71" i="23"/>
  <c r="K71" i="23" s="1"/>
  <c r="E69" i="23"/>
  <c r="D69" i="23"/>
  <c r="K69" i="23" s="1"/>
  <c r="E67" i="23"/>
  <c r="D67" i="23"/>
  <c r="K67" i="23" s="1"/>
  <c r="E66" i="23"/>
  <c r="D66" i="23"/>
  <c r="K66" i="23" s="1"/>
  <c r="E64" i="23"/>
  <c r="D64" i="23"/>
  <c r="E63" i="23"/>
  <c r="D63" i="23"/>
  <c r="K63" i="23" s="1"/>
  <c r="E62" i="23"/>
  <c r="D62" i="23"/>
  <c r="K62" i="23" s="1"/>
  <c r="E60" i="23"/>
  <c r="D60" i="23"/>
  <c r="K60" i="23" s="1"/>
  <c r="K59" i="23"/>
  <c r="L59" i="23"/>
  <c r="L63" i="23" l="1"/>
  <c r="L66" i="23"/>
  <c r="L69" i="23"/>
  <c r="L72" i="23"/>
  <c r="L74" i="23"/>
  <c r="L76" i="23"/>
  <c r="L79" i="23"/>
  <c r="L81" i="23"/>
  <c r="L83" i="23"/>
  <c r="L64" i="23"/>
  <c r="K64" i="23"/>
  <c r="L67" i="23"/>
  <c r="L77" i="23"/>
  <c r="L27" i="24"/>
  <c r="L33" i="24"/>
  <c r="L28" i="24"/>
  <c r="L62" i="23"/>
  <c r="L71" i="23"/>
  <c r="L73" i="23"/>
  <c r="L75" i="23"/>
  <c r="L80" i="23"/>
  <c r="L82" i="23"/>
  <c r="L84" i="23"/>
  <c r="L26" i="24"/>
  <c r="L34" i="24"/>
  <c r="L60" i="23"/>
  <c r="K93" i="20" l="1"/>
  <c r="J93" i="20"/>
  <c r="E91" i="20"/>
  <c r="D91" i="20"/>
  <c r="J91" i="20" s="1"/>
  <c r="E90" i="20"/>
  <c r="D90" i="20"/>
  <c r="J90" i="20" s="1"/>
  <c r="E87" i="20"/>
  <c r="K87" i="20" s="1"/>
  <c r="D87" i="20"/>
  <c r="J87" i="20" s="1"/>
  <c r="J54" i="19"/>
  <c r="K54" i="19"/>
  <c r="E53" i="19"/>
  <c r="D53" i="19"/>
  <c r="J53" i="19" s="1"/>
  <c r="J109" i="18"/>
  <c r="K105" i="18"/>
  <c r="K95" i="18"/>
  <c r="K92" i="18"/>
  <c r="K109" i="18"/>
  <c r="E106" i="18"/>
  <c r="D106" i="18"/>
  <c r="J106" i="18" s="1"/>
  <c r="E104" i="18"/>
  <c r="K104" i="18" s="1"/>
  <c r="D104" i="18"/>
  <c r="J104" i="18" s="1"/>
  <c r="E103" i="18"/>
  <c r="D103" i="18"/>
  <c r="J103" i="18" s="1"/>
  <c r="E102" i="18"/>
  <c r="K102" i="18" s="1"/>
  <c r="D102" i="18"/>
  <c r="J102" i="18" s="1"/>
  <c r="E101" i="18"/>
  <c r="D101" i="18"/>
  <c r="J101" i="18" s="1"/>
  <c r="E100" i="18"/>
  <c r="K100" i="18" s="1"/>
  <c r="D100" i="18"/>
  <c r="J100" i="18" s="1"/>
  <c r="E96" i="18"/>
  <c r="D96" i="18"/>
  <c r="J96" i="18" s="1"/>
  <c r="E94" i="18"/>
  <c r="K94" i="18" s="1"/>
  <c r="D94" i="18"/>
  <c r="J94" i="18" s="1"/>
  <c r="E93" i="18"/>
  <c r="D93" i="18"/>
  <c r="J93" i="18" s="1"/>
  <c r="E91" i="18"/>
  <c r="K91" i="18" s="1"/>
  <c r="D91" i="18"/>
  <c r="J91" i="18" s="1"/>
  <c r="E104" i="17"/>
  <c r="D104" i="17"/>
  <c r="J104" i="17" s="1"/>
  <c r="E195" i="16"/>
  <c r="D195" i="16"/>
  <c r="J195" i="16" s="1"/>
  <c r="E194" i="16"/>
  <c r="D194" i="16"/>
  <c r="J194" i="16" s="1"/>
  <c r="E193" i="16"/>
  <c r="D193" i="16"/>
  <c r="J193" i="16" s="1"/>
  <c r="E192" i="16"/>
  <c r="D192" i="16"/>
  <c r="J192" i="16" s="1"/>
  <c r="E191" i="16"/>
  <c r="D191" i="16"/>
  <c r="J191" i="16" s="1"/>
  <c r="E190" i="16"/>
  <c r="D190" i="16"/>
  <c r="J190" i="16" s="1"/>
  <c r="E188" i="16"/>
  <c r="K188" i="16" s="1"/>
  <c r="D188" i="16"/>
  <c r="J188" i="16" s="1"/>
  <c r="E187" i="16"/>
  <c r="D187" i="16"/>
  <c r="J187" i="16" s="1"/>
  <c r="E186" i="16"/>
  <c r="K186" i="16" s="1"/>
  <c r="D186" i="16"/>
  <c r="J186" i="16" s="1"/>
  <c r="E185" i="16"/>
  <c r="D185" i="16"/>
  <c r="J185" i="16" s="1"/>
  <c r="E184" i="16"/>
  <c r="D184" i="16"/>
  <c r="J184" i="16" s="1"/>
  <c r="E182" i="16"/>
  <c r="D182" i="16"/>
  <c r="J182" i="16" s="1"/>
  <c r="E181" i="16"/>
  <c r="D181" i="16"/>
  <c r="J181" i="16" s="1"/>
  <c r="E179" i="16"/>
  <c r="D179" i="16"/>
  <c r="J179" i="16" s="1"/>
  <c r="E178" i="16"/>
  <c r="K178" i="16" s="1"/>
  <c r="D178" i="16"/>
  <c r="J178" i="16" s="1"/>
  <c r="E177" i="16"/>
  <c r="D177" i="16"/>
  <c r="J177" i="16" s="1"/>
  <c r="E176" i="16"/>
  <c r="K176" i="16" s="1"/>
  <c r="D176" i="16"/>
  <c r="J176" i="16" s="1"/>
  <c r="K106" i="18" l="1"/>
  <c r="K179" i="16"/>
  <c r="K185" i="16"/>
  <c r="K190" i="16"/>
  <c r="K192" i="16"/>
  <c r="K194" i="16"/>
  <c r="K177" i="16"/>
  <c r="K182" i="16"/>
  <c r="K187" i="16"/>
  <c r="K184" i="16"/>
  <c r="K53" i="19"/>
  <c r="K91" i="20"/>
  <c r="K181" i="16"/>
  <c r="K191" i="16"/>
  <c r="K193" i="16"/>
  <c r="K195" i="16"/>
  <c r="K93" i="18"/>
  <c r="K96" i="18"/>
  <c r="K101" i="18"/>
  <c r="K103" i="18"/>
  <c r="K104" i="17"/>
  <c r="K90" i="20"/>
  <c r="K93" i="13"/>
  <c r="L93" i="13"/>
  <c r="E92" i="13"/>
  <c r="D92" i="13"/>
  <c r="K92" i="13" s="1"/>
  <c r="E91" i="13"/>
  <c r="L91" i="13" s="1"/>
  <c r="D91" i="13"/>
  <c r="K91" i="13" s="1"/>
  <c r="E90" i="13"/>
  <c r="D90" i="13"/>
  <c r="K90" i="13" s="1"/>
  <c r="E156" i="12"/>
  <c r="L156" i="12" s="1"/>
  <c r="D156" i="12"/>
  <c r="K156" i="12" s="1"/>
  <c r="E153" i="12"/>
  <c r="L153" i="12" s="1"/>
  <c r="D153" i="12"/>
  <c r="K153" i="12" s="1"/>
  <c r="E60" i="11"/>
  <c r="D60" i="11"/>
  <c r="K60" i="11" s="1"/>
  <c r="E59" i="11"/>
  <c r="D59" i="11"/>
  <c r="K59" i="11" s="1"/>
  <c r="E76" i="10"/>
  <c r="D76" i="10"/>
  <c r="K76" i="10" s="1"/>
  <c r="E75" i="10"/>
  <c r="D75" i="10"/>
  <c r="K75" i="10" s="1"/>
  <c r="E74" i="10"/>
  <c r="D74" i="10"/>
  <c r="K74" i="10" s="1"/>
  <c r="L59" i="11" l="1"/>
  <c r="L75" i="10"/>
  <c r="L92" i="13"/>
  <c r="L76" i="10"/>
  <c r="L60" i="11"/>
  <c r="L90" i="13"/>
  <c r="L74" i="10"/>
  <c r="E30" i="15"/>
  <c r="D30" i="15"/>
  <c r="K30" i="15" s="1"/>
  <c r="E29" i="15"/>
  <c r="D29" i="15"/>
  <c r="K29" i="15" s="1"/>
  <c r="E28" i="15"/>
  <c r="D28" i="15"/>
  <c r="K28" i="15" s="1"/>
  <c r="K69" i="14"/>
  <c r="E68" i="14"/>
  <c r="D68" i="14"/>
  <c r="L68" i="14" s="1"/>
  <c r="E67" i="14"/>
  <c r="D67" i="14"/>
  <c r="K67" i="14" s="1"/>
  <c r="E66" i="14"/>
  <c r="D66" i="14"/>
  <c r="K66" i="14" s="1"/>
  <c r="L71" i="9"/>
  <c r="K71" i="9"/>
  <c r="E69" i="9"/>
  <c r="D69" i="9"/>
  <c r="K69" i="9" s="1"/>
  <c r="E68" i="9"/>
  <c r="D68" i="9"/>
  <c r="K68" i="9" s="1"/>
  <c r="L106" i="8"/>
  <c r="K106" i="8"/>
  <c r="E105" i="8"/>
  <c r="D105" i="8"/>
  <c r="K105" i="8" s="1"/>
  <c r="E103" i="8"/>
  <c r="D103" i="8"/>
  <c r="K103" i="8" s="1"/>
  <c r="E101" i="8"/>
  <c r="D101" i="8"/>
  <c r="K101" i="8" s="1"/>
  <c r="E100" i="8"/>
  <c r="D100" i="8"/>
  <c r="K100" i="8" s="1"/>
  <c r="L103" i="8" l="1"/>
  <c r="L69" i="9"/>
  <c r="L100" i="8"/>
  <c r="L28" i="15"/>
  <c r="L68" i="9"/>
  <c r="L29" i="15"/>
  <c r="L30" i="15"/>
  <c r="L101" i="8"/>
  <c r="L67" i="14"/>
  <c r="L69" i="14"/>
  <c r="L105" i="8"/>
  <c r="L66" i="14"/>
  <c r="K68" i="14"/>
  <c r="E21" i="21"/>
  <c r="D21" i="21"/>
  <c r="K21" i="21" s="1"/>
  <c r="E57" i="6"/>
  <c r="D57" i="6"/>
  <c r="K57" i="6" s="1"/>
  <c r="E53" i="6"/>
  <c r="D53" i="6"/>
  <c r="K53" i="6" s="1"/>
  <c r="E48" i="6"/>
  <c r="D48" i="6"/>
  <c r="L53" i="6" l="1"/>
  <c r="L21" i="21"/>
  <c r="L57" i="6"/>
  <c r="E239" i="4"/>
  <c r="D239" i="4"/>
  <c r="K239" i="4" s="1"/>
  <c r="E237" i="4"/>
  <c r="D237" i="4"/>
  <c r="K237" i="4" s="1"/>
  <c r="E236" i="4"/>
  <c r="D236" i="4"/>
  <c r="K236" i="4" s="1"/>
  <c r="E235" i="4"/>
  <c r="D235" i="4"/>
  <c r="K235" i="4" s="1"/>
  <c r="E234" i="4"/>
  <c r="D234" i="4"/>
  <c r="K234" i="4" s="1"/>
  <c r="E233" i="4"/>
  <c r="D233" i="4"/>
  <c r="K233" i="4" s="1"/>
  <c r="E232" i="4"/>
  <c r="D232" i="4"/>
  <c r="K232" i="4" s="1"/>
  <c r="E230" i="4"/>
  <c r="D230" i="4"/>
  <c r="K230" i="4" s="1"/>
  <c r="E227" i="4"/>
  <c r="D227" i="4"/>
  <c r="K227" i="4" s="1"/>
  <c r="E193" i="3"/>
  <c r="D193" i="3"/>
  <c r="K193" i="3" s="1"/>
  <c r="E190" i="3"/>
  <c r="D190" i="3"/>
  <c r="K190" i="3" s="1"/>
  <c r="E189" i="3"/>
  <c r="D189" i="3"/>
  <c r="K189" i="3" s="1"/>
  <c r="E188" i="3"/>
  <c r="D188" i="3"/>
  <c r="K188" i="3" s="1"/>
  <c r="E187" i="3"/>
  <c r="D187" i="3"/>
  <c r="K187" i="3" s="1"/>
  <c r="E186" i="3"/>
  <c r="D186" i="3"/>
  <c r="K186" i="3" s="1"/>
  <c r="E184" i="3"/>
  <c r="D184" i="3"/>
  <c r="K184" i="3" s="1"/>
  <c r="E183" i="3"/>
  <c r="D183" i="3"/>
  <c r="K183" i="3" s="1"/>
  <c r="E182" i="3"/>
  <c r="D182" i="3"/>
  <c r="K182" i="3" s="1"/>
  <c r="E180" i="3"/>
  <c r="D180" i="3"/>
  <c r="K180" i="3" s="1"/>
  <c r="L644" i="2"/>
  <c r="K644" i="2"/>
  <c r="E640" i="2"/>
  <c r="D640" i="2"/>
  <c r="K640" i="2" s="1"/>
  <c r="L637" i="2"/>
  <c r="K637" i="2"/>
  <c r="E636" i="2"/>
  <c r="D636" i="2"/>
  <c r="K636" i="2" s="1"/>
  <c r="E635" i="2"/>
  <c r="D635" i="2"/>
  <c r="K635" i="2" s="1"/>
  <c r="E633" i="2"/>
  <c r="D633" i="2"/>
  <c r="K633" i="2" s="1"/>
  <c r="E632" i="2"/>
  <c r="D632" i="2"/>
  <c r="K632" i="2" s="1"/>
  <c r="E630" i="2"/>
  <c r="D630" i="2"/>
  <c r="K630" i="2" s="1"/>
  <c r="E629" i="2"/>
  <c r="D629" i="2"/>
  <c r="K629" i="2" s="1"/>
  <c r="E628" i="2"/>
  <c r="D628" i="2"/>
  <c r="K628" i="2" s="1"/>
  <c r="E627" i="2"/>
  <c r="D627" i="2"/>
  <c r="K627" i="2" s="1"/>
  <c r="E626" i="2"/>
  <c r="D626" i="2"/>
  <c r="K626" i="2" s="1"/>
  <c r="E623" i="2"/>
  <c r="D623" i="2"/>
  <c r="K623" i="2" s="1"/>
  <c r="E621" i="2"/>
  <c r="D621" i="2"/>
  <c r="K621" i="2" s="1"/>
  <c r="E620" i="2"/>
  <c r="D620" i="2"/>
  <c r="K620" i="2" s="1"/>
  <c r="E619" i="2"/>
  <c r="D619" i="2"/>
  <c r="K619" i="2" s="1"/>
  <c r="E618" i="2"/>
  <c r="D618" i="2"/>
  <c r="K618" i="2" s="1"/>
  <c r="E617" i="2"/>
  <c r="D617" i="2"/>
  <c r="K617" i="2" s="1"/>
  <c r="E615" i="2"/>
  <c r="D615" i="2"/>
  <c r="K615" i="2" s="1"/>
  <c r="E612" i="2"/>
  <c r="D612" i="2"/>
  <c r="K612" i="2" s="1"/>
  <c r="E611" i="2"/>
  <c r="D611" i="2"/>
  <c r="K611" i="2" s="1"/>
  <c r="E610" i="2"/>
  <c r="D610" i="2"/>
  <c r="K610" i="2" s="1"/>
  <c r="E608" i="2"/>
  <c r="D608" i="2"/>
  <c r="K608" i="2" s="1"/>
  <c r="E607" i="2"/>
  <c r="D607" i="2"/>
  <c r="K607" i="2" s="1"/>
  <c r="E606" i="2"/>
  <c r="D606" i="2"/>
  <c r="K606" i="2" s="1"/>
  <c r="E604" i="2"/>
  <c r="D604" i="2"/>
  <c r="K604" i="2" s="1"/>
  <c r="E603" i="2"/>
  <c r="D603" i="2"/>
  <c r="K603" i="2" s="1"/>
  <c r="E602" i="2"/>
  <c r="D602" i="2"/>
  <c r="K602" i="2" s="1"/>
  <c r="E600" i="2"/>
  <c r="D600" i="2"/>
  <c r="K600" i="2" s="1"/>
  <c r="E598" i="2"/>
  <c r="D598" i="2"/>
  <c r="K598" i="2" s="1"/>
  <c r="E597" i="2"/>
  <c r="D597" i="2"/>
  <c r="K597" i="2" s="1"/>
  <c r="L549" i="1"/>
  <c r="K549" i="1"/>
  <c r="E541" i="1"/>
  <c r="D541" i="1"/>
  <c r="K541" i="1" s="1"/>
  <c r="E538" i="1"/>
  <c r="D538" i="1"/>
  <c r="K538" i="1" s="1"/>
  <c r="E536" i="1"/>
  <c r="D536" i="1"/>
  <c r="K536" i="1" s="1"/>
  <c r="E535" i="1"/>
  <c r="D535" i="1"/>
  <c r="K535" i="1" s="1"/>
  <c r="E534" i="1"/>
  <c r="D534" i="1"/>
  <c r="K534" i="1" s="1"/>
  <c r="E531" i="1"/>
  <c r="D531" i="1"/>
  <c r="K531" i="1" s="1"/>
  <c r="E527" i="1"/>
  <c r="D527" i="1"/>
  <c r="K527" i="1" s="1"/>
  <c r="E525" i="1"/>
  <c r="D525" i="1"/>
  <c r="K525" i="1" s="1"/>
  <c r="E522" i="1"/>
  <c r="D522" i="1"/>
  <c r="K522" i="1" s="1"/>
  <c r="E521" i="1"/>
  <c r="D521" i="1"/>
  <c r="K521" i="1" s="1"/>
  <c r="E519" i="1"/>
  <c r="D519" i="1"/>
  <c r="K519" i="1" s="1"/>
  <c r="L230" i="4" l="1"/>
  <c r="L237" i="4"/>
  <c r="L233" i="4"/>
  <c r="L235" i="4"/>
  <c r="L183" i="3"/>
  <c r="L186" i="3"/>
  <c r="L188" i="3"/>
  <c r="L190" i="3"/>
  <c r="L180" i="3"/>
  <c r="L597" i="2"/>
  <c r="L603" i="2"/>
  <c r="L608" i="2"/>
  <c r="L615" i="2"/>
  <c r="L618" i="2"/>
  <c r="L620" i="2"/>
  <c r="L629" i="2"/>
  <c r="L635" i="2"/>
  <c r="L525" i="1"/>
  <c r="L531" i="1"/>
  <c r="L535" i="1"/>
  <c r="L538" i="1"/>
  <c r="L182" i="3"/>
  <c r="L184" i="3"/>
  <c r="L187" i="3"/>
  <c r="L189" i="3"/>
  <c r="L193" i="3"/>
  <c r="L600" i="2"/>
  <c r="L606" i="2"/>
  <c r="L611" i="2"/>
  <c r="L623" i="2"/>
  <c r="L627" i="2"/>
  <c r="L632" i="2"/>
  <c r="L521" i="1"/>
  <c r="L227" i="4"/>
  <c r="L232" i="4"/>
  <c r="L234" i="4"/>
  <c r="L236" i="4"/>
  <c r="L239" i="4"/>
  <c r="L598" i="2"/>
  <c r="L602" i="2"/>
  <c r="L604" i="2"/>
  <c r="L607" i="2"/>
  <c r="L610" i="2"/>
  <c r="L612" i="2"/>
  <c r="L617" i="2"/>
  <c r="L619" i="2"/>
  <c r="L621" i="2"/>
  <c r="L626" i="2"/>
  <c r="L628" i="2"/>
  <c r="L630" i="2"/>
  <c r="L633" i="2"/>
  <c r="L636" i="2"/>
  <c r="L640" i="2"/>
  <c r="L522" i="1"/>
  <c r="L527" i="1"/>
  <c r="L534" i="1"/>
  <c r="L536" i="1"/>
  <c r="L541" i="1"/>
  <c r="L519" i="1"/>
  <c r="E25" i="24"/>
  <c r="D25" i="24"/>
  <c r="K25" i="24" s="1"/>
  <c r="E24" i="24"/>
  <c r="D24" i="24"/>
  <c r="K24" i="24" s="1"/>
  <c r="E20" i="24"/>
  <c r="D20" i="24"/>
  <c r="K20" i="24" s="1"/>
  <c r="E19" i="24"/>
  <c r="D19" i="24"/>
  <c r="K19" i="24" s="1"/>
  <c r="E61" i="23"/>
  <c r="B61" i="23" s="1"/>
  <c r="D61" i="23"/>
  <c r="A61" i="23" s="1"/>
  <c r="K61" i="23" s="1"/>
  <c r="E58" i="23"/>
  <c r="B58" i="23" s="1"/>
  <c r="D58" i="23"/>
  <c r="A58" i="23" s="1"/>
  <c r="K58" i="23" s="1"/>
  <c r="E57" i="23"/>
  <c r="B57" i="23" s="1"/>
  <c r="D57" i="23"/>
  <c r="A57" i="23" s="1"/>
  <c r="K57" i="23" s="1"/>
  <c r="E56" i="23"/>
  <c r="B56" i="23" s="1"/>
  <c r="D56" i="23"/>
  <c r="A56" i="23" s="1"/>
  <c r="E55" i="23"/>
  <c r="D55" i="23"/>
  <c r="K55" i="23" s="1"/>
  <c r="E54" i="23"/>
  <c r="D54" i="23"/>
  <c r="K54" i="23" s="1"/>
  <c r="E53" i="23"/>
  <c r="D53" i="23"/>
  <c r="K53" i="23" s="1"/>
  <c r="E52" i="23"/>
  <c r="D52" i="23"/>
  <c r="K52" i="23" s="1"/>
  <c r="E50" i="23"/>
  <c r="D50" i="23"/>
  <c r="K50" i="23" s="1"/>
  <c r="E48" i="23"/>
  <c r="D48" i="23"/>
  <c r="K48" i="23" s="1"/>
  <c r="E47" i="23"/>
  <c r="D47" i="23"/>
  <c r="K47" i="23" s="1"/>
  <c r="B45" i="23"/>
  <c r="A45" i="23"/>
  <c r="B454" i="23" l="1"/>
  <c r="K56" i="23"/>
  <c r="A454" i="23"/>
  <c r="L47" i="23"/>
  <c r="L53" i="23"/>
  <c r="L55" i="23"/>
  <c r="L57" i="23"/>
  <c r="L61" i="23"/>
  <c r="L20" i="24"/>
  <c r="L25" i="24"/>
  <c r="L19" i="24"/>
  <c r="L24" i="24"/>
  <c r="L48" i="23"/>
  <c r="L54" i="23"/>
  <c r="L58" i="23"/>
  <c r="L52" i="23"/>
  <c r="L56" i="23"/>
  <c r="L50" i="23"/>
  <c r="E86" i="20" l="1"/>
  <c r="D86" i="20"/>
  <c r="J86" i="20" s="1"/>
  <c r="E84" i="20"/>
  <c r="D84" i="20"/>
  <c r="J84" i="20" s="1"/>
  <c r="E83" i="20"/>
  <c r="D83" i="20"/>
  <c r="J83" i="20" s="1"/>
  <c r="E82" i="20"/>
  <c r="D82" i="20"/>
  <c r="J82" i="20" s="1"/>
  <c r="K52" i="19"/>
  <c r="J52" i="19"/>
  <c r="K83" i="20" l="1"/>
  <c r="K86" i="20"/>
  <c r="K84" i="20"/>
  <c r="K82" i="20"/>
  <c r="E50" i="19"/>
  <c r="D50" i="19"/>
  <c r="J50" i="19" s="1"/>
  <c r="K90" i="18"/>
  <c r="K88" i="18"/>
  <c r="K84" i="18"/>
  <c r="K78" i="18"/>
  <c r="E89" i="18"/>
  <c r="D89" i="18"/>
  <c r="J89" i="18" s="1"/>
  <c r="E87" i="18"/>
  <c r="D87" i="18"/>
  <c r="J87" i="18" s="1"/>
  <c r="E86" i="18"/>
  <c r="D86" i="18"/>
  <c r="J86" i="18" s="1"/>
  <c r="E85" i="18"/>
  <c r="D85" i="18"/>
  <c r="J85" i="18" s="1"/>
  <c r="E83" i="18"/>
  <c r="D83" i="18"/>
  <c r="J83" i="18" s="1"/>
  <c r="E82" i="18"/>
  <c r="D82" i="18"/>
  <c r="J82" i="18" s="1"/>
  <c r="E81" i="18"/>
  <c r="D81" i="18"/>
  <c r="J81" i="18" s="1"/>
  <c r="E80" i="18"/>
  <c r="D80" i="18"/>
  <c r="J80" i="18" s="1"/>
  <c r="E79" i="18"/>
  <c r="D79" i="18"/>
  <c r="J79" i="18" s="1"/>
  <c r="E77" i="18"/>
  <c r="D77" i="18"/>
  <c r="J77" i="18" s="1"/>
  <c r="E76" i="18"/>
  <c r="D76" i="18"/>
  <c r="J76" i="18" s="1"/>
  <c r="E75" i="18"/>
  <c r="D75" i="18"/>
  <c r="J75" i="18" s="1"/>
  <c r="E74" i="18"/>
  <c r="D74" i="18"/>
  <c r="J74" i="18" s="1"/>
  <c r="K75" i="18" l="1"/>
  <c r="K77" i="18"/>
  <c r="K80" i="18"/>
  <c r="K89" i="18"/>
  <c r="K74" i="18"/>
  <c r="K79" i="18"/>
  <c r="K81" i="18"/>
  <c r="K83" i="18"/>
  <c r="K86" i="18"/>
  <c r="K76" i="18"/>
  <c r="K82" i="18"/>
  <c r="K85" i="18"/>
  <c r="K87" i="18"/>
  <c r="K50" i="19"/>
  <c r="K100" i="17"/>
  <c r="J100" i="17"/>
  <c r="E101" i="17"/>
  <c r="D101" i="17"/>
  <c r="J101" i="17" s="1"/>
  <c r="E99" i="17"/>
  <c r="D99" i="17"/>
  <c r="J99" i="17" s="1"/>
  <c r="E98" i="17"/>
  <c r="D98" i="17"/>
  <c r="J98" i="17" s="1"/>
  <c r="E96" i="17"/>
  <c r="D96" i="17"/>
  <c r="J96" i="17" s="1"/>
  <c r="K99" i="17" l="1"/>
  <c r="K96" i="17"/>
  <c r="K98" i="17"/>
  <c r="K101" i="17"/>
  <c r="K168" i="16"/>
  <c r="J168" i="16"/>
  <c r="E174" i="16"/>
  <c r="D174" i="16"/>
  <c r="J174" i="16" s="1"/>
  <c r="K173" i="16"/>
  <c r="J173" i="16"/>
  <c r="E172" i="16"/>
  <c r="D172" i="16"/>
  <c r="J172" i="16" s="1"/>
  <c r="E171" i="16"/>
  <c r="D171" i="16"/>
  <c r="J171" i="16" s="1"/>
  <c r="E170" i="16"/>
  <c r="D170" i="16"/>
  <c r="J170" i="16" s="1"/>
  <c r="E166" i="16"/>
  <c r="D166" i="16"/>
  <c r="J166" i="16" s="1"/>
  <c r="E164" i="16"/>
  <c r="D164" i="16"/>
  <c r="J164" i="16" s="1"/>
  <c r="E162" i="16"/>
  <c r="D162" i="16"/>
  <c r="J162" i="16" s="1"/>
  <c r="E161" i="16"/>
  <c r="D161" i="16"/>
  <c r="J161" i="16" s="1"/>
  <c r="B161" i="16"/>
  <c r="E160" i="16"/>
  <c r="D160" i="16"/>
  <c r="J160" i="16" s="1"/>
  <c r="L89" i="13"/>
  <c r="K89" i="13"/>
  <c r="E87" i="13"/>
  <c r="D87" i="13"/>
  <c r="K87" i="13" s="1"/>
  <c r="E86" i="13"/>
  <c r="L86" i="13" s="1"/>
  <c r="D86" i="13"/>
  <c r="K86" i="13" s="1"/>
  <c r="E84" i="13"/>
  <c r="D84" i="13"/>
  <c r="K84" i="13" s="1"/>
  <c r="E83" i="13"/>
  <c r="L83" i="13" s="1"/>
  <c r="D83" i="13"/>
  <c r="K83" i="13" s="1"/>
  <c r="E80" i="13"/>
  <c r="L80" i="13" s="1"/>
  <c r="D80" i="13"/>
  <c r="K80" i="13" s="1"/>
  <c r="L152" i="12"/>
  <c r="K152" i="12"/>
  <c r="E150" i="12"/>
  <c r="D150" i="12"/>
  <c r="K150" i="12" s="1"/>
  <c r="E149" i="12"/>
  <c r="L149" i="12" s="1"/>
  <c r="D149" i="12"/>
  <c r="K149" i="12" s="1"/>
  <c r="E57" i="11"/>
  <c r="D57" i="11"/>
  <c r="K57" i="11" s="1"/>
  <c r="E72" i="10"/>
  <c r="L72" i="10" s="1"/>
  <c r="D72" i="10"/>
  <c r="K72" i="10" s="1"/>
  <c r="E27" i="15"/>
  <c r="D27" i="15"/>
  <c r="K27" i="15" s="1"/>
  <c r="E65" i="14"/>
  <c r="L65" i="14" s="1"/>
  <c r="D65" i="14"/>
  <c r="K65" i="14" s="1"/>
  <c r="E64" i="14"/>
  <c r="D64" i="14"/>
  <c r="K64" i="14" s="1"/>
  <c r="E62" i="14"/>
  <c r="L62" i="14" s="1"/>
  <c r="D62" i="14"/>
  <c r="K62" i="14" s="1"/>
  <c r="E67" i="9"/>
  <c r="D67" i="9"/>
  <c r="K67" i="9" s="1"/>
  <c r="E66" i="9"/>
  <c r="L66" i="9" s="1"/>
  <c r="D66" i="9"/>
  <c r="K66" i="9" s="1"/>
  <c r="E99" i="8"/>
  <c r="D99" i="8"/>
  <c r="K99" i="8" s="1"/>
  <c r="L27" i="22"/>
  <c r="K27" i="22"/>
  <c r="E25" i="22"/>
  <c r="D25" i="22"/>
  <c r="K25" i="22" s="1"/>
  <c r="E24" i="22"/>
  <c r="D24" i="22"/>
  <c r="E23" i="22"/>
  <c r="D23" i="22"/>
  <c r="K23" i="22" s="1"/>
  <c r="K20" i="21"/>
  <c r="L20" i="21"/>
  <c r="E52" i="6"/>
  <c r="D52" i="6"/>
  <c r="K52" i="6" s="1"/>
  <c r="L226" i="4"/>
  <c r="K226" i="4"/>
  <c r="E224" i="4"/>
  <c r="D224" i="4"/>
  <c r="K224" i="4" s="1"/>
  <c r="E221" i="4"/>
  <c r="D221" i="4"/>
  <c r="K221" i="4" s="1"/>
  <c r="E220" i="4"/>
  <c r="D220" i="4"/>
  <c r="K220" i="4" s="1"/>
  <c r="E219" i="4"/>
  <c r="D219" i="4"/>
  <c r="K219" i="4" s="1"/>
  <c r="E218" i="4"/>
  <c r="D218" i="4"/>
  <c r="K218" i="4" s="1"/>
  <c r="L179" i="3"/>
  <c r="K179" i="3"/>
  <c r="E178" i="3"/>
  <c r="D178" i="3"/>
  <c r="K178" i="3" s="1"/>
  <c r="E175" i="3"/>
  <c r="D175" i="3"/>
  <c r="K175" i="3" s="1"/>
  <c r="L595" i="2"/>
  <c r="K595" i="2"/>
  <c r="E594" i="2"/>
  <c r="D594" i="2"/>
  <c r="K594" i="2" s="1"/>
  <c r="E593" i="2"/>
  <c r="D593" i="2"/>
  <c r="K593" i="2" s="1"/>
  <c r="E592" i="2"/>
  <c r="D592" i="2"/>
  <c r="K592" i="2" s="1"/>
  <c r="E591" i="2"/>
  <c r="D591" i="2"/>
  <c r="K591" i="2" s="1"/>
  <c r="E588" i="2"/>
  <c r="D588" i="2"/>
  <c r="K588" i="2" s="1"/>
  <c r="E587" i="2"/>
  <c r="D587" i="2"/>
  <c r="B587" i="2"/>
  <c r="B1132" i="2" s="1"/>
  <c r="A587" i="2"/>
  <c r="E585" i="2"/>
  <c r="D585" i="2"/>
  <c r="K585" i="2" s="1"/>
  <c r="E584" i="2"/>
  <c r="D584" i="2"/>
  <c r="K584" i="2" s="1"/>
  <c r="E583" i="2"/>
  <c r="D583" i="2"/>
  <c r="K583" i="2" s="1"/>
  <c r="E582" i="2"/>
  <c r="D582" i="2"/>
  <c r="K582" i="2" s="1"/>
  <c r="E580" i="2"/>
  <c r="D580" i="2"/>
  <c r="K580" i="2" s="1"/>
  <c r="E577" i="2"/>
  <c r="D577" i="2"/>
  <c r="K577" i="2" s="1"/>
  <c r="E576" i="2"/>
  <c r="D576" i="2"/>
  <c r="K576" i="2" s="1"/>
  <c r="E575" i="2"/>
  <c r="D575" i="2"/>
  <c r="K575" i="2" s="1"/>
  <c r="E573" i="2"/>
  <c r="D573" i="2"/>
  <c r="K573" i="2" s="1"/>
  <c r="E572" i="2"/>
  <c r="D572" i="2"/>
  <c r="K572" i="2" s="1"/>
  <c r="E571" i="2"/>
  <c r="D571" i="2"/>
  <c r="K571" i="2" s="1"/>
  <c r="E569" i="2"/>
  <c r="D569" i="2"/>
  <c r="K569" i="2" s="1"/>
  <c r="E568" i="2"/>
  <c r="D568" i="2"/>
  <c r="K568" i="2" s="1"/>
  <c r="E566" i="2"/>
  <c r="D566" i="2"/>
  <c r="K566" i="2" s="1"/>
  <c r="L175" i="3" l="1"/>
  <c r="L178" i="3"/>
  <c r="L218" i="4"/>
  <c r="L52" i="6"/>
  <c r="L23" i="22"/>
  <c r="L25" i="22"/>
  <c r="L64" i="14"/>
  <c r="L27" i="15"/>
  <c r="L57" i="11"/>
  <c r="L150" i="12"/>
  <c r="L84" i="13"/>
  <c r="L87" i="13"/>
  <c r="L24" i="22"/>
  <c r="K162" i="16"/>
  <c r="K166" i="16"/>
  <c r="K171" i="16"/>
  <c r="L220" i="4"/>
  <c r="L224" i="4"/>
  <c r="L219" i="4"/>
  <c r="L571" i="2"/>
  <c r="L576" i="2"/>
  <c r="L585" i="2"/>
  <c r="K587" i="2"/>
  <c r="L568" i="2"/>
  <c r="L573" i="2"/>
  <c r="L580" i="2"/>
  <c r="L583" i="2"/>
  <c r="L591" i="2"/>
  <c r="L593" i="2"/>
  <c r="K24" i="22"/>
  <c r="L99" i="8"/>
  <c r="L67" i="9"/>
  <c r="K174" i="16"/>
  <c r="K164" i="16"/>
  <c r="K170" i="16"/>
  <c r="K172" i="16"/>
  <c r="K160" i="16"/>
  <c r="L221" i="4"/>
  <c r="L569" i="2"/>
  <c r="L572" i="2"/>
  <c r="L575" i="2"/>
  <c r="L582" i="2"/>
  <c r="L584" i="2"/>
  <c r="L587" i="2"/>
  <c r="L588" i="2"/>
  <c r="L592" i="2"/>
  <c r="L594" i="2"/>
  <c r="L566" i="2"/>
  <c r="L577" i="2"/>
  <c r="K161" i="16"/>
  <c r="L518" i="1"/>
  <c r="K518" i="1"/>
  <c r="E517" i="1"/>
  <c r="D517" i="1"/>
  <c r="K517" i="1" s="1"/>
  <c r="E514" i="1"/>
  <c r="D514" i="1"/>
  <c r="K514" i="1" s="1"/>
  <c r="E513" i="1"/>
  <c r="D513" i="1"/>
  <c r="K513" i="1" s="1"/>
  <c r="E512" i="1"/>
  <c r="D512" i="1"/>
  <c r="K512" i="1" s="1"/>
  <c r="E511" i="1"/>
  <c r="D511" i="1"/>
  <c r="K511" i="1" s="1"/>
  <c r="B511" i="1"/>
  <c r="E510" i="1"/>
  <c r="D510" i="1"/>
  <c r="E508" i="1"/>
  <c r="D508" i="1"/>
  <c r="K508" i="1" s="1"/>
  <c r="E505" i="1"/>
  <c r="D505" i="1"/>
  <c r="K505" i="1" s="1"/>
  <c r="E504" i="1"/>
  <c r="D504" i="1"/>
  <c r="K504" i="1" s="1"/>
  <c r="E500" i="1"/>
  <c r="D500" i="1"/>
  <c r="K500" i="1" s="1"/>
  <c r="E499" i="1"/>
  <c r="D499" i="1"/>
  <c r="K499" i="1" s="1"/>
  <c r="E495" i="1"/>
  <c r="D495" i="1"/>
  <c r="K495" i="1" s="1"/>
  <c r="E494" i="1"/>
  <c r="D494" i="1"/>
  <c r="K494" i="1" s="1"/>
  <c r="E492" i="1"/>
  <c r="D492" i="1"/>
  <c r="K492" i="1" s="1"/>
  <c r="E490" i="1"/>
  <c r="D490" i="1"/>
  <c r="K490" i="1" s="1"/>
  <c r="E487" i="1"/>
  <c r="D487" i="1"/>
  <c r="K487" i="1" s="1"/>
  <c r="E486" i="1"/>
  <c r="D486" i="1"/>
  <c r="K486" i="1" s="1"/>
  <c r="L512" i="1" l="1"/>
  <c r="L510" i="1"/>
  <c r="L494" i="1"/>
  <c r="L499" i="1"/>
  <c r="L504" i="1"/>
  <c r="L508" i="1"/>
  <c r="L486" i="1"/>
  <c r="L490" i="1"/>
  <c r="L495" i="1"/>
  <c r="L500" i="1"/>
  <c r="L514" i="1"/>
  <c r="L513" i="1"/>
  <c r="L517" i="1"/>
  <c r="L487" i="1"/>
  <c r="L492" i="1"/>
  <c r="L505" i="1"/>
  <c r="K510" i="1"/>
  <c r="L511" i="1"/>
  <c r="L18" i="24" l="1"/>
  <c r="K18" i="24"/>
  <c r="K46" i="23"/>
  <c r="L46" i="23"/>
  <c r="E45" i="23"/>
  <c r="D45" i="23"/>
  <c r="K45" i="23" s="1"/>
  <c r="L45" i="23" l="1"/>
  <c r="E44" i="23"/>
  <c r="D44" i="23"/>
  <c r="K44" i="23" s="1"/>
  <c r="E43" i="23"/>
  <c r="D43" i="23"/>
  <c r="K43" i="23" s="1"/>
  <c r="E42" i="23"/>
  <c r="D42" i="23"/>
  <c r="K42" i="23" s="1"/>
  <c r="E41" i="23"/>
  <c r="D41" i="23"/>
  <c r="K41" i="23" l="1"/>
  <c r="L42" i="23"/>
  <c r="L41" i="23"/>
  <c r="L43" i="23"/>
  <c r="L44" i="23"/>
  <c r="E81" i="20"/>
  <c r="D81" i="20"/>
  <c r="J81" i="20" s="1"/>
  <c r="E80" i="20"/>
  <c r="D80" i="20"/>
  <c r="J80" i="20" s="1"/>
  <c r="E49" i="19"/>
  <c r="D49" i="19"/>
  <c r="J49" i="19" s="1"/>
  <c r="K73" i="18"/>
  <c r="K67" i="18"/>
  <c r="E72" i="18"/>
  <c r="D72" i="18"/>
  <c r="J72" i="18" s="1"/>
  <c r="E71" i="18"/>
  <c r="D71" i="18"/>
  <c r="J71" i="18" s="1"/>
  <c r="E70" i="18"/>
  <c r="D70" i="18"/>
  <c r="J70" i="18" s="1"/>
  <c r="E69" i="18"/>
  <c r="D69" i="18"/>
  <c r="J69" i="18" s="1"/>
  <c r="E68" i="18"/>
  <c r="D68" i="18"/>
  <c r="J68" i="18" s="1"/>
  <c r="E66" i="18"/>
  <c r="D66" i="18"/>
  <c r="J66" i="18" s="1"/>
  <c r="E95" i="17"/>
  <c r="D95" i="17"/>
  <c r="J95" i="17" s="1"/>
  <c r="E94" i="17"/>
  <c r="D94" i="17"/>
  <c r="J94" i="17" s="1"/>
  <c r="E93" i="17"/>
  <c r="D93" i="17"/>
  <c r="J93" i="17" s="1"/>
  <c r="E92" i="17"/>
  <c r="D92" i="17"/>
  <c r="J92" i="17" s="1"/>
  <c r="E159" i="16"/>
  <c r="D159" i="16"/>
  <c r="J159" i="16" s="1"/>
  <c r="E157" i="16"/>
  <c r="D157" i="16"/>
  <c r="J157" i="16" s="1"/>
  <c r="E156" i="16"/>
  <c r="D156" i="16"/>
  <c r="J156" i="16" s="1"/>
  <c r="E155" i="16"/>
  <c r="D155" i="16"/>
  <c r="J155" i="16" s="1"/>
  <c r="E153" i="16"/>
  <c r="D153" i="16"/>
  <c r="J153" i="16" s="1"/>
  <c r="E151" i="16"/>
  <c r="D151" i="16"/>
  <c r="J151" i="16" s="1"/>
  <c r="E150" i="16"/>
  <c r="D150" i="16"/>
  <c r="J150" i="16" s="1"/>
  <c r="K92" i="17" l="1"/>
  <c r="K66" i="18"/>
  <c r="K71" i="18"/>
  <c r="K69" i="18"/>
  <c r="K93" i="17"/>
  <c r="K81" i="20"/>
  <c r="K80" i="20"/>
  <c r="K68" i="18"/>
  <c r="K94" i="17"/>
  <c r="K151" i="16"/>
  <c r="K155" i="16"/>
  <c r="K157" i="16"/>
  <c r="K159" i="16"/>
  <c r="K150" i="16"/>
  <c r="K153" i="16"/>
  <c r="K49" i="19"/>
  <c r="K70" i="18"/>
  <c r="K72" i="18"/>
  <c r="K95" i="17"/>
  <c r="K156" i="16"/>
  <c r="L148" i="12"/>
  <c r="K148" i="12"/>
  <c r="E147" i="12"/>
  <c r="D147" i="12"/>
  <c r="K147" i="12" s="1"/>
  <c r="E146" i="12"/>
  <c r="D146" i="12"/>
  <c r="K146" i="12" s="1"/>
  <c r="E145" i="12"/>
  <c r="D145" i="12"/>
  <c r="K145" i="12" s="1"/>
  <c r="E143" i="12"/>
  <c r="D143" i="12"/>
  <c r="K143" i="12" s="1"/>
  <c r="E142" i="12"/>
  <c r="D142" i="12"/>
  <c r="K142" i="12" s="1"/>
  <c r="E141" i="12"/>
  <c r="D141" i="12"/>
  <c r="K141" i="12" s="1"/>
  <c r="E139" i="12"/>
  <c r="D139" i="12"/>
  <c r="K139" i="12" s="1"/>
  <c r="L26" i="15"/>
  <c r="K26" i="15"/>
  <c r="L61" i="14"/>
  <c r="K61" i="14"/>
  <c r="L142" i="12" l="1"/>
  <c r="L145" i="12"/>
  <c r="L147" i="12"/>
  <c r="L139" i="12"/>
  <c r="L143" i="12"/>
  <c r="L141" i="12"/>
  <c r="L146" i="12"/>
  <c r="E51" i="6"/>
  <c r="D51" i="6"/>
  <c r="K51" i="6" s="1"/>
  <c r="E217" i="4"/>
  <c r="D217" i="4"/>
  <c r="K217" i="4" s="1"/>
  <c r="E174" i="3"/>
  <c r="D174" i="3"/>
  <c r="K174" i="3" s="1"/>
  <c r="E173" i="3"/>
  <c r="D173" i="3"/>
  <c r="K173" i="3" s="1"/>
  <c r="E172" i="3"/>
  <c r="D172" i="3"/>
  <c r="E171" i="3"/>
  <c r="D171" i="3"/>
  <c r="K171" i="3" s="1"/>
  <c r="E170" i="3"/>
  <c r="D170" i="3"/>
  <c r="K170" i="3" s="1"/>
  <c r="E169" i="3"/>
  <c r="D169" i="3"/>
  <c r="K169" i="3" s="1"/>
  <c r="L567" i="2"/>
  <c r="K567" i="2"/>
  <c r="E565" i="2"/>
  <c r="D565" i="2"/>
  <c r="K565" i="2" s="1"/>
  <c r="E564" i="2"/>
  <c r="D564" i="2"/>
  <c r="K564" i="2" s="1"/>
  <c r="E562" i="2"/>
  <c r="D562" i="2"/>
  <c r="K562" i="2" s="1"/>
  <c r="E560" i="2"/>
  <c r="D560" i="2"/>
  <c r="K560" i="2" s="1"/>
  <c r="E559" i="2"/>
  <c r="D559" i="2"/>
  <c r="K559" i="2" s="1"/>
  <c r="E558" i="2"/>
  <c r="D558" i="2"/>
  <c r="K558" i="2" s="1"/>
  <c r="E557" i="2"/>
  <c r="D557" i="2"/>
  <c r="K557" i="2" s="1"/>
  <c r="E556" i="2"/>
  <c r="D556" i="2"/>
  <c r="K556" i="2" s="1"/>
  <c r="E555" i="2"/>
  <c r="D555" i="2"/>
  <c r="K555" i="2" s="1"/>
  <c r="E554" i="2"/>
  <c r="D554" i="2"/>
  <c r="K554" i="2" s="1"/>
  <c r="L170" i="3" l="1"/>
  <c r="L174" i="3"/>
  <c r="L217" i="4"/>
  <c r="L172" i="3"/>
  <c r="L51" i="6"/>
  <c r="K172" i="3"/>
  <c r="L169" i="3"/>
  <c r="L171" i="3"/>
  <c r="L173" i="3"/>
  <c r="L557" i="2"/>
  <c r="L565" i="2"/>
  <c r="L555" i="2"/>
  <c r="L559" i="2"/>
  <c r="L562" i="2"/>
  <c r="L554" i="2"/>
  <c r="L556" i="2"/>
  <c r="L558" i="2"/>
  <c r="L560" i="2"/>
  <c r="L564" i="2"/>
  <c r="L484" i="1"/>
  <c r="K484" i="1"/>
  <c r="E483" i="1"/>
  <c r="D483" i="1"/>
  <c r="K483" i="1" s="1"/>
  <c r="E482" i="1"/>
  <c r="D482" i="1"/>
  <c r="K482" i="1" s="1"/>
  <c r="E480" i="1"/>
  <c r="D480" i="1"/>
  <c r="K480" i="1" s="1"/>
  <c r="L483" i="1" l="1"/>
  <c r="L480" i="1"/>
  <c r="L482" i="1"/>
  <c r="E17" i="24"/>
  <c r="D17" i="24"/>
  <c r="K17" i="24" s="1"/>
  <c r="E15" i="24"/>
  <c r="D15" i="24"/>
  <c r="K15" i="24" s="1"/>
  <c r="E14" i="24"/>
  <c r="D14" i="24"/>
  <c r="K14" i="24" s="1"/>
  <c r="E40" i="23"/>
  <c r="D40" i="23"/>
  <c r="K40" i="23" s="1"/>
  <c r="E39" i="23"/>
  <c r="D39" i="23"/>
  <c r="K39" i="23" s="1"/>
  <c r="E37" i="23"/>
  <c r="D37" i="23"/>
  <c r="K37" i="23" s="1"/>
  <c r="E35" i="23"/>
  <c r="D35" i="23"/>
  <c r="K35" i="23" s="1"/>
  <c r="E34" i="23"/>
  <c r="D34" i="23"/>
  <c r="K34" i="23" s="1"/>
  <c r="E33" i="23"/>
  <c r="D33" i="23"/>
  <c r="K33" i="23" s="1"/>
  <c r="E32" i="23"/>
  <c r="D32" i="23"/>
  <c r="K32" i="23" s="1"/>
  <c r="L14" i="24" l="1"/>
  <c r="L17" i="24"/>
  <c r="L15" i="24"/>
  <c r="L37" i="23"/>
  <c r="L40" i="23"/>
  <c r="L32" i="23"/>
  <c r="L39" i="23"/>
  <c r="L35" i="23"/>
  <c r="L34" i="23"/>
  <c r="L33" i="23"/>
  <c r="E79" i="20"/>
  <c r="D79" i="20"/>
  <c r="J79" i="20" s="1"/>
  <c r="E78" i="20"/>
  <c r="D78" i="20"/>
  <c r="J78" i="20" s="1"/>
  <c r="E77" i="20"/>
  <c r="D77" i="20"/>
  <c r="J77" i="20" s="1"/>
  <c r="E48" i="19"/>
  <c r="D48" i="19"/>
  <c r="J48" i="19" s="1"/>
  <c r="K64" i="18"/>
  <c r="K61" i="18"/>
  <c r="K65" i="18"/>
  <c r="J65" i="18"/>
  <c r="E63" i="18"/>
  <c r="D63" i="18"/>
  <c r="J63" i="18" s="1"/>
  <c r="E62" i="18"/>
  <c r="D62" i="18"/>
  <c r="J62" i="18" s="1"/>
  <c r="E60" i="18"/>
  <c r="D60" i="18"/>
  <c r="K60" i="18" s="1"/>
  <c r="E59" i="18"/>
  <c r="D59" i="18"/>
  <c r="J59" i="18" s="1"/>
  <c r="E58" i="18"/>
  <c r="D58" i="18"/>
  <c r="J58" i="18" s="1"/>
  <c r="E57" i="18"/>
  <c r="D57" i="18"/>
  <c r="E90" i="17"/>
  <c r="D90" i="17"/>
  <c r="J90" i="17" s="1"/>
  <c r="E89" i="17"/>
  <c r="D89" i="17"/>
  <c r="J89" i="17" s="1"/>
  <c r="E88" i="17"/>
  <c r="D88" i="17"/>
  <c r="J88" i="17" s="1"/>
  <c r="E86" i="17"/>
  <c r="D86" i="17"/>
  <c r="J86" i="17" s="1"/>
  <c r="E154" i="16"/>
  <c r="D154" i="16"/>
  <c r="J154" i="16" s="1"/>
  <c r="E149" i="16"/>
  <c r="D149" i="16"/>
  <c r="J149" i="16" s="1"/>
  <c r="E147" i="16"/>
  <c r="D147" i="16"/>
  <c r="J147" i="16" s="1"/>
  <c r="E146" i="16"/>
  <c r="D146" i="16"/>
  <c r="E145" i="16"/>
  <c r="D145" i="16"/>
  <c r="J145" i="16" s="1"/>
  <c r="E143" i="16"/>
  <c r="D143" i="16"/>
  <c r="J143" i="16" s="1"/>
  <c r="E142" i="16"/>
  <c r="D142" i="16"/>
  <c r="J142" i="16" s="1"/>
  <c r="E141" i="16"/>
  <c r="D141" i="16"/>
  <c r="K86" i="17" l="1"/>
  <c r="K48" i="19"/>
  <c r="K146" i="16"/>
  <c r="K63" i="18"/>
  <c r="K77" i="20"/>
  <c r="K79" i="20"/>
  <c r="K78" i="20"/>
  <c r="K88" i="17"/>
  <c r="K62" i="18"/>
  <c r="J60" i="18"/>
  <c r="K89" i="17"/>
  <c r="K90" i="17"/>
  <c r="K59" i="18"/>
  <c r="K58" i="18"/>
  <c r="K145" i="16"/>
  <c r="K147" i="16"/>
  <c r="K154" i="16"/>
  <c r="J146" i="16"/>
  <c r="K142" i="16"/>
  <c r="K149" i="16"/>
  <c r="K143" i="16"/>
  <c r="E79" i="13" l="1"/>
  <c r="D79" i="13"/>
  <c r="K79" i="13" s="1"/>
  <c r="E78" i="13"/>
  <c r="D78" i="13"/>
  <c r="K78" i="13" s="1"/>
  <c r="E76" i="13"/>
  <c r="D76" i="13"/>
  <c r="K76" i="13" s="1"/>
  <c r="E75" i="13"/>
  <c r="D75" i="13"/>
  <c r="K75" i="13" s="1"/>
  <c r="E137" i="12"/>
  <c r="D137" i="12"/>
  <c r="K137" i="12" s="1"/>
  <c r="E134" i="12"/>
  <c r="L134" i="12" s="1"/>
  <c r="D134" i="12"/>
  <c r="K134" i="12" s="1"/>
  <c r="E55" i="11"/>
  <c r="D55" i="11"/>
  <c r="K55" i="11" s="1"/>
  <c r="E54" i="11"/>
  <c r="D54" i="11"/>
  <c r="E71" i="10"/>
  <c r="D71" i="10"/>
  <c r="K71" i="10" s="1"/>
  <c r="E70" i="10"/>
  <c r="D70" i="10"/>
  <c r="K70" i="10" s="1"/>
  <c r="L79" i="13" l="1"/>
  <c r="L70" i="10"/>
  <c r="L75" i="13"/>
  <c r="L78" i="13"/>
  <c r="L71" i="10"/>
  <c r="L55" i="11"/>
  <c r="L76" i="13"/>
  <c r="L137" i="12"/>
  <c r="E25" i="15"/>
  <c r="D25" i="15"/>
  <c r="K25" i="15" s="1"/>
  <c r="E60" i="14"/>
  <c r="D60" i="14"/>
  <c r="K60" i="14" s="1"/>
  <c r="E59" i="14"/>
  <c r="D59" i="14"/>
  <c r="K59" i="14" s="1"/>
  <c r="E65" i="9"/>
  <c r="D65" i="9"/>
  <c r="K65" i="9" s="1"/>
  <c r="E63" i="9"/>
  <c r="D63" i="9"/>
  <c r="K63" i="9" s="1"/>
  <c r="E62" i="9"/>
  <c r="D62" i="9"/>
  <c r="E61" i="9"/>
  <c r="D61" i="9"/>
  <c r="B147" i="8"/>
  <c r="E98" i="8"/>
  <c r="D98" i="8"/>
  <c r="K98" i="8" s="1"/>
  <c r="E97" i="8"/>
  <c r="D97" i="8"/>
  <c r="K97" i="8" s="1"/>
  <c r="E96" i="8"/>
  <c r="D96" i="8"/>
  <c r="K96" i="8" s="1"/>
  <c r="E95" i="8"/>
  <c r="D95" i="8"/>
  <c r="L94" i="8"/>
  <c r="K94" i="8"/>
  <c r="L63" i="9" l="1"/>
  <c r="L59" i="14"/>
  <c r="L65" i="9"/>
  <c r="L97" i="8"/>
  <c r="L25" i="15"/>
  <c r="L60" i="14"/>
  <c r="L96" i="8"/>
  <c r="L98" i="8"/>
  <c r="E22" i="22"/>
  <c r="D22" i="22"/>
  <c r="E19" i="21"/>
  <c r="D19" i="21"/>
  <c r="K19" i="21" s="1"/>
  <c r="E16" i="21"/>
  <c r="D16" i="21"/>
  <c r="E50" i="6"/>
  <c r="D50" i="6"/>
  <c r="K50" i="6" s="1"/>
  <c r="E215" i="4"/>
  <c r="D215" i="4"/>
  <c r="K215" i="4" s="1"/>
  <c r="E214" i="4"/>
  <c r="D214" i="4"/>
  <c r="K214" i="4" s="1"/>
  <c r="E212" i="4"/>
  <c r="D212" i="4"/>
  <c r="K212" i="4" s="1"/>
  <c r="E211" i="4"/>
  <c r="D211" i="4"/>
  <c r="K211" i="4" s="1"/>
  <c r="E168" i="3"/>
  <c r="D168" i="3"/>
  <c r="K168" i="3" s="1"/>
  <c r="E167" i="3"/>
  <c r="D167" i="3"/>
  <c r="K167" i="3" s="1"/>
  <c r="E166" i="3"/>
  <c r="D166" i="3"/>
  <c r="K166" i="3" s="1"/>
  <c r="E165" i="3"/>
  <c r="D165" i="3"/>
  <c r="K165" i="3" s="1"/>
  <c r="E164" i="3"/>
  <c r="D164" i="3"/>
  <c r="K164" i="3" s="1"/>
  <c r="L552" i="2"/>
  <c r="K552" i="2"/>
  <c r="E553" i="2"/>
  <c r="D553" i="2"/>
  <c r="E550" i="2"/>
  <c r="D550" i="2"/>
  <c r="K550" i="2" s="1"/>
  <c r="E549" i="2"/>
  <c r="D549" i="2"/>
  <c r="K549" i="2" s="1"/>
  <c r="E548" i="2"/>
  <c r="D548" i="2"/>
  <c r="K548" i="2" s="1"/>
  <c r="E546" i="2"/>
  <c r="D546" i="2"/>
  <c r="K546" i="2" s="1"/>
  <c r="E544" i="2"/>
  <c r="D544" i="2"/>
  <c r="K544" i="2" s="1"/>
  <c r="E542" i="2"/>
  <c r="D542" i="2"/>
  <c r="K542" i="2" s="1"/>
  <c r="E541" i="2"/>
  <c r="D541" i="2"/>
  <c r="K541" i="2" s="1"/>
  <c r="E540" i="2"/>
  <c r="D540" i="2"/>
  <c r="K540" i="2" s="1"/>
  <c r="E539" i="2"/>
  <c r="D539" i="2"/>
  <c r="K539" i="2" s="1"/>
  <c r="E538" i="2"/>
  <c r="D538" i="2"/>
  <c r="K538" i="2" s="1"/>
  <c r="E536" i="2"/>
  <c r="D536" i="2"/>
  <c r="K536" i="2" s="1"/>
  <c r="E535" i="2"/>
  <c r="D535" i="2"/>
  <c r="K535" i="2" s="1"/>
  <c r="L478" i="1"/>
  <c r="K478" i="1"/>
  <c r="E477" i="1"/>
  <c r="D477" i="1"/>
  <c r="K477" i="1" s="1"/>
  <c r="E475" i="1"/>
  <c r="D475" i="1"/>
  <c r="K475" i="1" s="1"/>
  <c r="E473" i="1"/>
  <c r="D473" i="1"/>
  <c r="K473" i="1" s="1"/>
  <c r="E470" i="1"/>
  <c r="D470" i="1"/>
  <c r="K470" i="1" s="1"/>
  <c r="E467" i="1"/>
  <c r="D467" i="1"/>
  <c r="K467" i="1" s="1"/>
  <c r="E466" i="1"/>
  <c r="D466" i="1"/>
  <c r="K466" i="1" s="1"/>
  <c r="E465" i="1"/>
  <c r="D465" i="1"/>
  <c r="E463" i="1"/>
  <c r="D463" i="1"/>
  <c r="K463" i="1" s="1"/>
  <c r="E462" i="1"/>
  <c r="D462" i="1"/>
  <c r="K462" i="1" s="1"/>
  <c r="L461" i="1"/>
  <c r="K461" i="1"/>
  <c r="L50" i="6" l="1"/>
  <c r="L165" i="3"/>
  <c r="L167" i="3"/>
  <c r="L211" i="4"/>
  <c r="L214" i="4"/>
  <c r="L19" i="21"/>
  <c r="L212" i="4"/>
  <c r="L215" i="4"/>
  <c r="L548" i="2"/>
  <c r="L466" i="1"/>
  <c r="L470" i="1"/>
  <c r="L475" i="1"/>
  <c r="L462" i="1"/>
  <c r="L467" i="1"/>
  <c r="L473" i="1"/>
  <c r="L477" i="1"/>
  <c r="L535" i="2"/>
  <c r="L538" i="2"/>
  <c r="L540" i="2"/>
  <c r="L542" i="2"/>
  <c r="L546" i="2"/>
  <c r="L549" i="2"/>
  <c r="L164" i="3"/>
  <c r="L166" i="3"/>
  <c r="L168" i="3"/>
  <c r="L463" i="1"/>
  <c r="L539" i="2"/>
  <c r="L550" i="2"/>
  <c r="L544" i="2"/>
  <c r="L536" i="2"/>
  <c r="L541" i="2"/>
  <c r="K553" i="2"/>
  <c r="L553" i="2"/>
  <c r="E31" i="23"/>
  <c r="D31" i="23"/>
  <c r="K31" i="23" s="1"/>
  <c r="E29" i="23"/>
  <c r="D29" i="23"/>
  <c r="K29" i="23" s="1"/>
  <c r="E28" i="23"/>
  <c r="D28" i="23"/>
  <c r="K28" i="23" s="1"/>
  <c r="E25" i="23"/>
  <c r="D25" i="23"/>
  <c r="K25" i="23" s="1"/>
  <c r="L28" i="23" l="1"/>
  <c r="L25" i="23"/>
  <c r="L29" i="23"/>
  <c r="L31" i="23"/>
  <c r="E76" i="20"/>
  <c r="D76" i="20"/>
  <c r="J76" i="20" s="1"/>
  <c r="K57" i="18"/>
  <c r="J57" i="18"/>
  <c r="K55" i="18"/>
  <c r="K53" i="18"/>
  <c r="K50" i="18"/>
  <c r="E56" i="18"/>
  <c r="D56" i="18"/>
  <c r="J56" i="18" s="1"/>
  <c r="E54" i="18"/>
  <c r="D54" i="18"/>
  <c r="J54" i="18" s="1"/>
  <c r="E52" i="18"/>
  <c r="D52" i="18"/>
  <c r="J52" i="18" s="1"/>
  <c r="E51" i="18"/>
  <c r="D51" i="18"/>
  <c r="J51" i="18" s="1"/>
  <c r="E49" i="18"/>
  <c r="D49" i="18"/>
  <c r="J49" i="18" s="1"/>
  <c r="K141" i="16"/>
  <c r="J141" i="16"/>
  <c r="E139" i="16"/>
  <c r="D139" i="16"/>
  <c r="J139" i="16" s="1"/>
  <c r="E138" i="16"/>
  <c r="D138" i="16"/>
  <c r="J138" i="16" s="1"/>
  <c r="E137" i="16"/>
  <c r="D137" i="16"/>
  <c r="J137" i="16" s="1"/>
  <c r="K56" i="18" l="1"/>
  <c r="K52" i="18"/>
  <c r="K49" i="18"/>
  <c r="K139" i="16"/>
  <c r="K137" i="16"/>
  <c r="K51" i="18"/>
  <c r="K54" i="18"/>
  <c r="K76" i="20"/>
  <c r="K138" i="16"/>
  <c r="E72" i="13"/>
  <c r="L72" i="13" s="1"/>
  <c r="D72" i="13"/>
  <c r="K72" i="13" s="1"/>
  <c r="E71" i="13"/>
  <c r="D71" i="13"/>
  <c r="K71" i="13" s="1"/>
  <c r="K130" i="12"/>
  <c r="E133" i="12"/>
  <c r="D133" i="12"/>
  <c r="K133" i="12" s="1"/>
  <c r="E132" i="12"/>
  <c r="D132" i="12"/>
  <c r="K132" i="12" s="1"/>
  <c r="E130" i="12"/>
  <c r="D130" i="12"/>
  <c r="E129" i="12"/>
  <c r="D129" i="12"/>
  <c r="K129" i="12" s="1"/>
  <c r="E128" i="12"/>
  <c r="D128" i="12"/>
  <c r="K128" i="12" s="1"/>
  <c r="L54" i="11"/>
  <c r="K54" i="11"/>
  <c r="E68" i="10"/>
  <c r="D68" i="10"/>
  <c r="K68" i="10" s="1"/>
  <c r="L62" i="9"/>
  <c r="K62" i="9"/>
  <c r="L61" i="9"/>
  <c r="K61" i="9"/>
  <c r="L95" i="8"/>
  <c r="K95" i="8"/>
  <c r="E93" i="8"/>
  <c r="D93" i="8"/>
  <c r="K93" i="8" s="1"/>
  <c r="E91" i="8"/>
  <c r="D91" i="8"/>
  <c r="K91" i="8" s="1"/>
  <c r="L128" i="12" l="1"/>
  <c r="L130" i="12"/>
  <c r="L133" i="12"/>
  <c r="L91" i="8"/>
  <c r="L129" i="12"/>
  <c r="L93" i="8"/>
  <c r="L132" i="12"/>
  <c r="L71" i="13"/>
  <c r="L68" i="10"/>
  <c r="K22" i="22"/>
  <c r="L22" i="22"/>
  <c r="E208" i="4"/>
  <c r="D208" i="4"/>
  <c r="K208" i="4" s="1"/>
  <c r="E207" i="4"/>
  <c r="D207" i="4"/>
  <c r="K207" i="4" s="1"/>
  <c r="E163" i="3"/>
  <c r="D163" i="3"/>
  <c r="K163" i="3" s="1"/>
  <c r="E533" i="2"/>
  <c r="D533" i="2"/>
  <c r="K533" i="2" s="1"/>
  <c r="E532" i="2"/>
  <c r="D532" i="2"/>
  <c r="K532" i="2" s="1"/>
  <c r="E530" i="2"/>
  <c r="D530" i="2"/>
  <c r="K530" i="2" s="1"/>
  <c r="E528" i="2"/>
  <c r="D528" i="2"/>
  <c r="K528" i="2" s="1"/>
  <c r="E526" i="2"/>
  <c r="D526" i="2"/>
  <c r="K526" i="2" s="1"/>
  <c r="L465" i="1"/>
  <c r="K465" i="1"/>
  <c r="E459" i="1"/>
  <c r="D459" i="1"/>
  <c r="K459" i="1" s="1"/>
  <c r="E458" i="1"/>
  <c r="L458" i="1" s="1"/>
  <c r="D458" i="1"/>
  <c r="K458" i="1" s="1"/>
  <c r="E456" i="1"/>
  <c r="D456" i="1"/>
  <c r="K456" i="1" s="1"/>
  <c r="E454" i="1"/>
  <c r="D454" i="1"/>
  <c r="K454" i="1" s="1"/>
  <c r="E453" i="1"/>
  <c r="L453" i="1" s="1"/>
  <c r="D453" i="1"/>
  <c r="K453" i="1" s="1"/>
  <c r="E452" i="1"/>
  <c r="L452" i="1" s="1"/>
  <c r="D452" i="1"/>
  <c r="K452" i="1" s="1"/>
  <c r="E451" i="1"/>
  <c r="L451" i="1" s="1"/>
  <c r="D451" i="1"/>
  <c r="K451" i="1" s="1"/>
  <c r="L207" i="4" l="1"/>
  <c r="L454" i="1"/>
  <c r="L456" i="1"/>
  <c r="L459" i="1"/>
  <c r="L163" i="3"/>
  <c r="L208" i="4"/>
  <c r="L528" i="2"/>
  <c r="L532" i="2"/>
  <c r="L526" i="2"/>
  <c r="L530" i="2"/>
  <c r="L533" i="2"/>
  <c r="L12" i="24"/>
  <c r="K12" i="24"/>
  <c r="E23" i="23"/>
  <c r="D23" i="23"/>
  <c r="K23" i="23" s="1"/>
  <c r="E22" i="23"/>
  <c r="D22" i="23"/>
  <c r="K22" i="23" s="1"/>
  <c r="E20" i="23"/>
  <c r="D20" i="23"/>
  <c r="K20" i="23" s="1"/>
  <c r="E19" i="23"/>
  <c r="D19" i="23"/>
  <c r="K19" i="23" s="1"/>
  <c r="L20" i="23" l="1"/>
  <c r="L23" i="23"/>
  <c r="L19" i="23"/>
  <c r="L22" i="23"/>
  <c r="E74" i="20"/>
  <c r="D74" i="20"/>
  <c r="J74" i="20" s="1"/>
  <c r="E72" i="20"/>
  <c r="D72" i="20"/>
  <c r="J72" i="20" s="1"/>
  <c r="E71" i="20"/>
  <c r="D71" i="20"/>
  <c r="J71" i="20" s="1"/>
  <c r="E47" i="19"/>
  <c r="D47" i="19"/>
  <c r="J47" i="19" s="1"/>
  <c r="E48" i="18"/>
  <c r="D48" i="18"/>
  <c r="J48" i="18" s="1"/>
  <c r="E47" i="18"/>
  <c r="D47" i="18"/>
  <c r="J47" i="18" s="1"/>
  <c r="E44" i="18"/>
  <c r="D44" i="18"/>
  <c r="J44" i="18" s="1"/>
  <c r="K44" i="18" l="1"/>
  <c r="K48" i="18"/>
  <c r="K72" i="20"/>
  <c r="K47" i="19"/>
  <c r="K47" i="18"/>
  <c r="K71" i="20"/>
  <c r="K74" i="20"/>
  <c r="K84" i="17"/>
  <c r="J84" i="17"/>
  <c r="E82" i="17"/>
  <c r="D82" i="17"/>
  <c r="J82" i="17" s="1"/>
  <c r="E80" i="17"/>
  <c r="D80" i="17"/>
  <c r="J80" i="17" s="1"/>
  <c r="K135" i="16"/>
  <c r="J135" i="16"/>
  <c r="E136" i="16"/>
  <c r="D136" i="16"/>
  <c r="J136" i="16" s="1"/>
  <c r="E134" i="16"/>
  <c r="D134" i="16"/>
  <c r="J134" i="16" s="1"/>
  <c r="E129" i="16"/>
  <c r="D129" i="16"/>
  <c r="J129" i="16" s="1"/>
  <c r="K80" i="17" l="1"/>
  <c r="K82" i="17"/>
  <c r="K129" i="16"/>
  <c r="B136" i="16"/>
  <c r="K136" i="16" s="1"/>
  <c r="K134" i="16"/>
  <c r="E70" i="13"/>
  <c r="D70" i="13"/>
  <c r="K70" i="13" s="1"/>
  <c r="E69" i="13"/>
  <c r="D69" i="13"/>
  <c r="K69" i="13" s="1"/>
  <c r="E68" i="13"/>
  <c r="D68" i="13"/>
  <c r="K68" i="13" s="1"/>
  <c r="E66" i="13"/>
  <c r="L66" i="13" s="1"/>
  <c r="D66" i="13"/>
  <c r="K66" i="13" s="1"/>
  <c r="E65" i="13"/>
  <c r="D65" i="13"/>
  <c r="K65" i="13" s="1"/>
  <c r="E127" i="12"/>
  <c r="L127" i="12" s="1"/>
  <c r="D127" i="12"/>
  <c r="K127" i="12" s="1"/>
  <c r="E126" i="12"/>
  <c r="D126" i="12"/>
  <c r="K126" i="12" s="1"/>
  <c r="E124" i="12"/>
  <c r="L124" i="12" s="1"/>
  <c r="D124" i="12"/>
  <c r="K124" i="12" s="1"/>
  <c r="E51" i="11"/>
  <c r="D51" i="11"/>
  <c r="K51" i="11" s="1"/>
  <c r="E66" i="10"/>
  <c r="L66" i="10" s="1"/>
  <c r="D66" i="10"/>
  <c r="K66" i="10" s="1"/>
  <c r="E65" i="10"/>
  <c r="D65" i="10"/>
  <c r="K65" i="10" s="1"/>
  <c r="B62" i="10"/>
  <c r="A62" i="10"/>
  <c r="L51" i="11" l="1"/>
  <c r="L65" i="13"/>
  <c r="L70" i="13"/>
  <c r="L69" i="13"/>
  <c r="L68" i="13"/>
  <c r="L126" i="12"/>
  <c r="L65" i="10"/>
  <c r="E23" i="15"/>
  <c r="D23" i="15"/>
  <c r="K23" i="15" s="1"/>
  <c r="E57" i="14"/>
  <c r="D57" i="14"/>
  <c r="K57" i="14" s="1"/>
  <c r="E56" i="14"/>
  <c r="D56" i="14"/>
  <c r="K56" i="14" s="1"/>
  <c r="E59" i="9"/>
  <c r="D59" i="9"/>
  <c r="K59" i="9" s="1"/>
  <c r="L59" i="9" l="1"/>
  <c r="L23" i="15"/>
  <c r="L56" i="14"/>
  <c r="L57" i="14"/>
  <c r="E21" i="22"/>
  <c r="D21" i="22"/>
  <c r="K21" i="22" s="1"/>
  <c r="E18" i="22"/>
  <c r="L18" i="22" s="1"/>
  <c r="D18" i="22"/>
  <c r="K18" i="22" s="1"/>
  <c r="L48" i="6"/>
  <c r="K48" i="6"/>
  <c r="E205" i="4"/>
  <c r="D205" i="4"/>
  <c r="K205" i="4" s="1"/>
  <c r="E201" i="4"/>
  <c r="D201" i="4"/>
  <c r="K201" i="4" s="1"/>
  <c r="E162" i="3"/>
  <c r="D162" i="3"/>
  <c r="K162" i="3" s="1"/>
  <c r="E160" i="3"/>
  <c r="D160" i="3"/>
  <c r="K160" i="3" s="1"/>
  <c r="E158" i="3"/>
  <c r="D158" i="3"/>
  <c r="K158" i="3" s="1"/>
  <c r="E156" i="3"/>
  <c r="D156" i="3"/>
  <c r="K156" i="3" s="1"/>
  <c r="L525" i="2"/>
  <c r="L524" i="2"/>
  <c r="K525" i="2"/>
  <c r="K524" i="2"/>
  <c r="E522" i="2"/>
  <c r="D522" i="2"/>
  <c r="K522" i="2" s="1"/>
  <c r="E521" i="2"/>
  <c r="D521" i="2"/>
  <c r="K521" i="2" s="1"/>
  <c r="E520" i="2"/>
  <c r="D520" i="2"/>
  <c r="K520" i="2" s="1"/>
  <c r="E519" i="2"/>
  <c r="D519" i="2"/>
  <c r="K519" i="2" s="1"/>
  <c r="E518" i="2"/>
  <c r="D518" i="2"/>
  <c r="K518" i="2" s="1"/>
  <c r="E516" i="2"/>
  <c r="D516" i="2"/>
  <c r="K516" i="2" s="1"/>
  <c r="E512" i="2"/>
  <c r="D512" i="2"/>
  <c r="K512" i="2" s="1"/>
  <c r="E509" i="2"/>
  <c r="D509" i="2"/>
  <c r="K509" i="2" s="1"/>
  <c r="L507" i="2"/>
  <c r="K507" i="2"/>
  <c r="L448" i="1"/>
  <c r="L447" i="1"/>
  <c r="L443" i="1"/>
  <c r="K448" i="1"/>
  <c r="K447" i="1"/>
  <c r="K443" i="1"/>
  <c r="E444" i="1"/>
  <c r="D444" i="1"/>
  <c r="K444" i="1" s="1"/>
  <c r="E441" i="1"/>
  <c r="D441" i="1"/>
  <c r="K441" i="1" s="1"/>
  <c r="E438" i="1"/>
  <c r="D438" i="1"/>
  <c r="K438" i="1" s="1"/>
  <c r="E437" i="1"/>
  <c r="L437" i="1" s="1"/>
  <c r="D437" i="1"/>
  <c r="K437" i="1" s="1"/>
  <c r="E436" i="1"/>
  <c r="L436" i="1" s="1"/>
  <c r="D436" i="1"/>
  <c r="K436" i="1" s="1"/>
  <c r="E434" i="1"/>
  <c r="D434" i="1"/>
  <c r="K434" i="1" s="1"/>
  <c r="E432" i="1"/>
  <c r="D432" i="1"/>
  <c r="K432" i="1" s="1"/>
  <c r="E431" i="1"/>
  <c r="D431" i="1"/>
  <c r="K431" i="1" s="1"/>
  <c r="E430" i="1"/>
  <c r="D430" i="1"/>
  <c r="K430" i="1" s="1"/>
  <c r="E429" i="1"/>
  <c r="D429" i="1"/>
  <c r="K429" i="1" s="1"/>
  <c r="L431" i="1" l="1"/>
  <c r="L441" i="1"/>
  <c r="L432" i="1"/>
  <c r="L438" i="1"/>
  <c r="L444" i="1"/>
  <c r="L156" i="3"/>
  <c r="L160" i="3"/>
  <c r="L201" i="4"/>
  <c r="L430" i="1"/>
  <c r="L429" i="1"/>
  <c r="L434" i="1"/>
  <c r="L158" i="3"/>
  <c r="L162" i="3"/>
  <c r="L205" i="4"/>
  <c r="L519" i="2"/>
  <c r="L512" i="2"/>
  <c r="L518" i="2"/>
  <c r="L520" i="2"/>
  <c r="L522" i="2"/>
  <c r="L509" i="2"/>
  <c r="L516" i="2"/>
  <c r="L521" i="2"/>
  <c r="L21" i="22"/>
  <c r="B60" i="24"/>
  <c r="A60" i="24"/>
  <c r="E11" i="24"/>
  <c r="D11" i="24"/>
  <c r="K11" i="24" s="1"/>
  <c r="E10" i="24"/>
  <c r="D10" i="24"/>
  <c r="K10" i="24" s="1"/>
  <c r="E9" i="24"/>
  <c r="D9" i="24"/>
  <c r="K9" i="24" s="1"/>
  <c r="E8" i="24"/>
  <c r="L8" i="24" s="1"/>
  <c r="D8" i="24"/>
  <c r="K8" i="24" s="1"/>
  <c r="E5" i="24"/>
  <c r="D5" i="24"/>
  <c r="L17" i="23"/>
  <c r="K17" i="23"/>
  <c r="E16" i="23"/>
  <c r="D16" i="23"/>
  <c r="K16" i="23" s="1"/>
  <c r="E15" i="23"/>
  <c r="D15" i="23"/>
  <c r="K15" i="23" s="1"/>
  <c r="E13" i="23"/>
  <c r="D13" i="23"/>
  <c r="K13" i="23" s="1"/>
  <c r="E11" i="23"/>
  <c r="D11" i="23"/>
  <c r="K11" i="23" s="1"/>
  <c r="E10" i="23"/>
  <c r="D10" i="23"/>
  <c r="E9" i="23"/>
  <c r="D9" i="23"/>
  <c r="K9" i="23" s="1"/>
  <c r="E8" i="23"/>
  <c r="D8" i="23"/>
  <c r="E6" i="23"/>
  <c r="D6" i="23"/>
  <c r="K6" i="23" s="1"/>
  <c r="E5" i="23"/>
  <c r="D5" i="23"/>
  <c r="E454" i="23" l="1"/>
  <c r="K8" i="23"/>
  <c r="D454" i="23"/>
  <c r="L10" i="24"/>
  <c r="L5" i="23"/>
  <c r="L9" i="24"/>
  <c r="L11" i="24"/>
  <c r="L5" i="24"/>
  <c r="D60" i="24"/>
  <c r="K5" i="24"/>
  <c r="L6" i="23"/>
  <c r="L11" i="23"/>
  <c r="L15" i="23"/>
  <c r="K5" i="23"/>
  <c r="L16" i="23"/>
  <c r="E60" i="24"/>
  <c r="L13" i="23"/>
  <c r="L10" i="23"/>
  <c r="L9" i="23"/>
  <c r="L8" i="23"/>
  <c r="K10" i="23"/>
  <c r="E69" i="20"/>
  <c r="D69" i="20"/>
  <c r="J69" i="20" s="1"/>
  <c r="E46" i="19"/>
  <c r="D46" i="19"/>
  <c r="J46" i="19" s="1"/>
  <c r="K43" i="18"/>
  <c r="J43" i="18"/>
  <c r="E42" i="18"/>
  <c r="D42" i="18"/>
  <c r="J42" i="18" s="1"/>
  <c r="E41" i="18"/>
  <c r="D41" i="18"/>
  <c r="J41" i="18" s="1"/>
  <c r="E40" i="18"/>
  <c r="D40" i="18"/>
  <c r="J40" i="18" s="1"/>
  <c r="E128" i="16"/>
  <c r="D128" i="16"/>
  <c r="J128" i="16" s="1"/>
  <c r="E127" i="16"/>
  <c r="D127" i="16"/>
  <c r="J127" i="16" s="1"/>
  <c r="E126" i="16"/>
  <c r="D126" i="16"/>
  <c r="J126" i="16" s="1"/>
  <c r="K46" i="19" l="1"/>
  <c r="K41" i="18"/>
  <c r="K40" i="18"/>
  <c r="K42" i="18"/>
  <c r="K69" i="20"/>
  <c r="K126" i="16"/>
  <c r="K128" i="16"/>
  <c r="K127" i="16"/>
  <c r="L122" i="12"/>
  <c r="K122" i="12"/>
  <c r="E120" i="12"/>
  <c r="D120" i="12"/>
  <c r="K120" i="12" s="1"/>
  <c r="E118" i="12"/>
  <c r="D118" i="12"/>
  <c r="K118" i="12" s="1"/>
  <c r="E50" i="11"/>
  <c r="L50" i="11" s="1"/>
  <c r="D50" i="11"/>
  <c r="K50" i="11" s="1"/>
  <c r="E49" i="11"/>
  <c r="L49" i="11" s="1"/>
  <c r="D49" i="11"/>
  <c r="K49" i="11" s="1"/>
  <c r="E63" i="10"/>
  <c r="L63" i="10" s="1"/>
  <c r="D63" i="10"/>
  <c r="K63" i="10" s="1"/>
  <c r="E21" i="15"/>
  <c r="D21" i="15"/>
  <c r="K21" i="15" s="1"/>
  <c r="K52" i="14"/>
  <c r="E55" i="14"/>
  <c r="D55" i="14"/>
  <c r="K55" i="14" s="1"/>
  <c r="E53" i="14"/>
  <c r="D53" i="14"/>
  <c r="K53" i="14" s="1"/>
  <c r="E52" i="14"/>
  <c r="D52" i="14"/>
  <c r="E51" i="14"/>
  <c r="D51" i="14"/>
  <c r="K51" i="14" s="1"/>
  <c r="L58" i="9"/>
  <c r="K58" i="9"/>
  <c r="E56" i="9"/>
  <c r="D56" i="9"/>
  <c r="K56" i="9" s="1"/>
  <c r="E55" i="9"/>
  <c r="D55" i="9"/>
  <c r="K55" i="9" s="1"/>
  <c r="L90" i="8"/>
  <c r="K90" i="8"/>
  <c r="E88" i="8"/>
  <c r="D88" i="8"/>
  <c r="K88" i="8" s="1"/>
  <c r="E87" i="8"/>
  <c r="D87" i="8"/>
  <c r="K87" i="8" s="1"/>
  <c r="E86" i="8"/>
  <c r="D86" i="8"/>
  <c r="L55" i="9" l="1"/>
  <c r="L21" i="15"/>
  <c r="L56" i="9"/>
  <c r="L86" i="8"/>
  <c r="L120" i="12"/>
  <c r="L118" i="12"/>
  <c r="L51" i="14"/>
  <c r="L53" i="14"/>
  <c r="L52" i="14"/>
  <c r="L55" i="14"/>
  <c r="K86" i="8"/>
  <c r="L87" i="8"/>
  <c r="L88" i="8"/>
  <c r="L47" i="6"/>
  <c r="K47" i="6"/>
  <c r="E46" i="6"/>
  <c r="D46" i="6"/>
  <c r="E45" i="6"/>
  <c r="D45" i="6"/>
  <c r="K45" i="6" s="1"/>
  <c r="E43" i="6"/>
  <c r="D43" i="6"/>
  <c r="K43" i="6" s="1"/>
  <c r="E42" i="6"/>
  <c r="D42" i="6"/>
  <c r="K42" i="6" s="1"/>
  <c r="E199" i="4"/>
  <c r="D199" i="4"/>
  <c r="K199" i="4" s="1"/>
  <c r="E196" i="4"/>
  <c r="D196" i="4"/>
  <c r="K196" i="4" s="1"/>
  <c r="E195" i="4"/>
  <c r="D195" i="4"/>
  <c r="K195" i="4" s="1"/>
  <c r="E194" i="4"/>
  <c r="D194" i="4"/>
  <c r="K194" i="4" s="1"/>
  <c r="L155" i="3"/>
  <c r="K155" i="3"/>
  <c r="E154" i="3"/>
  <c r="D154" i="3"/>
  <c r="K154" i="3" s="1"/>
  <c r="E153" i="3"/>
  <c r="D153" i="3"/>
  <c r="K153" i="3" s="1"/>
  <c r="E151" i="3"/>
  <c r="D151" i="3"/>
  <c r="K151" i="3" s="1"/>
  <c r="E149" i="3"/>
  <c r="D149" i="3"/>
  <c r="K149" i="3" s="1"/>
  <c r="E146" i="3"/>
  <c r="D146" i="3"/>
  <c r="K146" i="3" s="1"/>
  <c r="E145" i="3"/>
  <c r="D145" i="3"/>
  <c r="K145" i="3" s="1"/>
  <c r="K508" i="2"/>
  <c r="L508" i="2"/>
  <c r="E505" i="2"/>
  <c r="D505" i="2"/>
  <c r="K505" i="2" s="1"/>
  <c r="E503" i="2"/>
  <c r="D503" i="2"/>
  <c r="K503" i="2" s="1"/>
  <c r="E502" i="2"/>
  <c r="D502" i="2"/>
  <c r="K502" i="2" s="1"/>
  <c r="E500" i="2"/>
  <c r="D500" i="2"/>
  <c r="K500" i="2" s="1"/>
  <c r="E498" i="2"/>
  <c r="D498" i="2"/>
  <c r="K498" i="2" s="1"/>
  <c r="E497" i="2"/>
  <c r="D497" i="2"/>
  <c r="K497" i="2" s="1"/>
  <c r="L495" i="2"/>
  <c r="K495" i="2"/>
  <c r="E494" i="2"/>
  <c r="D494" i="2"/>
  <c r="K494" i="2" s="1"/>
  <c r="E493" i="2"/>
  <c r="D493" i="2"/>
  <c r="K493" i="2" s="1"/>
  <c r="E492" i="2"/>
  <c r="D492" i="2"/>
  <c r="K492" i="2" s="1"/>
  <c r="E490" i="2"/>
  <c r="D490" i="2"/>
  <c r="K490" i="2" s="1"/>
  <c r="E488" i="2"/>
  <c r="D488" i="2"/>
  <c r="K488" i="2" s="1"/>
  <c r="E487" i="2"/>
  <c r="D487" i="2"/>
  <c r="K487" i="2" s="1"/>
  <c r="E485" i="2"/>
  <c r="D485" i="2"/>
  <c r="K485" i="2" s="1"/>
  <c r="E484" i="2"/>
  <c r="D484" i="2"/>
  <c r="K484" i="2" s="1"/>
  <c r="E481" i="2"/>
  <c r="D481" i="2"/>
  <c r="K481" i="2" s="1"/>
  <c r="E479" i="2"/>
  <c r="D479" i="2"/>
  <c r="K479" i="2" s="1"/>
  <c r="E478" i="2"/>
  <c r="D478" i="2"/>
  <c r="K478" i="2" s="1"/>
  <c r="E477" i="2"/>
  <c r="D477" i="2"/>
  <c r="K477" i="2" s="1"/>
  <c r="E476" i="2"/>
  <c r="D476" i="2"/>
  <c r="K476" i="2" s="1"/>
  <c r="K470" i="2"/>
  <c r="L470" i="2"/>
  <c r="E428" i="1"/>
  <c r="L428" i="1" s="1"/>
  <c r="D428" i="1"/>
  <c r="K428" i="1" s="1"/>
  <c r="E427" i="1"/>
  <c r="D427" i="1"/>
  <c r="K427" i="1" s="1"/>
  <c r="E426" i="1"/>
  <c r="D426" i="1"/>
  <c r="K426" i="1" s="1"/>
  <c r="E425" i="1"/>
  <c r="D425" i="1"/>
  <c r="E423" i="1"/>
  <c r="D423" i="1"/>
  <c r="K423" i="1" s="1"/>
  <c r="E420" i="1"/>
  <c r="D420" i="1"/>
  <c r="K420" i="1" s="1"/>
  <c r="E419" i="1"/>
  <c r="D419" i="1"/>
  <c r="K419" i="1" s="1"/>
  <c r="E418" i="1"/>
  <c r="D418" i="1"/>
  <c r="K418" i="1" s="1"/>
  <c r="E416" i="1"/>
  <c r="D416" i="1"/>
  <c r="K416" i="1" s="1"/>
  <c r="E415" i="1"/>
  <c r="D415" i="1"/>
  <c r="K415" i="1" s="1"/>
  <c r="E414" i="1"/>
  <c r="D414" i="1"/>
  <c r="K414" i="1" s="1"/>
  <c r="E413" i="1"/>
  <c r="D413" i="1"/>
  <c r="K413" i="1" s="1"/>
  <c r="E412" i="1"/>
  <c r="D412" i="1"/>
  <c r="K412" i="1" s="1"/>
  <c r="E411" i="1"/>
  <c r="D411" i="1"/>
  <c r="K411" i="1" s="1"/>
  <c r="E408" i="1"/>
  <c r="D408" i="1"/>
  <c r="K408" i="1" s="1"/>
  <c r="E407" i="1"/>
  <c r="D407" i="1"/>
  <c r="K407" i="1" s="1"/>
  <c r="E406" i="1"/>
  <c r="D406" i="1"/>
  <c r="K406" i="1" s="1"/>
  <c r="L146" i="3" l="1"/>
  <c r="L151" i="3"/>
  <c r="L154" i="3"/>
  <c r="L42" i="6"/>
  <c r="L194" i="4"/>
  <c r="L196" i="4"/>
  <c r="L43" i="6"/>
  <c r="L46" i="6"/>
  <c r="L45" i="6"/>
  <c r="L406" i="1"/>
  <c r="L408" i="1"/>
  <c r="L412" i="1"/>
  <c r="L414" i="1"/>
  <c r="L416" i="1"/>
  <c r="L419" i="1"/>
  <c r="L423" i="1"/>
  <c r="L426" i="1"/>
  <c r="L145" i="3"/>
  <c r="L149" i="3"/>
  <c r="L195" i="4"/>
  <c r="L199" i="4"/>
  <c r="L425" i="1"/>
  <c r="L481" i="2"/>
  <c r="L485" i="2"/>
  <c r="L488" i="2"/>
  <c r="L492" i="2"/>
  <c r="L494" i="2"/>
  <c r="L497" i="2"/>
  <c r="L500" i="2"/>
  <c r="L503" i="2"/>
  <c r="L153" i="3"/>
  <c r="L487" i="2"/>
  <c r="L490" i="2"/>
  <c r="L493" i="2"/>
  <c r="L498" i="2"/>
  <c r="L484" i="2"/>
  <c r="L502" i="2"/>
  <c r="L505" i="2"/>
  <c r="L407" i="1"/>
  <c r="L411" i="1"/>
  <c r="L413" i="1"/>
  <c r="L415" i="1"/>
  <c r="L420" i="1"/>
  <c r="L427" i="1"/>
  <c r="K46" i="6"/>
  <c r="K425" i="1"/>
  <c r="L418" i="1"/>
  <c r="L479" i="2"/>
  <c r="L478" i="2"/>
  <c r="L476" i="2"/>
  <c r="L477" i="2"/>
  <c r="E37" i="6" l="1"/>
  <c r="L37" i="6" s="1"/>
  <c r="D37" i="6"/>
  <c r="K37" i="6" s="1"/>
  <c r="E186" i="4"/>
  <c r="L186" i="4" s="1"/>
  <c r="D186" i="4"/>
  <c r="K186" i="4" s="1"/>
  <c r="E68" i="20" l="1"/>
  <c r="D68" i="20"/>
  <c r="J68" i="20" s="1"/>
  <c r="E67" i="20"/>
  <c r="K67" i="20" s="1"/>
  <c r="D67" i="20"/>
  <c r="J67" i="20" s="1"/>
  <c r="K39" i="18"/>
  <c r="K38" i="18"/>
  <c r="J38" i="18"/>
  <c r="K79" i="17"/>
  <c r="J79" i="17"/>
  <c r="E78" i="17"/>
  <c r="D78" i="17"/>
  <c r="J78" i="17" s="1"/>
  <c r="E77" i="17"/>
  <c r="K77" i="17" s="1"/>
  <c r="D77" i="17"/>
  <c r="J77" i="17" s="1"/>
  <c r="K122" i="16"/>
  <c r="J122" i="16"/>
  <c r="E120" i="16"/>
  <c r="D120" i="16"/>
  <c r="J120" i="16" s="1"/>
  <c r="E119" i="16"/>
  <c r="D119" i="16"/>
  <c r="J119" i="16" s="1"/>
  <c r="E118" i="16"/>
  <c r="D118" i="16"/>
  <c r="J118" i="16" s="1"/>
  <c r="K68" i="20" l="1"/>
  <c r="K78" i="17"/>
  <c r="K119" i="16"/>
  <c r="K120" i="16"/>
  <c r="K118" i="16"/>
  <c r="E19" i="15"/>
  <c r="D19" i="15"/>
  <c r="K19" i="15" s="1"/>
  <c r="E18" i="15"/>
  <c r="L18" i="15" s="1"/>
  <c r="D18" i="15"/>
  <c r="K18" i="15" s="1"/>
  <c r="D44" i="14"/>
  <c r="E44" i="14"/>
  <c r="D47" i="14"/>
  <c r="K47" i="14" s="1"/>
  <c r="E47" i="14"/>
  <c r="D49" i="14"/>
  <c r="K49" i="14" s="1"/>
  <c r="E49" i="14"/>
  <c r="L49" i="14" s="1"/>
  <c r="E79" i="8"/>
  <c r="D79" i="8"/>
  <c r="K79" i="8" s="1"/>
  <c r="E85" i="8"/>
  <c r="D85" i="8"/>
  <c r="K85" i="8" s="1"/>
  <c r="L85" i="8" l="1"/>
  <c r="L19" i="15"/>
  <c r="L47" i="14"/>
  <c r="L44" i="14"/>
  <c r="K44" i="14"/>
  <c r="L79" i="8"/>
  <c r="L16" i="21"/>
  <c r="E18" i="21"/>
  <c r="L18" i="21" s="1"/>
  <c r="D18" i="21"/>
  <c r="K18" i="21" s="1"/>
  <c r="E17" i="21"/>
  <c r="L17" i="21" s="1"/>
  <c r="D17" i="21"/>
  <c r="K17" i="21" s="1"/>
  <c r="K16" i="21"/>
  <c r="E15" i="21"/>
  <c r="L15" i="21" s="1"/>
  <c r="D15" i="21"/>
  <c r="K15" i="21" s="1"/>
  <c r="E41" i="6"/>
  <c r="L41" i="6" s="1"/>
  <c r="D41" i="6"/>
  <c r="K41" i="6" s="1"/>
  <c r="L193" i="4"/>
  <c r="K193" i="4"/>
  <c r="L187" i="4"/>
  <c r="E192" i="4"/>
  <c r="L192" i="4" s="1"/>
  <c r="D192" i="4"/>
  <c r="K192" i="4" s="1"/>
  <c r="E190" i="4"/>
  <c r="L190" i="4" s="1"/>
  <c r="D190" i="4"/>
  <c r="K190" i="4" s="1"/>
  <c r="E188" i="4"/>
  <c r="L188" i="4" s="1"/>
  <c r="D188" i="4"/>
  <c r="K188" i="4" s="1"/>
  <c r="L144" i="3"/>
  <c r="K144" i="3"/>
  <c r="L475" i="2"/>
  <c r="K475" i="2"/>
  <c r="E474" i="2"/>
  <c r="D474" i="2"/>
  <c r="K474" i="2" s="1"/>
  <c r="E473" i="2"/>
  <c r="D473" i="2"/>
  <c r="K473" i="2" s="1"/>
  <c r="E471" i="2"/>
  <c r="L471" i="2" s="1"/>
  <c r="D471" i="2"/>
  <c r="K471" i="2" s="1"/>
  <c r="E469" i="2"/>
  <c r="D469" i="2"/>
  <c r="K469" i="2" s="1"/>
  <c r="E468" i="2"/>
  <c r="D468" i="2"/>
  <c r="K468" i="2" s="1"/>
  <c r="E467" i="2"/>
  <c r="D467" i="2"/>
  <c r="K467" i="2" s="1"/>
  <c r="E465" i="2"/>
  <c r="D465" i="2"/>
  <c r="K465" i="2" s="1"/>
  <c r="E464" i="2"/>
  <c r="D464" i="2"/>
  <c r="K464" i="2" s="1"/>
  <c r="E463" i="2"/>
  <c r="D463" i="2"/>
  <c r="K463" i="2" s="1"/>
  <c r="E461" i="2"/>
  <c r="D461" i="2"/>
  <c r="K461" i="2" s="1"/>
  <c r="E460" i="2"/>
  <c r="D460" i="2"/>
  <c r="K460" i="2" s="1"/>
  <c r="E459" i="2"/>
  <c r="D459" i="2"/>
  <c r="K459" i="2" s="1"/>
  <c r="E458" i="2"/>
  <c r="D458" i="2"/>
  <c r="K458" i="2" s="1"/>
  <c r="E457" i="2"/>
  <c r="D457" i="2"/>
  <c r="K457" i="2" s="1"/>
  <c r="E456" i="2"/>
  <c r="D456" i="2"/>
  <c r="K456" i="2" s="1"/>
  <c r="L404" i="1"/>
  <c r="K404" i="1"/>
  <c r="E403" i="1"/>
  <c r="D403" i="1"/>
  <c r="K403" i="1" s="1"/>
  <c r="E401" i="1"/>
  <c r="L401" i="1" s="1"/>
  <c r="D401" i="1"/>
  <c r="K401" i="1" s="1"/>
  <c r="E399" i="1"/>
  <c r="D399" i="1"/>
  <c r="K399" i="1" s="1"/>
  <c r="E394" i="1"/>
  <c r="D394" i="1"/>
  <c r="K394" i="1" s="1"/>
  <c r="E392" i="1"/>
  <c r="D392" i="1"/>
  <c r="K392" i="1" s="1"/>
  <c r="E390" i="1"/>
  <c r="L390" i="1" s="1"/>
  <c r="D390" i="1"/>
  <c r="K390" i="1" s="1"/>
  <c r="E388" i="1"/>
  <c r="D388" i="1"/>
  <c r="K388" i="1" s="1"/>
  <c r="E387" i="1"/>
  <c r="D387" i="1"/>
  <c r="K387" i="1" s="1"/>
  <c r="E386" i="1"/>
  <c r="L386" i="1" s="1"/>
  <c r="D386" i="1"/>
  <c r="K386" i="1" s="1"/>
  <c r="L468" i="2" l="1"/>
  <c r="L456" i="2"/>
  <c r="L458" i="2"/>
  <c r="L460" i="2"/>
  <c r="L463" i="2"/>
  <c r="L465" i="2"/>
  <c r="L474" i="2"/>
  <c r="L457" i="2"/>
  <c r="L459" i="2"/>
  <c r="L461" i="2"/>
  <c r="L464" i="2"/>
  <c r="L467" i="2"/>
  <c r="L469" i="2"/>
  <c r="L394" i="1"/>
  <c r="L387" i="1"/>
  <c r="L388" i="1"/>
  <c r="L392" i="1"/>
  <c r="L403" i="1"/>
  <c r="L473" i="2"/>
  <c r="L399" i="1"/>
  <c r="E45" i="19"/>
  <c r="D45" i="19"/>
  <c r="J45" i="19" s="1"/>
  <c r="E44" i="19"/>
  <c r="K44" i="19" s="1"/>
  <c r="D44" i="19"/>
  <c r="J44" i="19" s="1"/>
  <c r="K34" i="18"/>
  <c r="E37" i="18"/>
  <c r="K37" i="18" s="1"/>
  <c r="D37" i="18"/>
  <c r="J37" i="18" s="1"/>
  <c r="E35" i="18"/>
  <c r="K35" i="18" s="1"/>
  <c r="D35" i="18"/>
  <c r="J35" i="18" s="1"/>
  <c r="E33" i="18"/>
  <c r="D33" i="18"/>
  <c r="J33" i="18" s="1"/>
  <c r="B154" i="17"/>
  <c r="K76" i="17"/>
  <c r="J76" i="17"/>
  <c r="E75" i="17"/>
  <c r="K75" i="17" s="1"/>
  <c r="D75" i="17"/>
  <c r="J75" i="17" s="1"/>
  <c r="E74" i="17"/>
  <c r="K74" i="17" s="1"/>
  <c r="D74" i="17"/>
  <c r="J74" i="17" s="1"/>
  <c r="E72" i="17"/>
  <c r="D72" i="17"/>
  <c r="J72" i="17" s="1"/>
  <c r="K116" i="16"/>
  <c r="J116" i="16"/>
  <c r="E115" i="16"/>
  <c r="K115" i="16" s="1"/>
  <c r="D115" i="16"/>
  <c r="J115" i="16" s="1"/>
  <c r="E114" i="16"/>
  <c r="K114" i="16" s="1"/>
  <c r="D114" i="16"/>
  <c r="J114" i="16" s="1"/>
  <c r="E112" i="16"/>
  <c r="D112" i="16"/>
  <c r="J112" i="16" s="1"/>
  <c r="E111" i="16"/>
  <c r="D111" i="16"/>
  <c r="J111" i="16" s="1"/>
  <c r="E109" i="16"/>
  <c r="D109" i="16"/>
  <c r="J109" i="16" s="1"/>
  <c r="K45" i="19" l="1"/>
  <c r="K72" i="17"/>
  <c r="K33" i="18"/>
  <c r="K111" i="16"/>
  <c r="K109" i="16"/>
  <c r="K112" i="16"/>
  <c r="L64" i="13"/>
  <c r="K64" i="13"/>
  <c r="E63" i="13"/>
  <c r="L63" i="13" s="1"/>
  <c r="D63" i="13"/>
  <c r="K63" i="13" s="1"/>
  <c r="L117" i="12" l="1"/>
  <c r="K117" i="12"/>
  <c r="E116" i="12"/>
  <c r="L116" i="12" s="1"/>
  <c r="D116" i="12"/>
  <c r="K116" i="12" s="1"/>
  <c r="E47" i="11"/>
  <c r="D47" i="11"/>
  <c r="K47" i="11" s="1"/>
  <c r="L62" i="10"/>
  <c r="K62" i="10"/>
  <c r="L16" i="15"/>
  <c r="E43" i="14"/>
  <c r="L43" i="14" s="1"/>
  <c r="D43" i="14"/>
  <c r="K43" i="14" s="1"/>
  <c r="L41" i="14"/>
  <c r="L53" i="9"/>
  <c r="K53" i="9"/>
  <c r="L84" i="8"/>
  <c r="K84" i="8"/>
  <c r="E82" i="8"/>
  <c r="L82" i="8" s="1"/>
  <c r="D82" i="8"/>
  <c r="K82" i="8" s="1"/>
  <c r="E80" i="8"/>
  <c r="L80" i="8" s="1"/>
  <c r="D80" i="8"/>
  <c r="K80" i="8" s="1"/>
  <c r="L47" i="11" l="1"/>
  <c r="E17" i="22"/>
  <c r="L17" i="22" s="1"/>
  <c r="D17" i="22"/>
  <c r="K17" i="22" s="1"/>
  <c r="E16" i="22"/>
  <c r="L16" i="22" s="1"/>
  <c r="D16" i="22"/>
  <c r="K16" i="22" s="1"/>
  <c r="E15" i="22"/>
  <c r="D15" i="22"/>
  <c r="K15" i="22" s="1"/>
  <c r="E14" i="22"/>
  <c r="L14" i="22" s="1"/>
  <c r="D14" i="22"/>
  <c r="K14" i="22" s="1"/>
  <c r="E40" i="6"/>
  <c r="L40" i="6" s="1"/>
  <c r="D40" i="6"/>
  <c r="K40" i="6" s="1"/>
  <c r="K187" i="4"/>
  <c r="E185" i="4"/>
  <c r="L185" i="4" s="1"/>
  <c r="D185" i="4"/>
  <c r="K185" i="4" s="1"/>
  <c r="E184" i="4"/>
  <c r="L184" i="4" s="1"/>
  <c r="D184" i="4"/>
  <c r="K184" i="4" s="1"/>
  <c r="E183" i="4"/>
  <c r="L183" i="4" s="1"/>
  <c r="D183" i="4"/>
  <c r="K183" i="4" s="1"/>
  <c r="E182" i="4"/>
  <c r="L182" i="4" s="1"/>
  <c r="D182" i="4"/>
  <c r="K182" i="4" s="1"/>
  <c r="E180" i="4"/>
  <c r="L180" i="4" s="1"/>
  <c r="D180" i="4"/>
  <c r="K180" i="4" s="1"/>
  <c r="B305" i="3"/>
  <c r="A305" i="3"/>
  <c r="E142" i="3"/>
  <c r="L142" i="3" s="1"/>
  <c r="D142" i="3"/>
  <c r="K142" i="3" s="1"/>
  <c r="E141" i="3"/>
  <c r="D141" i="3"/>
  <c r="K141" i="3" s="1"/>
  <c r="E140" i="3"/>
  <c r="L140" i="3" s="1"/>
  <c r="D140" i="3"/>
  <c r="K140" i="3" s="1"/>
  <c r="E139" i="3"/>
  <c r="D139" i="3"/>
  <c r="E138" i="3"/>
  <c r="D138" i="3"/>
  <c r="K138" i="3" s="1"/>
  <c r="L455" i="2"/>
  <c r="K455" i="2"/>
  <c r="E453" i="2"/>
  <c r="L453" i="2" s="1"/>
  <c r="D453" i="2"/>
  <c r="K453" i="2" s="1"/>
  <c r="E452" i="2"/>
  <c r="D452" i="2"/>
  <c r="K452" i="2" s="1"/>
  <c r="E451" i="2"/>
  <c r="L451" i="2" s="1"/>
  <c r="D451" i="2"/>
  <c r="K451" i="2" s="1"/>
  <c r="E449" i="2"/>
  <c r="L449" i="2" s="1"/>
  <c r="D449" i="2"/>
  <c r="K449" i="2" s="1"/>
  <c r="E448" i="2"/>
  <c r="L448" i="2" s="1"/>
  <c r="D448" i="2"/>
  <c r="K448" i="2" s="1"/>
  <c r="E447" i="2"/>
  <c r="L447" i="2" s="1"/>
  <c r="D447" i="2"/>
  <c r="K447" i="2" s="1"/>
  <c r="E446" i="2"/>
  <c r="L446" i="2" s="1"/>
  <c r="D446" i="2"/>
  <c r="K446" i="2" s="1"/>
  <c r="E444" i="2"/>
  <c r="D444" i="2"/>
  <c r="K444" i="2" s="1"/>
  <c r="E442" i="2"/>
  <c r="D442" i="2"/>
  <c r="E441" i="2"/>
  <c r="D441" i="2"/>
  <c r="K441" i="2" s="1"/>
  <c r="E385" i="1"/>
  <c r="D385" i="1"/>
  <c r="K385" i="1" s="1"/>
  <c r="E383" i="1"/>
  <c r="L383" i="1" s="1"/>
  <c r="D383" i="1"/>
  <c r="K383" i="1" s="1"/>
  <c r="E381" i="1"/>
  <c r="D381" i="1"/>
  <c r="E380" i="1"/>
  <c r="L380" i="1" s="1"/>
  <c r="D380" i="1"/>
  <c r="K380" i="1" s="1"/>
  <c r="E377" i="1"/>
  <c r="D377" i="1"/>
  <c r="K377" i="1" s="1"/>
  <c r="E376" i="1"/>
  <c r="L376" i="1" s="1"/>
  <c r="D376" i="1"/>
  <c r="K376" i="1" s="1"/>
  <c r="E373" i="1"/>
  <c r="L373" i="1" s="1"/>
  <c r="D373" i="1"/>
  <c r="K373" i="1" s="1"/>
  <c r="E372" i="1"/>
  <c r="L372" i="1" s="1"/>
  <c r="D372" i="1"/>
  <c r="K372" i="1" s="1"/>
  <c r="E371" i="1"/>
  <c r="L371" i="1" s="1"/>
  <c r="D371" i="1"/>
  <c r="K371" i="1" s="1"/>
  <c r="E370" i="1"/>
  <c r="L370" i="1" s="1"/>
  <c r="D370" i="1"/>
  <c r="K370" i="1" s="1"/>
  <c r="E369" i="1"/>
  <c r="L369" i="1" s="1"/>
  <c r="D369" i="1"/>
  <c r="K369" i="1" s="1"/>
  <c r="L15" i="22" l="1"/>
  <c r="L441" i="2"/>
  <c r="L444" i="2"/>
  <c r="L452" i="2"/>
  <c r="L139" i="3"/>
  <c r="L381" i="1"/>
  <c r="K139" i="3"/>
  <c r="L141" i="3"/>
  <c r="L138" i="3"/>
  <c r="L442" i="2"/>
  <c r="L377" i="1"/>
  <c r="L385" i="1"/>
  <c r="K442" i="2"/>
  <c r="K381" i="1"/>
  <c r="K65" i="20"/>
  <c r="K49" i="20"/>
  <c r="J65" i="20"/>
  <c r="E62" i="20"/>
  <c r="K62" i="20" s="1"/>
  <c r="D62" i="20"/>
  <c r="J62" i="20" s="1"/>
  <c r="E60" i="20"/>
  <c r="K60" i="20" s="1"/>
  <c r="D60" i="20"/>
  <c r="J60" i="20" s="1"/>
  <c r="E42" i="19"/>
  <c r="D42" i="19"/>
  <c r="J42" i="19" s="1"/>
  <c r="K42" i="19" l="1"/>
  <c r="K32" i="18"/>
  <c r="E31" i="18"/>
  <c r="D31" i="18"/>
  <c r="J31" i="18" s="1"/>
  <c r="E30" i="18"/>
  <c r="K30" i="18" s="1"/>
  <c r="D30" i="18"/>
  <c r="J30" i="18" s="1"/>
  <c r="E29" i="18"/>
  <c r="K29" i="18" s="1"/>
  <c r="D29" i="18"/>
  <c r="J29" i="18" s="1"/>
  <c r="E28" i="18"/>
  <c r="K28" i="18" s="1"/>
  <c r="D28" i="18"/>
  <c r="J28" i="18" s="1"/>
  <c r="E27" i="18"/>
  <c r="K27" i="18" s="1"/>
  <c r="D27" i="18"/>
  <c r="J27" i="18" s="1"/>
  <c r="E70" i="17"/>
  <c r="D70" i="17"/>
  <c r="J70" i="17" s="1"/>
  <c r="K108" i="16"/>
  <c r="J108" i="16"/>
  <c r="E106" i="16"/>
  <c r="D106" i="16"/>
  <c r="J106" i="16" s="1"/>
  <c r="E105" i="16"/>
  <c r="K105" i="16" s="1"/>
  <c r="D105" i="16"/>
  <c r="J105" i="16" s="1"/>
  <c r="E104" i="16"/>
  <c r="D104" i="16"/>
  <c r="J104" i="16" s="1"/>
  <c r="E103" i="16"/>
  <c r="K103" i="16" s="1"/>
  <c r="D103" i="16"/>
  <c r="J103" i="16" s="1"/>
  <c r="E102" i="16"/>
  <c r="K102" i="16" s="1"/>
  <c r="D102" i="16"/>
  <c r="J102" i="16" s="1"/>
  <c r="E101" i="16"/>
  <c r="K101" i="16" s="1"/>
  <c r="D101" i="16"/>
  <c r="J101" i="16" s="1"/>
  <c r="E98" i="16"/>
  <c r="D98" i="16"/>
  <c r="J98" i="16" s="1"/>
  <c r="K70" i="17" l="1"/>
  <c r="K31" i="18"/>
  <c r="K98" i="16"/>
  <c r="K104" i="16"/>
  <c r="K106" i="16"/>
  <c r="L62" i="13"/>
  <c r="K62" i="13"/>
  <c r="E61" i="13"/>
  <c r="D61" i="13"/>
  <c r="E115" i="12"/>
  <c r="L115" i="12" s="1"/>
  <c r="D115" i="12"/>
  <c r="K115" i="12" s="1"/>
  <c r="E114" i="12"/>
  <c r="L114" i="12" s="1"/>
  <c r="D114" i="12"/>
  <c r="K114" i="12" s="1"/>
  <c r="E113" i="12"/>
  <c r="L113" i="12" s="1"/>
  <c r="D113" i="12"/>
  <c r="K113" i="12" s="1"/>
  <c r="E111" i="12"/>
  <c r="L111" i="12" s="1"/>
  <c r="D111" i="12"/>
  <c r="K111" i="12" s="1"/>
  <c r="I110" i="12"/>
  <c r="D108" i="12" s="1"/>
  <c r="K108" i="12" s="1"/>
  <c r="E108" i="12"/>
  <c r="L108" i="12" s="1"/>
  <c r="E107" i="12"/>
  <c r="D107" i="12"/>
  <c r="E44" i="11"/>
  <c r="D44" i="11"/>
  <c r="K44" i="11" s="1"/>
  <c r="E61" i="10"/>
  <c r="L61" i="10" s="1"/>
  <c r="D61" i="10"/>
  <c r="K61" i="10" s="1"/>
  <c r="E60" i="10"/>
  <c r="D60" i="10"/>
  <c r="K60" i="10" s="1"/>
  <c r="E59" i="10"/>
  <c r="L59" i="10" s="1"/>
  <c r="D59" i="10"/>
  <c r="K59" i="10" s="1"/>
  <c r="L44" i="11" l="1"/>
  <c r="L60" i="10"/>
  <c r="K16" i="15"/>
  <c r="K41" i="14"/>
  <c r="E39" i="14"/>
  <c r="L39" i="14" s="1"/>
  <c r="D39" i="14"/>
  <c r="K39" i="14" s="1"/>
  <c r="E36" i="14"/>
  <c r="L36" i="14" s="1"/>
  <c r="D36" i="14"/>
  <c r="K36" i="14" s="1"/>
  <c r="E51" i="9"/>
  <c r="D51" i="9"/>
  <c r="K51" i="9" s="1"/>
  <c r="E49" i="9"/>
  <c r="L49" i="9" s="1"/>
  <c r="D49" i="9"/>
  <c r="K49" i="9" s="1"/>
  <c r="E77" i="8"/>
  <c r="L77" i="8" s="1"/>
  <c r="D77" i="8"/>
  <c r="K77" i="8" s="1"/>
  <c r="L75" i="8"/>
  <c r="L51" i="9" l="1"/>
  <c r="E13" i="22"/>
  <c r="D13" i="22"/>
  <c r="K13" i="22" s="1"/>
  <c r="E12" i="22"/>
  <c r="D12" i="22"/>
  <c r="K12" i="22" s="1"/>
  <c r="E11" i="22"/>
  <c r="D11" i="22"/>
  <c r="K11" i="22" s="1"/>
  <c r="E10" i="22"/>
  <c r="L10" i="22" s="1"/>
  <c r="D10" i="22"/>
  <c r="K10" i="22" s="1"/>
  <c r="E9" i="22"/>
  <c r="L9" i="22" s="1"/>
  <c r="D9" i="22"/>
  <c r="K9" i="22" s="1"/>
  <c r="E8" i="22"/>
  <c r="L8" i="22" s="1"/>
  <c r="D8" i="22"/>
  <c r="K8" i="22" s="1"/>
  <c r="E39" i="6"/>
  <c r="L39" i="6" s="1"/>
  <c r="D39" i="6"/>
  <c r="K39" i="6" s="1"/>
  <c r="E38" i="6"/>
  <c r="L38" i="6" s="1"/>
  <c r="D38" i="6"/>
  <c r="K38" i="6" s="1"/>
  <c r="E35" i="6"/>
  <c r="L35" i="6" s="1"/>
  <c r="D35" i="6"/>
  <c r="K35" i="6" s="1"/>
  <c r="E177" i="4"/>
  <c r="L177" i="4" s="1"/>
  <c r="D177" i="4"/>
  <c r="K177" i="4" s="1"/>
  <c r="E176" i="4"/>
  <c r="L176" i="4" s="1"/>
  <c r="D176" i="4"/>
  <c r="K176" i="4" s="1"/>
  <c r="E174" i="4"/>
  <c r="D174" i="4"/>
  <c r="K174" i="4" s="1"/>
  <c r="E172" i="4"/>
  <c r="D172" i="4"/>
  <c r="K172" i="4" s="1"/>
  <c r="L133" i="3"/>
  <c r="E137" i="3"/>
  <c r="D137" i="3"/>
  <c r="K137" i="3" s="1"/>
  <c r="E136" i="3"/>
  <c r="D136" i="3"/>
  <c r="K136" i="3" s="1"/>
  <c r="E135" i="3"/>
  <c r="L135" i="3" s="1"/>
  <c r="D135" i="3"/>
  <c r="K135" i="3" s="1"/>
  <c r="K133" i="3"/>
  <c r="E440" i="2"/>
  <c r="L440" i="2" s="1"/>
  <c r="D440" i="2"/>
  <c r="K440" i="2" s="1"/>
  <c r="E439" i="2"/>
  <c r="D439" i="2"/>
  <c r="K439" i="2" s="1"/>
  <c r="E437" i="2"/>
  <c r="L437" i="2" s="1"/>
  <c r="D437" i="2"/>
  <c r="K437" i="2" s="1"/>
  <c r="E435" i="2"/>
  <c r="L435" i="2" s="1"/>
  <c r="D435" i="2"/>
  <c r="K435" i="2" s="1"/>
  <c r="E434" i="2"/>
  <c r="L434" i="2" s="1"/>
  <c r="D434" i="2"/>
  <c r="K434" i="2" s="1"/>
  <c r="E432" i="2"/>
  <c r="D432" i="2"/>
  <c r="K432" i="2" s="1"/>
  <c r="E430" i="2"/>
  <c r="D430" i="2"/>
  <c r="K430" i="2" s="1"/>
  <c r="E428" i="2"/>
  <c r="L428" i="2" s="1"/>
  <c r="D428" i="2"/>
  <c r="K428" i="2" s="1"/>
  <c r="E427" i="2"/>
  <c r="L427" i="2" s="1"/>
  <c r="D427" i="2"/>
  <c r="K427" i="2" s="1"/>
  <c r="E425" i="2"/>
  <c r="D425" i="2"/>
  <c r="K425" i="2" s="1"/>
  <c r="E424" i="2"/>
  <c r="L424" i="2" s="1"/>
  <c r="D424" i="2"/>
  <c r="K424" i="2" s="1"/>
  <c r="E420" i="2"/>
  <c r="D420" i="2"/>
  <c r="K420" i="2" s="1"/>
  <c r="E419" i="2"/>
  <c r="L419" i="2" s="1"/>
  <c r="D419" i="2"/>
  <c r="K419" i="2" s="1"/>
  <c r="E417" i="2"/>
  <c r="D417" i="2"/>
  <c r="K417" i="2" s="1"/>
  <c r="E416" i="2"/>
  <c r="D416" i="2"/>
  <c r="K416" i="2" s="1"/>
  <c r="E414" i="2"/>
  <c r="D414" i="2"/>
  <c r="K414" i="2" s="1"/>
  <c r="E413" i="2"/>
  <c r="D413" i="2"/>
  <c r="K413" i="2" s="1"/>
  <c r="L411" i="2"/>
  <c r="L338" i="1"/>
  <c r="L11" i="22" l="1"/>
  <c r="L13" i="22"/>
  <c r="L172" i="4"/>
  <c r="L12" i="22"/>
  <c r="L137" i="3"/>
  <c r="L174" i="4"/>
  <c r="L414" i="2"/>
  <c r="L417" i="2"/>
  <c r="L420" i="2"/>
  <c r="L425" i="2"/>
  <c r="L432" i="2"/>
  <c r="L439" i="2"/>
  <c r="L136" i="3"/>
  <c r="L413" i="2"/>
  <c r="L430" i="2"/>
  <c r="L416" i="2"/>
  <c r="E367" i="1"/>
  <c r="L367" i="1" s="1"/>
  <c r="D367" i="1"/>
  <c r="K367" i="1" s="1"/>
  <c r="E365" i="1"/>
  <c r="D365" i="1"/>
  <c r="K365" i="1" s="1"/>
  <c r="E364" i="1"/>
  <c r="D364" i="1"/>
  <c r="K364" i="1" s="1"/>
  <c r="E362" i="1"/>
  <c r="D362" i="1"/>
  <c r="K362" i="1" s="1"/>
  <c r="E360" i="1"/>
  <c r="L360" i="1" s="1"/>
  <c r="D360" i="1"/>
  <c r="K360" i="1" s="1"/>
  <c r="E358" i="1"/>
  <c r="L358" i="1" s="1"/>
  <c r="D358" i="1"/>
  <c r="K358" i="1" s="1"/>
  <c r="E357" i="1"/>
  <c r="L357" i="1" s="1"/>
  <c r="D357" i="1"/>
  <c r="K357" i="1" s="1"/>
  <c r="E356" i="1"/>
  <c r="L356" i="1" s="1"/>
  <c r="D356" i="1"/>
  <c r="K356" i="1" s="1"/>
  <c r="E353" i="1"/>
  <c r="L353" i="1" s="1"/>
  <c r="D353" i="1"/>
  <c r="K353" i="1" s="1"/>
  <c r="E352" i="1"/>
  <c r="L352" i="1" s="1"/>
  <c r="D352" i="1"/>
  <c r="K352" i="1" s="1"/>
  <c r="E350" i="1"/>
  <c r="D350" i="1"/>
  <c r="K350" i="1" s="1"/>
  <c r="E348" i="1"/>
  <c r="L348" i="1" s="1"/>
  <c r="D348" i="1"/>
  <c r="E346" i="1"/>
  <c r="L346" i="1" s="1"/>
  <c r="D346" i="1"/>
  <c r="K346" i="1" s="1"/>
  <c r="E344" i="1"/>
  <c r="D344" i="1"/>
  <c r="K344" i="1" s="1"/>
  <c r="E342" i="1"/>
  <c r="L342" i="1" s="1"/>
  <c r="D342" i="1"/>
  <c r="K342" i="1" s="1"/>
  <c r="E341" i="1"/>
  <c r="L341" i="1" s="1"/>
  <c r="D341" i="1"/>
  <c r="K341" i="1" s="1"/>
  <c r="E339" i="1"/>
  <c r="L339" i="1" s="1"/>
  <c r="D339" i="1"/>
  <c r="K339" i="1" s="1"/>
  <c r="A348" i="1" l="1"/>
  <c r="K348" i="1" s="1"/>
  <c r="L344" i="1"/>
  <c r="L350" i="1"/>
  <c r="L364" i="1"/>
  <c r="L362" i="1"/>
  <c r="L365" i="1"/>
  <c r="E59" i="20"/>
  <c r="D59" i="20"/>
  <c r="J59" i="20" s="1"/>
  <c r="E58" i="20"/>
  <c r="K58" i="20" s="1"/>
  <c r="D58" i="20"/>
  <c r="J58" i="20" s="1"/>
  <c r="E23" i="18"/>
  <c r="D23" i="18"/>
  <c r="K59" i="20" l="1"/>
  <c r="E134" i="3"/>
  <c r="L134" i="3" s="1"/>
  <c r="D134" i="3"/>
  <c r="K134" i="3" s="1"/>
  <c r="K338" i="1"/>
  <c r="E56" i="20" l="1"/>
  <c r="D56" i="20"/>
  <c r="J56" i="20" s="1"/>
  <c r="K41" i="19"/>
  <c r="J41" i="19"/>
  <c r="K26" i="18"/>
  <c r="K23" i="18"/>
  <c r="J23" i="18"/>
  <c r="E22" i="18"/>
  <c r="K22" i="18" s="1"/>
  <c r="D22" i="18"/>
  <c r="J22" i="18" s="1"/>
  <c r="K69" i="17"/>
  <c r="J69" i="17"/>
  <c r="E66" i="17"/>
  <c r="K66" i="17" s="1"/>
  <c r="D66" i="17"/>
  <c r="J66" i="17" s="1"/>
  <c r="E65" i="17"/>
  <c r="K65" i="17" s="1"/>
  <c r="D65" i="17"/>
  <c r="J65" i="17" s="1"/>
  <c r="K96" i="16"/>
  <c r="J96" i="16"/>
  <c r="E94" i="16"/>
  <c r="K94" i="16" s="1"/>
  <c r="D94" i="16"/>
  <c r="J94" i="16" s="1"/>
  <c r="E93" i="16"/>
  <c r="K93" i="16" s="1"/>
  <c r="D93" i="16"/>
  <c r="J93" i="16" s="1"/>
  <c r="K92" i="16"/>
  <c r="K56" i="20" l="1"/>
  <c r="K107" i="12"/>
  <c r="L107" i="12"/>
  <c r="E106" i="12"/>
  <c r="D106" i="12"/>
  <c r="K106" i="12" s="1"/>
  <c r="L42" i="11"/>
  <c r="E58" i="10"/>
  <c r="D58" i="10"/>
  <c r="K58" i="10" s="1"/>
  <c r="E57" i="10"/>
  <c r="D57" i="10"/>
  <c r="K57" i="10" s="1"/>
  <c r="L15" i="15"/>
  <c r="E37" i="14"/>
  <c r="L37" i="14" s="1"/>
  <c r="D37" i="14"/>
  <c r="K37" i="14" s="1"/>
  <c r="E34" i="14"/>
  <c r="L34" i="14" s="1"/>
  <c r="D34" i="14"/>
  <c r="K34" i="14" s="1"/>
  <c r="E48" i="9"/>
  <c r="L48" i="9" s="1"/>
  <c r="D48" i="9"/>
  <c r="K48" i="9" s="1"/>
  <c r="E46" i="9"/>
  <c r="L46" i="9" s="1"/>
  <c r="D46" i="9"/>
  <c r="K46" i="9" s="1"/>
  <c r="K75" i="8"/>
  <c r="L106" i="12" l="1"/>
  <c r="L58" i="10"/>
  <c r="L57" i="10"/>
  <c r="B29" i="22"/>
  <c r="A29" i="22"/>
  <c r="E7" i="22"/>
  <c r="L7" i="22" s="1"/>
  <c r="D7" i="22"/>
  <c r="K7" i="22" s="1"/>
  <c r="E5" i="22"/>
  <c r="D5" i="22"/>
  <c r="E34" i="6"/>
  <c r="L34" i="6" s="1"/>
  <c r="D34" i="6"/>
  <c r="K34" i="6" s="1"/>
  <c r="E33" i="6"/>
  <c r="L33" i="6" s="1"/>
  <c r="D33" i="6"/>
  <c r="K33" i="6" s="1"/>
  <c r="E32" i="6"/>
  <c r="L32" i="6" s="1"/>
  <c r="D32" i="6"/>
  <c r="K32" i="6" s="1"/>
  <c r="E31" i="6"/>
  <c r="L31" i="6" s="1"/>
  <c r="D31" i="6"/>
  <c r="K31" i="6" s="1"/>
  <c r="E30" i="6"/>
  <c r="L30" i="6" s="1"/>
  <c r="D30" i="6"/>
  <c r="K30" i="6" s="1"/>
  <c r="L48" i="5"/>
  <c r="K48" i="5"/>
  <c r="E171" i="4"/>
  <c r="D171" i="4"/>
  <c r="K171" i="4" s="1"/>
  <c r="E170" i="4"/>
  <c r="L170" i="4" s="1"/>
  <c r="D170" i="4"/>
  <c r="K170" i="4" s="1"/>
  <c r="E167" i="4"/>
  <c r="D167" i="4"/>
  <c r="K167" i="4" s="1"/>
  <c r="E166" i="4"/>
  <c r="L166" i="4" s="1"/>
  <c r="D166" i="4"/>
  <c r="K166" i="4" s="1"/>
  <c r="E165" i="4"/>
  <c r="L165" i="4" s="1"/>
  <c r="D165" i="4"/>
  <c r="K165" i="4" s="1"/>
  <c r="E164" i="4"/>
  <c r="L164" i="4" s="1"/>
  <c r="D164" i="4"/>
  <c r="K164" i="4" s="1"/>
  <c r="L132" i="3"/>
  <c r="K132" i="3"/>
  <c r="E131" i="3"/>
  <c r="L131" i="3" s="1"/>
  <c r="D131" i="3"/>
  <c r="K131" i="3" s="1"/>
  <c r="E129" i="3"/>
  <c r="L129" i="3" s="1"/>
  <c r="D129" i="3"/>
  <c r="K129" i="3" s="1"/>
  <c r="E128" i="3"/>
  <c r="L128" i="3" s="1"/>
  <c r="D128" i="3"/>
  <c r="K128" i="3" s="1"/>
  <c r="K411" i="2"/>
  <c r="E410" i="2"/>
  <c r="L410" i="2" s="1"/>
  <c r="D410" i="2"/>
  <c r="K410" i="2" s="1"/>
  <c r="E409" i="2"/>
  <c r="L409" i="2" s="1"/>
  <c r="D409" i="2"/>
  <c r="K409" i="2" s="1"/>
  <c r="L408" i="2"/>
  <c r="E407" i="2"/>
  <c r="D407" i="2"/>
  <c r="K407" i="2" s="1"/>
  <c r="E405" i="2"/>
  <c r="D405" i="2"/>
  <c r="K405" i="2" s="1"/>
  <c r="L395" i="2"/>
  <c r="K395" i="2"/>
  <c r="L337" i="1"/>
  <c r="K337" i="1"/>
  <c r="E335" i="1"/>
  <c r="D335" i="1"/>
  <c r="K335" i="1" s="1"/>
  <c r="E333" i="1"/>
  <c r="L333" i="1" s="1"/>
  <c r="D333" i="1"/>
  <c r="K333" i="1" s="1"/>
  <c r="E331" i="1"/>
  <c r="L331" i="1" s="1"/>
  <c r="D331" i="1"/>
  <c r="K331" i="1" s="1"/>
  <c r="E328" i="1"/>
  <c r="D328" i="1"/>
  <c r="K328" i="1" s="1"/>
  <c r="E326" i="1"/>
  <c r="L326" i="1" s="1"/>
  <c r="D326" i="1"/>
  <c r="K326" i="1" s="1"/>
  <c r="D29" i="22" l="1"/>
  <c r="E29" i="22"/>
  <c r="L5" i="22"/>
  <c r="L167" i="4"/>
  <c r="L171" i="4"/>
  <c r="L328" i="1"/>
  <c r="L407" i="2"/>
  <c r="L405" i="2"/>
  <c r="K5" i="22"/>
  <c r="L335" i="1"/>
  <c r="K408" i="2"/>
  <c r="E163" i="4"/>
  <c r="L163" i="4" s="1"/>
  <c r="D163" i="4"/>
  <c r="K163" i="4" s="1"/>
  <c r="I8" i="16" l="1"/>
  <c r="E6" i="16" s="1"/>
  <c r="H8" i="16"/>
  <c r="D6" i="16" s="1"/>
  <c r="B6" i="16"/>
  <c r="A6" i="16"/>
  <c r="A364" i="16" s="1"/>
  <c r="E5" i="16"/>
  <c r="D5" i="16"/>
  <c r="J5" i="16" s="1"/>
  <c r="K6" i="16" l="1"/>
  <c r="B364" i="16"/>
  <c r="J6" i="16"/>
  <c r="K5" i="16"/>
  <c r="E53" i="20"/>
  <c r="K53" i="20" s="1"/>
  <c r="D53" i="20"/>
  <c r="J53" i="20" s="1"/>
  <c r="E52" i="20"/>
  <c r="K52" i="20" s="1"/>
  <c r="D52" i="20"/>
  <c r="J52" i="20" s="1"/>
  <c r="E51" i="20"/>
  <c r="K51" i="20" s="1"/>
  <c r="D51" i="20"/>
  <c r="J51" i="20" s="1"/>
  <c r="K40" i="19"/>
  <c r="J40" i="19"/>
  <c r="E38" i="19"/>
  <c r="K38" i="19" s="1"/>
  <c r="D38" i="19"/>
  <c r="J38" i="19" s="1"/>
  <c r="K19" i="18"/>
  <c r="J19" i="18"/>
  <c r="E15" i="18"/>
  <c r="D15" i="18"/>
  <c r="J15" i="18" s="1"/>
  <c r="K64" i="17"/>
  <c r="K59" i="17"/>
  <c r="K57" i="17"/>
  <c r="E63" i="17"/>
  <c r="K63" i="17" s="1"/>
  <c r="D63" i="17"/>
  <c r="A63" i="17"/>
  <c r="E62" i="17"/>
  <c r="K62" i="17" s="1"/>
  <c r="D62" i="17"/>
  <c r="J62" i="17" s="1"/>
  <c r="E61" i="17"/>
  <c r="K61" i="17" s="1"/>
  <c r="D61" i="17"/>
  <c r="A61" i="17"/>
  <c r="E60" i="17"/>
  <c r="K60" i="17" s="1"/>
  <c r="D60" i="17"/>
  <c r="A60" i="17"/>
  <c r="A154" i="17" s="1"/>
  <c r="E58" i="17"/>
  <c r="K58" i="17" s="1"/>
  <c r="D58" i="17"/>
  <c r="J58" i="17" s="1"/>
  <c r="E56" i="17"/>
  <c r="K56" i="17" s="1"/>
  <c r="D56" i="17"/>
  <c r="J56" i="17" s="1"/>
  <c r="E55" i="17"/>
  <c r="D55" i="17"/>
  <c r="J55" i="17" s="1"/>
  <c r="J92" i="16"/>
  <c r="E90" i="16"/>
  <c r="D90" i="16"/>
  <c r="J90" i="16" s="1"/>
  <c r="K88" i="16"/>
  <c r="E87" i="16"/>
  <c r="K87" i="16" s="1"/>
  <c r="D87" i="16"/>
  <c r="J87" i="16" s="1"/>
  <c r="E84" i="16"/>
  <c r="K84" i="16" s="1"/>
  <c r="D84" i="16"/>
  <c r="J84" i="16" s="1"/>
  <c r="E82" i="16"/>
  <c r="D82" i="16"/>
  <c r="J82" i="16" s="1"/>
  <c r="E81" i="16"/>
  <c r="K81" i="16" s="1"/>
  <c r="D81" i="16"/>
  <c r="J81" i="16" s="1"/>
  <c r="E79" i="16"/>
  <c r="K79" i="16" s="1"/>
  <c r="D79" i="16"/>
  <c r="J79" i="16" s="1"/>
  <c r="E77" i="16"/>
  <c r="K77" i="16" s="1"/>
  <c r="D77" i="16"/>
  <c r="J77" i="16" s="1"/>
  <c r="E74" i="16"/>
  <c r="D74" i="16"/>
  <c r="K15" i="18" l="1"/>
  <c r="J61" i="17"/>
  <c r="K90" i="16"/>
  <c r="K82" i="16"/>
  <c r="K55" i="17"/>
  <c r="J60" i="17"/>
  <c r="J63" i="17"/>
  <c r="J88" i="16"/>
  <c r="L61" i="13"/>
  <c r="K61" i="13"/>
  <c r="E60" i="13"/>
  <c r="L60" i="13" s="1"/>
  <c r="D60" i="13"/>
  <c r="K60" i="13" s="1"/>
  <c r="E58" i="13"/>
  <c r="L58" i="13" s="1"/>
  <c r="D58" i="13"/>
  <c r="K58" i="13" s="1"/>
  <c r="E57" i="13"/>
  <c r="L57" i="13" s="1"/>
  <c r="D57" i="13"/>
  <c r="K57" i="13" s="1"/>
  <c r="E55" i="13"/>
  <c r="D55" i="13"/>
  <c r="K55" i="13" s="1"/>
  <c r="E42" i="13"/>
  <c r="L42" i="13" s="1"/>
  <c r="D42" i="13"/>
  <c r="L105" i="12"/>
  <c r="K105" i="12"/>
  <c r="E104" i="12"/>
  <c r="L104" i="12" s="1"/>
  <c r="D104" i="12"/>
  <c r="K104" i="12" s="1"/>
  <c r="E103" i="12"/>
  <c r="L103" i="12" s="1"/>
  <c r="D103" i="12"/>
  <c r="K103" i="12" s="1"/>
  <c r="E100" i="12"/>
  <c r="D100" i="12"/>
  <c r="E99" i="12"/>
  <c r="L99" i="12" s="1"/>
  <c r="D99" i="12"/>
  <c r="K99" i="12" s="1"/>
  <c r="E98" i="12"/>
  <c r="L98" i="12" s="1"/>
  <c r="D98" i="12"/>
  <c r="K98" i="12" s="1"/>
  <c r="E97" i="12"/>
  <c r="L97" i="12" s="1"/>
  <c r="D97" i="12"/>
  <c r="K97" i="12" s="1"/>
  <c r="E95" i="12"/>
  <c r="D95" i="12"/>
  <c r="K95" i="12" s="1"/>
  <c r="E94" i="12"/>
  <c r="L94" i="12" s="1"/>
  <c r="D94" i="12"/>
  <c r="K94" i="12" s="1"/>
  <c r="E92" i="12"/>
  <c r="L92" i="12" s="1"/>
  <c r="D92" i="12"/>
  <c r="K92" i="12" s="1"/>
  <c r="E91" i="12"/>
  <c r="L91" i="12" s="1"/>
  <c r="D91" i="12"/>
  <c r="K91" i="12" s="1"/>
  <c r="E90" i="12"/>
  <c r="L90" i="12" s="1"/>
  <c r="D90" i="12"/>
  <c r="K90" i="12" s="1"/>
  <c r="K42" i="11"/>
  <c r="L41" i="11"/>
  <c r="E55" i="10"/>
  <c r="L55" i="10" s="1"/>
  <c r="D55" i="10"/>
  <c r="K55" i="10" s="1"/>
  <c r="E54" i="10"/>
  <c r="L54" i="10" s="1"/>
  <c r="D54" i="10"/>
  <c r="K54" i="10" s="1"/>
  <c r="E53" i="10"/>
  <c r="L53" i="10" s="1"/>
  <c r="D53" i="10"/>
  <c r="K53" i="10" s="1"/>
  <c r="E52" i="10"/>
  <c r="L52" i="10" s="1"/>
  <c r="D52" i="10"/>
  <c r="K52" i="10" s="1"/>
  <c r="E50" i="10"/>
  <c r="L50" i="10" s="1"/>
  <c r="D50" i="10"/>
  <c r="K50" i="10" s="1"/>
  <c r="E48" i="10"/>
  <c r="L48" i="10" s="1"/>
  <c r="D48" i="10"/>
  <c r="K48" i="10" s="1"/>
  <c r="B44" i="15"/>
  <c r="K15" i="15"/>
  <c r="E14" i="15"/>
  <c r="L14" i="15" s="1"/>
  <c r="D14" i="15"/>
  <c r="E33" i="14"/>
  <c r="L33" i="14" s="1"/>
  <c r="D33" i="14"/>
  <c r="K33" i="14" s="1"/>
  <c r="E30" i="14"/>
  <c r="L30" i="14" s="1"/>
  <c r="D30" i="14"/>
  <c r="K30" i="14" s="1"/>
  <c r="E44" i="9"/>
  <c r="L44" i="9" s="1"/>
  <c r="D44" i="9"/>
  <c r="K44" i="9" s="1"/>
  <c r="E42" i="9"/>
  <c r="D42" i="9"/>
  <c r="K42" i="9" s="1"/>
  <c r="K72" i="8"/>
  <c r="E71" i="8"/>
  <c r="L71" i="8" s="1"/>
  <c r="D71" i="8"/>
  <c r="K71" i="8" s="1"/>
  <c r="E70" i="8"/>
  <c r="L70" i="8" s="1"/>
  <c r="D70" i="8"/>
  <c r="K70" i="8" s="1"/>
  <c r="E69" i="8"/>
  <c r="L69" i="8" s="1"/>
  <c r="D69" i="8"/>
  <c r="K69" i="8" s="1"/>
  <c r="E68" i="8"/>
  <c r="L68" i="8" s="1"/>
  <c r="D68" i="8"/>
  <c r="K68" i="8" s="1"/>
  <c r="E67" i="8"/>
  <c r="D67" i="8"/>
  <c r="K67" i="8" s="1"/>
  <c r="E66" i="8"/>
  <c r="L66" i="8" s="1"/>
  <c r="D66" i="8"/>
  <c r="K66" i="8" s="1"/>
  <c r="L100" i="12" l="1"/>
  <c r="L42" i="9"/>
  <c r="L95" i="12"/>
  <c r="K100" i="12"/>
  <c r="L55" i="13"/>
  <c r="L67" i="8"/>
  <c r="L72" i="8"/>
  <c r="L10" i="21"/>
  <c r="E14" i="21"/>
  <c r="L14" i="21" s="1"/>
  <c r="D14" i="21"/>
  <c r="K14" i="21" s="1"/>
  <c r="E12" i="21"/>
  <c r="L12" i="21" s="1"/>
  <c r="D12" i="21"/>
  <c r="K12" i="21" s="1"/>
  <c r="E11" i="21"/>
  <c r="L11" i="21" s="1"/>
  <c r="D11" i="21"/>
  <c r="K11" i="21" s="1"/>
  <c r="L28" i="6"/>
  <c r="K28" i="6"/>
  <c r="E46" i="5"/>
  <c r="D46" i="5"/>
  <c r="B46" i="5"/>
  <c r="A46" i="5"/>
  <c r="E162" i="4"/>
  <c r="L162" i="4" s="1"/>
  <c r="D162" i="4"/>
  <c r="K162" i="4" s="1"/>
  <c r="E159" i="4"/>
  <c r="D159" i="4"/>
  <c r="K159" i="4" s="1"/>
  <c r="E156" i="4"/>
  <c r="D156" i="4"/>
  <c r="K156" i="4" s="1"/>
  <c r="L125" i="3"/>
  <c r="K125" i="3"/>
  <c r="E123" i="3"/>
  <c r="L123" i="3" s="1"/>
  <c r="D123" i="3"/>
  <c r="K123" i="3" s="1"/>
  <c r="E120" i="3"/>
  <c r="D120" i="3"/>
  <c r="K120" i="3" s="1"/>
  <c r="E119" i="3"/>
  <c r="D119" i="3"/>
  <c r="K119" i="3" s="1"/>
  <c r="L368" i="2"/>
  <c r="L403" i="2"/>
  <c r="K403" i="2"/>
  <c r="E402" i="2"/>
  <c r="L402" i="2" s="1"/>
  <c r="D402" i="2"/>
  <c r="K402" i="2" s="1"/>
  <c r="E398" i="2"/>
  <c r="L398" i="2" s="1"/>
  <c r="D398" i="2"/>
  <c r="K398" i="2" s="1"/>
  <c r="E396" i="2"/>
  <c r="L396" i="2" s="1"/>
  <c r="D396" i="2"/>
  <c r="K396" i="2" s="1"/>
  <c r="E394" i="2"/>
  <c r="D394" i="2"/>
  <c r="K394" i="2" s="1"/>
  <c r="E390" i="2"/>
  <c r="D390" i="2"/>
  <c r="K390" i="2" s="1"/>
  <c r="E388" i="2"/>
  <c r="L388" i="2" s="1"/>
  <c r="D388" i="2"/>
  <c r="K388" i="2" s="1"/>
  <c r="E387" i="2"/>
  <c r="L387" i="2" s="1"/>
  <c r="D387" i="2"/>
  <c r="K387" i="2" s="1"/>
  <c r="E386" i="2"/>
  <c r="L386" i="2" s="1"/>
  <c r="D386" i="2"/>
  <c r="K386" i="2" s="1"/>
  <c r="E385" i="2"/>
  <c r="L385" i="2" s="1"/>
  <c r="D385" i="2"/>
  <c r="K385" i="2" s="1"/>
  <c r="E382" i="2"/>
  <c r="D382" i="2"/>
  <c r="K382" i="2" s="1"/>
  <c r="E380" i="2"/>
  <c r="L380" i="2" s="1"/>
  <c r="D380" i="2"/>
  <c r="K380" i="2" s="1"/>
  <c r="E378" i="2"/>
  <c r="D378" i="2"/>
  <c r="K378" i="2" s="1"/>
  <c r="E375" i="2"/>
  <c r="D375" i="2"/>
  <c r="K375" i="2" s="1"/>
  <c r="L325" i="1"/>
  <c r="K46" i="5" l="1"/>
  <c r="L46" i="5"/>
  <c r="L119" i="3"/>
  <c r="L159" i="4"/>
  <c r="L156" i="4"/>
  <c r="L120" i="3"/>
  <c r="L378" i="2"/>
  <c r="L375" i="2"/>
  <c r="L390" i="2"/>
  <c r="L394" i="2"/>
  <c r="L382" i="2"/>
  <c r="K325" i="1"/>
  <c r="E323" i="1"/>
  <c r="D323" i="1"/>
  <c r="K323" i="1" s="1"/>
  <c r="E322" i="1"/>
  <c r="D322" i="1"/>
  <c r="K322" i="1" s="1"/>
  <c r="E320" i="1"/>
  <c r="L320" i="1" s="1"/>
  <c r="D320" i="1"/>
  <c r="K320" i="1" s="1"/>
  <c r="E319" i="1"/>
  <c r="L319" i="1" s="1"/>
  <c r="D319" i="1"/>
  <c r="K319" i="1" s="1"/>
  <c r="E318" i="1"/>
  <c r="L318" i="1" s="1"/>
  <c r="D318" i="1"/>
  <c r="K318" i="1" s="1"/>
  <c r="E317" i="1"/>
  <c r="L317" i="1" s="1"/>
  <c r="D317" i="1"/>
  <c r="K317" i="1" s="1"/>
  <c r="E316" i="1"/>
  <c r="L316" i="1" s="1"/>
  <c r="D316" i="1"/>
  <c r="K316" i="1" s="1"/>
  <c r="E315" i="1"/>
  <c r="L315" i="1" s="1"/>
  <c r="D315" i="1"/>
  <c r="K315" i="1" s="1"/>
  <c r="E313" i="1"/>
  <c r="L313" i="1" s="1"/>
  <c r="D313" i="1"/>
  <c r="K313" i="1" s="1"/>
  <c r="E312" i="1"/>
  <c r="L312" i="1" s="1"/>
  <c r="D312" i="1"/>
  <c r="K312" i="1" s="1"/>
  <c r="E309" i="1"/>
  <c r="D309" i="1"/>
  <c r="K309" i="1" s="1"/>
  <c r="E307" i="1"/>
  <c r="L307" i="1" s="1"/>
  <c r="D307" i="1"/>
  <c r="K307" i="1" s="1"/>
  <c r="E306" i="1"/>
  <c r="L306" i="1" s="1"/>
  <c r="D306" i="1"/>
  <c r="K306" i="1" s="1"/>
  <c r="E303" i="1"/>
  <c r="L303" i="1" s="1"/>
  <c r="D303" i="1"/>
  <c r="K303" i="1" s="1"/>
  <c r="E302" i="1"/>
  <c r="D302" i="1"/>
  <c r="K302" i="1" s="1"/>
  <c r="E301" i="1"/>
  <c r="L301" i="1" s="1"/>
  <c r="D301" i="1"/>
  <c r="K301" i="1" s="1"/>
  <c r="L322" i="1" l="1"/>
  <c r="L302" i="1"/>
  <c r="L309" i="1"/>
  <c r="L323" i="1"/>
  <c r="E37" i="19"/>
  <c r="K37" i="19" s="1"/>
  <c r="D37" i="19"/>
  <c r="J37" i="19" s="1"/>
  <c r="E36" i="19"/>
  <c r="D36" i="19"/>
  <c r="J36" i="19" s="1"/>
  <c r="E31" i="19"/>
  <c r="K31" i="19" s="1"/>
  <c r="D31" i="19"/>
  <c r="E28" i="19"/>
  <c r="K28" i="19" s="1"/>
  <c r="D28" i="19"/>
  <c r="K36" i="19" l="1"/>
  <c r="J49" i="20"/>
  <c r="E48" i="20"/>
  <c r="K48" i="20" s="1"/>
  <c r="D48" i="20"/>
  <c r="J48" i="20" s="1"/>
  <c r="E47" i="20"/>
  <c r="K47" i="20" s="1"/>
  <c r="D47" i="20"/>
  <c r="J47" i="20" s="1"/>
  <c r="E45" i="20"/>
  <c r="K45" i="20" s="1"/>
  <c r="D45" i="20"/>
  <c r="J45" i="20" s="1"/>
  <c r="E44" i="20"/>
  <c r="D44" i="20"/>
  <c r="J44" i="20" s="1"/>
  <c r="E41" i="20"/>
  <c r="D41" i="20"/>
  <c r="K52" i="17"/>
  <c r="K54" i="17"/>
  <c r="E53" i="17"/>
  <c r="K53" i="17" s="1"/>
  <c r="D53" i="17"/>
  <c r="J53" i="17" s="1"/>
  <c r="K74" i="16"/>
  <c r="J74" i="16"/>
  <c r="E75" i="16"/>
  <c r="D75" i="16"/>
  <c r="J75" i="16" s="1"/>
  <c r="E73" i="16"/>
  <c r="D73" i="16"/>
  <c r="J73" i="16" s="1"/>
  <c r="E71" i="16"/>
  <c r="K71" i="16" s="1"/>
  <c r="D71" i="16"/>
  <c r="J71" i="16" s="1"/>
  <c r="E68" i="16"/>
  <c r="D68" i="16"/>
  <c r="K44" i="20" l="1"/>
  <c r="K75" i="16"/>
  <c r="K73" i="16"/>
  <c r="E54" i="13"/>
  <c r="L54" i="13" s="1"/>
  <c r="D54" i="13"/>
  <c r="K54" i="13" s="1"/>
  <c r="E53" i="13"/>
  <c r="L53" i="13" s="1"/>
  <c r="D53" i="13"/>
  <c r="K53" i="13" s="1"/>
  <c r="E52" i="13"/>
  <c r="D52" i="13"/>
  <c r="K52" i="13" s="1"/>
  <c r="E50" i="13"/>
  <c r="L50" i="13" s="1"/>
  <c r="D50" i="13"/>
  <c r="L87" i="12"/>
  <c r="K87" i="12"/>
  <c r="E86" i="12"/>
  <c r="D86" i="12"/>
  <c r="K86" i="12" s="1"/>
  <c r="K41" i="11"/>
  <c r="E45" i="10"/>
  <c r="L45" i="10" s="1"/>
  <c r="D45" i="10"/>
  <c r="L86" i="12" l="1"/>
  <c r="L52" i="13"/>
  <c r="E29" i="14"/>
  <c r="L29" i="14" s="1"/>
  <c r="D29" i="14"/>
  <c r="K29" i="14" s="1"/>
  <c r="E40" i="9"/>
  <c r="L40" i="9" s="1"/>
  <c r="D40" i="9"/>
  <c r="K40" i="9" s="1"/>
  <c r="E65" i="8"/>
  <c r="L65" i="8" s="1"/>
  <c r="D65" i="8"/>
  <c r="K65" i="8" s="1"/>
  <c r="E154" i="4" l="1"/>
  <c r="D154" i="4"/>
  <c r="K154" i="4" s="1"/>
  <c r="E152" i="4"/>
  <c r="L152" i="4" s="1"/>
  <c r="D152" i="4"/>
  <c r="K152" i="4" s="1"/>
  <c r="E151" i="4"/>
  <c r="D151" i="4"/>
  <c r="E150" i="4"/>
  <c r="D150" i="4"/>
  <c r="K150" i="4" s="1"/>
  <c r="E149" i="4"/>
  <c r="L149" i="4" s="1"/>
  <c r="D149" i="4"/>
  <c r="K149" i="4" s="1"/>
  <c r="E147" i="4"/>
  <c r="L147" i="4" s="1"/>
  <c r="D147" i="4"/>
  <c r="K147" i="4" s="1"/>
  <c r="E117" i="3"/>
  <c r="L117" i="3" s="1"/>
  <c r="D117" i="3"/>
  <c r="K117" i="3" s="1"/>
  <c r="K368" i="2"/>
  <c r="E373" i="2"/>
  <c r="L373" i="2" s="1"/>
  <c r="D373" i="2"/>
  <c r="K373" i="2" s="1"/>
  <c r="E371" i="2"/>
  <c r="L371" i="2" s="1"/>
  <c r="D371" i="2"/>
  <c r="K371" i="2" s="1"/>
  <c r="E369" i="2"/>
  <c r="D369" i="2"/>
  <c r="K369" i="2" s="1"/>
  <c r="E366" i="2"/>
  <c r="D366" i="2"/>
  <c r="K366" i="2" s="1"/>
  <c r="E365" i="2"/>
  <c r="L365" i="2" s="1"/>
  <c r="D365" i="2"/>
  <c r="K365" i="2" s="1"/>
  <c r="E364" i="2"/>
  <c r="L364" i="2" s="1"/>
  <c r="D364" i="2"/>
  <c r="K364" i="2" s="1"/>
  <c r="E363" i="2"/>
  <c r="L363" i="2" s="1"/>
  <c r="D363" i="2"/>
  <c r="K363" i="2" s="1"/>
  <c r="E362" i="2"/>
  <c r="L362" i="2" s="1"/>
  <c r="D362" i="2"/>
  <c r="K362" i="2" s="1"/>
  <c r="E361" i="2"/>
  <c r="D361" i="2"/>
  <c r="K361" i="2" s="1"/>
  <c r="E359" i="2"/>
  <c r="L359" i="2" s="1"/>
  <c r="D359" i="2"/>
  <c r="K359" i="2" s="1"/>
  <c r="E357" i="2"/>
  <c r="L357" i="2" s="1"/>
  <c r="D357" i="2"/>
  <c r="K357" i="2" s="1"/>
  <c r="E300" i="1"/>
  <c r="L300" i="1" s="1"/>
  <c r="D300" i="1"/>
  <c r="K300" i="1" s="1"/>
  <c r="L154" i="4" l="1"/>
  <c r="L151" i="4"/>
  <c r="L150" i="4"/>
  <c r="K151" i="4"/>
  <c r="L361" i="2"/>
  <c r="L369" i="2"/>
  <c r="L366" i="2"/>
  <c r="L299" i="1"/>
  <c r="K299" i="1" l="1"/>
  <c r="K288" i="1"/>
  <c r="E298" i="1"/>
  <c r="L298" i="1" s="1"/>
  <c r="D298" i="1"/>
  <c r="K298" i="1" s="1"/>
  <c r="E297" i="1"/>
  <c r="D297" i="1"/>
  <c r="K297" i="1" s="1"/>
  <c r="E296" i="1"/>
  <c r="L296" i="1" s="1"/>
  <c r="D296" i="1"/>
  <c r="E295" i="1"/>
  <c r="L295" i="1" s="1"/>
  <c r="D295" i="1"/>
  <c r="K295" i="1" s="1"/>
  <c r="E294" i="1"/>
  <c r="L294" i="1" s="1"/>
  <c r="D294" i="1"/>
  <c r="K294" i="1" s="1"/>
  <c r="E293" i="1"/>
  <c r="L293" i="1" s="1"/>
  <c r="D293" i="1"/>
  <c r="K293" i="1" s="1"/>
  <c r="E292" i="1"/>
  <c r="L292" i="1" s="1"/>
  <c r="D292" i="1"/>
  <c r="K292" i="1" s="1"/>
  <c r="E291" i="1"/>
  <c r="D291" i="1"/>
  <c r="K291" i="1" s="1"/>
  <c r="E290" i="1"/>
  <c r="L290" i="1" s="1"/>
  <c r="D290" i="1"/>
  <c r="K290" i="1" s="1"/>
  <c r="E289" i="1"/>
  <c r="D289" i="1"/>
  <c r="K289" i="1" s="1"/>
  <c r="E288" i="1"/>
  <c r="L288" i="1" s="1"/>
  <c r="E287" i="1"/>
  <c r="D287" i="1"/>
  <c r="K287" i="1" s="1"/>
  <c r="E284" i="1"/>
  <c r="D284" i="1"/>
  <c r="K284" i="1" s="1"/>
  <c r="E283" i="1"/>
  <c r="L283" i="1" s="1"/>
  <c r="D283" i="1"/>
  <c r="A296" i="1" l="1"/>
  <c r="K296" i="1" s="1"/>
  <c r="L284" i="1"/>
  <c r="L289" i="1"/>
  <c r="L287" i="1"/>
  <c r="L297" i="1"/>
  <c r="L291" i="1"/>
  <c r="L84" i="12"/>
  <c r="E85" i="12"/>
  <c r="L85" i="12" s="1"/>
  <c r="D85" i="12"/>
  <c r="K85" i="12" s="1"/>
  <c r="K84" i="12"/>
  <c r="L125" i="4" l="1"/>
  <c r="E146" i="4"/>
  <c r="L146" i="4" s="1"/>
  <c r="D146" i="4"/>
  <c r="K146" i="4" s="1"/>
  <c r="E144" i="4"/>
  <c r="L144" i="4" s="1"/>
  <c r="D144" i="4"/>
  <c r="E356" i="2"/>
  <c r="D356" i="2"/>
  <c r="E115" i="3"/>
  <c r="L115" i="3" s="1"/>
  <c r="D115" i="3"/>
  <c r="K115" i="3" s="1"/>
  <c r="E114" i="3"/>
  <c r="L114" i="3" s="1"/>
  <c r="D114" i="3"/>
  <c r="K114" i="3" s="1"/>
  <c r="E113" i="3"/>
  <c r="L113" i="3" s="1"/>
  <c r="D113" i="3"/>
  <c r="K113" i="3" s="1"/>
  <c r="E112" i="3"/>
  <c r="L112" i="3" s="1"/>
  <c r="D112" i="3"/>
  <c r="K112" i="3" s="1"/>
  <c r="E8" i="9" l="1"/>
  <c r="L8" i="9" s="1"/>
  <c r="D8" i="9"/>
  <c r="K8" i="9" s="1"/>
  <c r="K41" i="20" l="1"/>
  <c r="J41" i="20"/>
  <c r="E40" i="20"/>
  <c r="K40" i="20" s="1"/>
  <c r="D40" i="20"/>
  <c r="J40" i="20" s="1"/>
  <c r="E39" i="20"/>
  <c r="K39" i="20" s="1"/>
  <c r="D39" i="20"/>
  <c r="J39" i="20" s="1"/>
  <c r="E38" i="20"/>
  <c r="K38" i="20" s="1"/>
  <c r="D38" i="20"/>
  <c r="J38" i="20" s="1"/>
  <c r="E36" i="20"/>
  <c r="K36" i="20" s="1"/>
  <c r="D36" i="20"/>
  <c r="J36" i="20" s="1"/>
  <c r="E25" i="19"/>
  <c r="D25" i="19"/>
  <c r="J25" i="19" s="1"/>
  <c r="E24" i="19"/>
  <c r="K24" i="19" s="1"/>
  <c r="D24" i="19"/>
  <c r="J24" i="19" s="1"/>
  <c r="E34" i="19"/>
  <c r="K34" i="19" s="1"/>
  <c r="D34" i="19"/>
  <c r="J34" i="19" s="1"/>
  <c r="E33" i="19"/>
  <c r="D33" i="19"/>
  <c r="J33" i="19" s="1"/>
  <c r="E32" i="19"/>
  <c r="K32" i="19" s="1"/>
  <c r="D32" i="19"/>
  <c r="J32" i="19" s="1"/>
  <c r="J31" i="19"/>
  <c r="E30" i="19"/>
  <c r="K30" i="19" s="1"/>
  <c r="D30" i="19"/>
  <c r="J30" i="19" s="1"/>
  <c r="E51" i="17"/>
  <c r="K51" i="17" s="1"/>
  <c r="D51" i="17"/>
  <c r="J51" i="17" s="1"/>
  <c r="E48" i="17"/>
  <c r="D48" i="17"/>
  <c r="J48" i="17" s="1"/>
  <c r="E47" i="17"/>
  <c r="D47" i="17"/>
  <c r="J47" i="17" s="1"/>
  <c r="K46" i="17"/>
  <c r="K68" i="16"/>
  <c r="J68" i="16"/>
  <c r="E65" i="16"/>
  <c r="K65" i="16" s="1"/>
  <c r="D65" i="16"/>
  <c r="J65" i="16" s="1"/>
  <c r="E63" i="16"/>
  <c r="K63" i="16" s="1"/>
  <c r="D63" i="16"/>
  <c r="J63" i="16" s="1"/>
  <c r="E62" i="16"/>
  <c r="K62" i="16" s="1"/>
  <c r="D62" i="16"/>
  <c r="J62" i="16" s="1"/>
  <c r="E61" i="16"/>
  <c r="K61" i="16" s="1"/>
  <c r="D61" i="16"/>
  <c r="J61" i="16" s="1"/>
  <c r="E60" i="16"/>
  <c r="K60" i="16" s="1"/>
  <c r="D60" i="16"/>
  <c r="J60" i="16" s="1"/>
  <c r="E59" i="16"/>
  <c r="K59" i="16" s="1"/>
  <c r="D59" i="16"/>
  <c r="J59" i="16" s="1"/>
  <c r="K58" i="16"/>
  <c r="K57" i="16"/>
  <c r="K47" i="17" l="1"/>
  <c r="K25" i="19"/>
  <c r="K48" i="17"/>
  <c r="K33" i="19"/>
  <c r="K50" i="13" l="1"/>
  <c r="E51" i="13"/>
  <c r="L51" i="13" s="1"/>
  <c r="D51" i="13"/>
  <c r="K51" i="13" s="1"/>
  <c r="L83" i="12"/>
  <c r="K83" i="12"/>
  <c r="E82" i="12"/>
  <c r="L82" i="12" s="1"/>
  <c r="D82" i="12"/>
  <c r="K82" i="12" s="1"/>
  <c r="E81" i="12"/>
  <c r="L81" i="12" s="1"/>
  <c r="D81" i="12"/>
  <c r="K81" i="12" s="1"/>
  <c r="E79" i="12"/>
  <c r="L79" i="12" s="1"/>
  <c r="D79" i="12"/>
  <c r="K79" i="12" s="1"/>
  <c r="L38" i="11"/>
  <c r="E40" i="11"/>
  <c r="L40" i="11" s="1"/>
  <c r="D40" i="11"/>
  <c r="K40" i="11" s="1"/>
  <c r="E39" i="11"/>
  <c r="L39" i="11" s="1"/>
  <c r="D39" i="11"/>
  <c r="K39" i="11" s="1"/>
  <c r="K14" i="15"/>
  <c r="L28" i="14"/>
  <c r="L39" i="9"/>
  <c r="E63" i="8"/>
  <c r="L63" i="8" s="1"/>
  <c r="D63" i="8"/>
  <c r="K63" i="8" s="1"/>
  <c r="E61" i="8"/>
  <c r="L61" i="8" s="1"/>
  <c r="D61" i="8"/>
  <c r="K61" i="8" s="1"/>
  <c r="E27" i="6" l="1"/>
  <c r="L27" i="6" s="1"/>
  <c r="D27" i="6"/>
  <c r="K27" i="6" s="1"/>
  <c r="K45" i="5"/>
  <c r="E45" i="5"/>
  <c r="L45" i="5" s="1"/>
  <c r="D45" i="5"/>
  <c r="K144" i="4"/>
  <c r="E142" i="4"/>
  <c r="L142" i="4" s="1"/>
  <c r="D142" i="4"/>
  <c r="A142" i="4" s="1"/>
  <c r="K142" i="4" s="1"/>
  <c r="E140" i="4"/>
  <c r="L140" i="4" s="1"/>
  <c r="D140" i="4"/>
  <c r="A140" i="4" s="1"/>
  <c r="K140" i="4" s="1"/>
  <c r="E110" i="3"/>
  <c r="L110" i="3" s="1"/>
  <c r="D110" i="3"/>
  <c r="K110" i="3" s="1"/>
  <c r="L107" i="3"/>
  <c r="L356" i="2"/>
  <c r="K356" i="2"/>
  <c r="E354" i="2"/>
  <c r="L354" i="2" s="1"/>
  <c r="D354" i="2"/>
  <c r="K354" i="2" s="1"/>
  <c r="E352" i="2"/>
  <c r="L352" i="2" s="1"/>
  <c r="D352" i="2"/>
  <c r="K352" i="2" s="1"/>
  <c r="E350" i="2"/>
  <c r="L350" i="2" s="1"/>
  <c r="D350" i="2"/>
  <c r="K350" i="2" s="1"/>
  <c r="E344" i="2"/>
  <c r="L344" i="2" s="1"/>
  <c r="D344" i="2"/>
  <c r="K344" i="2" s="1"/>
  <c r="L348" i="2"/>
  <c r="K283" i="1"/>
  <c r="E282" i="1"/>
  <c r="L282" i="1" s="1"/>
  <c r="D282" i="1"/>
  <c r="E281" i="1"/>
  <c r="L281" i="1" s="1"/>
  <c r="D281" i="1"/>
  <c r="K281" i="1" s="1"/>
  <c r="L280" i="1"/>
  <c r="A282" i="1" l="1"/>
  <c r="K282" i="1" s="1"/>
  <c r="L13" i="15"/>
  <c r="K28" i="14"/>
  <c r="L27" i="14"/>
  <c r="K39" i="9"/>
  <c r="E38" i="9"/>
  <c r="D38" i="9"/>
  <c r="L38" i="9" s="1"/>
  <c r="E62" i="8"/>
  <c r="L62" i="8" s="1"/>
  <c r="D62" i="8"/>
  <c r="K62" i="8" s="1"/>
  <c r="E58" i="8"/>
  <c r="L58" i="8" s="1"/>
  <c r="D58" i="8"/>
  <c r="K58" i="8" s="1"/>
  <c r="K38" i="9" l="1"/>
  <c r="K10" i="21"/>
  <c r="E26" i="6"/>
  <c r="L26" i="6" s="1"/>
  <c r="D26" i="6"/>
  <c r="K26" i="6" s="1"/>
  <c r="E139" i="4"/>
  <c r="D139" i="4"/>
  <c r="K139" i="4" s="1"/>
  <c r="E137" i="4"/>
  <c r="L137" i="4" s="1"/>
  <c r="D137" i="4"/>
  <c r="K137" i="4" s="1"/>
  <c r="E136" i="4"/>
  <c r="D136" i="4"/>
  <c r="K136" i="4" s="1"/>
  <c r="E135" i="4"/>
  <c r="L135" i="4" s="1"/>
  <c r="D135" i="4"/>
  <c r="K135" i="4" s="1"/>
  <c r="K107" i="3"/>
  <c r="E105" i="3"/>
  <c r="L105" i="3" s="1"/>
  <c r="D105" i="3"/>
  <c r="K105" i="3" s="1"/>
  <c r="K348" i="2"/>
  <c r="E346" i="2"/>
  <c r="L346" i="2" s="1"/>
  <c r="D346" i="2"/>
  <c r="K346" i="2" s="1"/>
  <c r="E341" i="2"/>
  <c r="D341" i="2"/>
  <c r="K341" i="2" s="1"/>
  <c r="L339" i="2"/>
  <c r="L269" i="1"/>
  <c r="K280" i="1"/>
  <c r="E278" i="1"/>
  <c r="L278" i="1" s="1"/>
  <c r="D278" i="1"/>
  <c r="K278" i="1" s="1"/>
  <c r="E276" i="1"/>
  <c r="D276" i="1"/>
  <c r="K276" i="1" s="1"/>
  <c r="E275" i="1"/>
  <c r="L275" i="1" s="1"/>
  <c r="D275" i="1"/>
  <c r="K275" i="1" s="1"/>
  <c r="E273" i="1"/>
  <c r="L273" i="1" s="1"/>
  <c r="D273" i="1"/>
  <c r="K273" i="1" s="1"/>
  <c r="E272" i="1"/>
  <c r="L272" i="1" s="1"/>
  <c r="D272" i="1"/>
  <c r="K272" i="1" s="1"/>
  <c r="E270" i="1"/>
  <c r="L270" i="1" s="1"/>
  <c r="D270" i="1"/>
  <c r="K270" i="1" s="1"/>
  <c r="L136" i="4" l="1"/>
  <c r="L139" i="4"/>
  <c r="L276" i="1"/>
  <c r="L341" i="2"/>
  <c r="E34" i="20"/>
  <c r="K34" i="20" s="1"/>
  <c r="D34" i="20"/>
  <c r="J34" i="20" s="1"/>
  <c r="E32" i="20"/>
  <c r="D32" i="20"/>
  <c r="J32" i="20" s="1"/>
  <c r="K14" i="18"/>
  <c r="J14" i="18"/>
  <c r="E13" i="18"/>
  <c r="D13" i="18"/>
  <c r="J13" i="18" s="1"/>
  <c r="J46" i="17"/>
  <c r="K37" i="17"/>
  <c r="E43" i="17"/>
  <c r="K43" i="17" s="1"/>
  <c r="D43" i="17"/>
  <c r="J43" i="17" s="1"/>
  <c r="K45" i="17"/>
  <c r="K44" i="17"/>
  <c r="J58" i="16"/>
  <c r="J57" i="16"/>
  <c r="E56" i="16"/>
  <c r="D56" i="16"/>
  <c r="J56" i="16" s="1"/>
  <c r="K13" i="18" l="1"/>
  <c r="K32" i="20"/>
  <c r="K56" i="16"/>
  <c r="L56" i="8"/>
  <c r="K56" i="8"/>
  <c r="E133" i="4" l="1"/>
  <c r="D133" i="4"/>
  <c r="K133" i="4" s="1"/>
  <c r="E132" i="4"/>
  <c r="L132" i="4" s="1"/>
  <c r="D132" i="4"/>
  <c r="K132" i="4" s="1"/>
  <c r="E104" i="3"/>
  <c r="D104" i="3"/>
  <c r="K104" i="3" s="1"/>
  <c r="E103" i="3"/>
  <c r="L103" i="3" s="1"/>
  <c r="D103" i="3"/>
  <c r="K103" i="3" s="1"/>
  <c r="E102" i="3"/>
  <c r="L102" i="3" s="1"/>
  <c r="D102" i="3"/>
  <c r="K102" i="3" s="1"/>
  <c r="K339" i="2"/>
  <c r="E338" i="2"/>
  <c r="L338" i="2" s="1"/>
  <c r="D338" i="2"/>
  <c r="K338" i="2" s="1"/>
  <c r="E336" i="2"/>
  <c r="L336" i="2" s="1"/>
  <c r="D336" i="2"/>
  <c r="K336" i="2" s="1"/>
  <c r="E335" i="2"/>
  <c r="L335" i="2" s="1"/>
  <c r="D335" i="2"/>
  <c r="K335" i="2" s="1"/>
  <c r="K269" i="1"/>
  <c r="E268" i="1"/>
  <c r="L268" i="1" s="1"/>
  <c r="D268" i="1"/>
  <c r="K268" i="1" s="1"/>
  <c r="E267" i="1"/>
  <c r="L267" i="1" s="1"/>
  <c r="D267" i="1"/>
  <c r="K267" i="1" s="1"/>
  <c r="E266" i="1"/>
  <c r="L266" i="1" s="1"/>
  <c r="D266" i="1"/>
  <c r="K266" i="1" s="1"/>
  <c r="E264" i="1"/>
  <c r="L264" i="1" s="1"/>
  <c r="D264" i="1"/>
  <c r="K264" i="1" s="1"/>
  <c r="E262" i="1"/>
  <c r="D262" i="1"/>
  <c r="K262" i="1" s="1"/>
  <c r="E261" i="1"/>
  <c r="L261" i="1" s="1"/>
  <c r="D261" i="1"/>
  <c r="K261" i="1" s="1"/>
  <c r="E258" i="1"/>
  <c r="L258" i="1" s="1"/>
  <c r="D258" i="1"/>
  <c r="K258" i="1" s="1"/>
  <c r="E257" i="1"/>
  <c r="L257" i="1" s="1"/>
  <c r="D257" i="1"/>
  <c r="K257" i="1" s="1"/>
  <c r="L256" i="1"/>
  <c r="L133" i="4" l="1"/>
  <c r="L104" i="3"/>
  <c r="L262" i="1"/>
  <c r="E29" i="19"/>
  <c r="K29" i="19" s="1"/>
  <c r="D29" i="19"/>
  <c r="J29" i="19" s="1"/>
  <c r="J44" i="17"/>
  <c r="L38" i="13" l="1"/>
  <c r="B71" i="12"/>
  <c r="B179" i="12" s="1"/>
  <c r="A71" i="12"/>
  <c r="K45" i="10"/>
  <c r="E55" i="8"/>
  <c r="L55" i="8" s="1"/>
  <c r="D55" i="8"/>
  <c r="K55" i="8" s="1"/>
  <c r="E53" i="8"/>
  <c r="D53" i="8"/>
  <c r="K53" i="8" s="1"/>
  <c r="E48" i="8"/>
  <c r="D48" i="8"/>
  <c r="K48" i="8" s="1"/>
  <c r="L53" i="8" l="1"/>
  <c r="L71" i="12"/>
  <c r="L48" i="8"/>
  <c r="L9" i="21"/>
  <c r="K9" i="21"/>
  <c r="B43" i="5"/>
  <c r="A43" i="5"/>
  <c r="L131" i="4"/>
  <c r="K131" i="4"/>
  <c r="E130" i="4"/>
  <c r="L130" i="4" s="1"/>
  <c r="D130" i="4"/>
  <c r="K130" i="4" s="1"/>
  <c r="E334" i="2"/>
  <c r="L334" i="2" s="1"/>
  <c r="D334" i="2"/>
  <c r="A334" i="2" s="1"/>
  <c r="K334" i="2" s="1"/>
  <c r="E333" i="2"/>
  <c r="L333" i="2" s="1"/>
  <c r="D333" i="2"/>
  <c r="A333" i="2" s="1"/>
  <c r="K333" i="2" s="1"/>
  <c r="L329" i="2"/>
  <c r="K329" i="2"/>
  <c r="K256" i="1"/>
  <c r="E259" i="1"/>
  <c r="L259" i="1" s="1"/>
  <c r="D259" i="1"/>
  <c r="K259" i="1" s="1"/>
  <c r="E254" i="1"/>
  <c r="L254" i="1" s="1"/>
  <c r="D254" i="1"/>
  <c r="K254" i="1" s="1"/>
  <c r="E253" i="1"/>
  <c r="L253" i="1" s="1"/>
  <c r="D253" i="1"/>
  <c r="E252" i="1"/>
  <c r="L252" i="1" s="1"/>
  <c r="D252" i="1"/>
  <c r="E250" i="1"/>
  <c r="L250" i="1" s="1"/>
  <c r="D250" i="1"/>
  <c r="E248" i="1"/>
  <c r="L248" i="1" s="1"/>
  <c r="D248" i="1"/>
  <c r="E247" i="1"/>
  <c r="L247" i="1" s="1"/>
  <c r="D247" i="1"/>
  <c r="A247" i="1" l="1"/>
  <c r="K247" i="1" s="1"/>
  <c r="A250" i="1"/>
  <c r="K250" i="1" s="1"/>
  <c r="A253" i="1"/>
  <c r="K253" i="1" s="1"/>
  <c r="A248" i="1"/>
  <c r="K248" i="1" s="1"/>
  <c r="A252" i="1"/>
  <c r="K252" i="1" s="1"/>
  <c r="E14" i="9"/>
  <c r="D14" i="9"/>
  <c r="K14" i="9" s="1"/>
  <c r="J13" i="9"/>
  <c r="E13" i="9" s="1"/>
  <c r="I13" i="9"/>
  <c r="D13" i="9" s="1"/>
  <c r="K13" i="9" s="1"/>
  <c r="L13" i="9" l="1"/>
  <c r="L14" i="9"/>
  <c r="K42" i="17"/>
  <c r="E41" i="17"/>
  <c r="K41" i="17" s="1"/>
  <c r="D41" i="17"/>
  <c r="J41" i="17" s="1"/>
  <c r="K51" i="16"/>
  <c r="E54" i="16"/>
  <c r="D54" i="16"/>
  <c r="J54" i="16" s="1"/>
  <c r="E52" i="16"/>
  <c r="K52" i="16" s="1"/>
  <c r="D52" i="16"/>
  <c r="J52" i="16" s="1"/>
  <c r="K54" i="16" l="1"/>
  <c r="K13" i="15"/>
  <c r="K27" i="14"/>
  <c r="E26" i="14"/>
  <c r="L26" i="14" s="1"/>
  <c r="D26" i="14"/>
  <c r="K26" i="14" s="1"/>
  <c r="L44" i="5" l="1"/>
  <c r="L43" i="5"/>
  <c r="K43" i="5"/>
  <c r="K125" i="4"/>
  <c r="E128" i="4"/>
  <c r="D128" i="4"/>
  <c r="K128" i="4" s="1"/>
  <c r="E126" i="4"/>
  <c r="D126" i="4"/>
  <c r="K126" i="4" s="1"/>
  <c r="L122" i="4"/>
  <c r="L101" i="3"/>
  <c r="K101" i="3"/>
  <c r="E100" i="3"/>
  <c r="D100" i="3"/>
  <c r="E332" i="2"/>
  <c r="D332" i="2"/>
  <c r="K332" i="2" s="1"/>
  <c r="E331" i="2"/>
  <c r="D331" i="2"/>
  <c r="K331" i="2" s="1"/>
  <c r="E327" i="2"/>
  <c r="L327" i="2" s="1"/>
  <c r="D327" i="2"/>
  <c r="K327" i="2" s="1"/>
  <c r="E324" i="2"/>
  <c r="L324" i="2" s="1"/>
  <c r="D324" i="2"/>
  <c r="K324" i="2" s="1"/>
  <c r="E323" i="2"/>
  <c r="L323" i="2" s="1"/>
  <c r="D323" i="2"/>
  <c r="K323" i="2" s="1"/>
  <c r="E244" i="1"/>
  <c r="L244" i="1" s="1"/>
  <c r="D244" i="1"/>
  <c r="K244" i="1" s="1"/>
  <c r="E243" i="1"/>
  <c r="L243" i="1" s="1"/>
  <c r="D243" i="1"/>
  <c r="K243" i="1" s="1"/>
  <c r="E242" i="1"/>
  <c r="L242" i="1" s="1"/>
  <c r="D242" i="1"/>
  <c r="K242" i="1" s="1"/>
  <c r="L128" i="4" l="1"/>
  <c r="L126" i="4"/>
  <c r="L100" i="3"/>
  <c r="K100" i="3"/>
  <c r="L332" i="2"/>
  <c r="L331" i="2"/>
  <c r="E5" i="8"/>
  <c r="D5" i="8"/>
  <c r="K5" i="8" s="1"/>
  <c r="L5" i="8" l="1"/>
  <c r="K9" i="8"/>
  <c r="L9" i="8"/>
  <c r="K33" i="20" l="1"/>
  <c r="J33" i="20"/>
  <c r="J28" i="19"/>
  <c r="E26" i="19"/>
  <c r="D26" i="19"/>
  <c r="J26" i="19" s="1"/>
  <c r="E38" i="17"/>
  <c r="D38" i="17"/>
  <c r="J38" i="17" s="1"/>
  <c r="K43" i="16"/>
  <c r="J51" i="16"/>
  <c r="E50" i="16"/>
  <c r="K50" i="16" s="1"/>
  <c r="D50" i="16"/>
  <c r="J50" i="16" s="1"/>
  <c r="E49" i="16"/>
  <c r="D49" i="16"/>
  <c r="J49" i="16" s="1"/>
  <c r="E48" i="16"/>
  <c r="K48" i="16" s="1"/>
  <c r="D48" i="16"/>
  <c r="J48" i="16" s="1"/>
  <c r="E47" i="16"/>
  <c r="K47" i="16" s="1"/>
  <c r="D47" i="16"/>
  <c r="J47" i="16" s="1"/>
  <c r="E46" i="16"/>
  <c r="K46" i="16" s="1"/>
  <c r="D46" i="16"/>
  <c r="J46" i="16" s="1"/>
  <c r="E45" i="16"/>
  <c r="K45" i="16" s="1"/>
  <c r="D45" i="16"/>
  <c r="J45" i="16" s="1"/>
  <c r="E44" i="16"/>
  <c r="K44" i="16" s="1"/>
  <c r="D44" i="16"/>
  <c r="J44" i="16" s="1"/>
  <c r="E42" i="16"/>
  <c r="K42" i="16" s="1"/>
  <c r="D42" i="16"/>
  <c r="J42" i="16" s="1"/>
  <c r="K38" i="17" l="1"/>
  <c r="K49" i="16"/>
  <c r="K26" i="19"/>
  <c r="E48" i="13"/>
  <c r="D48" i="13"/>
  <c r="L78" i="12"/>
  <c r="K78" i="12"/>
  <c r="E77" i="12"/>
  <c r="L77" i="12" s="1"/>
  <c r="D77" i="12"/>
  <c r="K77" i="12" s="1"/>
  <c r="E76" i="12"/>
  <c r="D76" i="12"/>
  <c r="K76" i="12" s="1"/>
  <c r="L74" i="12"/>
  <c r="L76" i="12" l="1"/>
  <c r="L48" i="13"/>
  <c r="K48" i="13"/>
  <c r="E46" i="10"/>
  <c r="L46" i="10" s="1"/>
  <c r="D46" i="10"/>
  <c r="A46" i="10" s="1"/>
  <c r="K46" i="10" s="1"/>
  <c r="E25" i="14"/>
  <c r="L25" i="14" s="1"/>
  <c r="D25" i="14"/>
  <c r="K25" i="14" s="1"/>
  <c r="E51" i="8"/>
  <c r="L51" i="8" s="1"/>
  <c r="D51" i="8"/>
  <c r="K51" i="8" s="1"/>
  <c r="E49" i="8"/>
  <c r="L49" i="8" s="1"/>
  <c r="D49" i="8"/>
  <c r="K49" i="8" s="1"/>
  <c r="E25" i="6" l="1"/>
  <c r="L25" i="6" s="1"/>
  <c r="D25" i="6"/>
  <c r="K25" i="6" s="1"/>
  <c r="L42" i="5"/>
  <c r="K122" i="4"/>
  <c r="E124" i="4"/>
  <c r="L124" i="4" s="1"/>
  <c r="D124" i="4"/>
  <c r="K124" i="4" s="1"/>
  <c r="E123" i="4"/>
  <c r="L123" i="4" s="1"/>
  <c r="D123" i="4"/>
  <c r="K123" i="4" s="1"/>
  <c r="E121" i="4"/>
  <c r="L121" i="4" s="1"/>
  <c r="D121" i="4"/>
  <c r="K121" i="4" s="1"/>
  <c r="E118" i="4"/>
  <c r="L118" i="4" s="1"/>
  <c r="D118" i="4"/>
  <c r="K118" i="4" s="1"/>
  <c r="L97" i="3"/>
  <c r="L322" i="2"/>
  <c r="L306" i="2"/>
  <c r="L304" i="2"/>
  <c r="K322" i="2"/>
  <c r="E319" i="2"/>
  <c r="D319" i="2"/>
  <c r="K319" i="2" s="1"/>
  <c r="E318" i="2"/>
  <c r="L318" i="2" s="1"/>
  <c r="D318" i="2"/>
  <c r="K318" i="2" s="1"/>
  <c r="E316" i="2"/>
  <c r="L316" i="2" s="1"/>
  <c r="D316" i="2"/>
  <c r="K316" i="2" s="1"/>
  <c r="E315" i="2"/>
  <c r="L315" i="2" s="1"/>
  <c r="D315" i="2"/>
  <c r="K315" i="2" s="1"/>
  <c r="E314" i="2"/>
  <c r="D314" i="2"/>
  <c r="K314" i="2" s="1"/>
  <c r="E313" i="2"/>
  <c r="L313" i="2" s="1"/>
  <c r="D313" i="2"/>
  <c r="K313" i="2" s="1"/>
  <c r="E311" i="2"/>
  <c r="D311" i="2"/>
  <c r="K311" i="2" s="1"/>
  <c r="E310" i="2"/>
  <c r="L310" i="2" s="1"/>
  <c r="D310" i="2"/>
  <c r="K310" i="2" s="1"/>
  <c r="E309" i="2"/>
  <c r="L309" i="2" s="1"/>
  <c r="D309" i="2"/>
  <c r="K309" i="2" s="1"/>
  <c r="E307" i="2"/>
  <c r="D307" i="2"/>
  <c r="K307" i="2" s="1"/>
  <c r="E305" i="2"/>
  <c r="D305" i="2"/>
  <c r="K305" i="2" s="1"/>
  <c r="E240" i="1"/>
  <c r="D240" i="1"/>
  <c r="K240" i="1" s="1"/>
  <c r="E239" i="1"/>
  <c r="L239" i="1" s="1"/>
  <c r="D239" i="1"/>
  <c r="K239" i="1" s="1"/>
  <c r="E237" i="1"/>
  <c r="L237" i="1" s="1"/>
  <c r="D237" i="1"/>
  <c r="K237" i="1" s="1"/>
  <c r="E236" i="1"/>
  <c r="D236" i="1"/>
  <c r="K236" i="1" s="1"/>
  <c r="E234" i="1"/>
  <c r="D234" i="1"/>
  <c r="K234" i="1" s="1"/>
  <c r="E232" i="1"/>
  <c r="L232" i="1" s="1"/>
  <c r="D232" i="1"/>
  <c r="K232" i="1" s="1"/>
  <c r="E230" i="1"/>
  <c r="L230" i="1" s="1"/>
  <c r="D230" i="1"/>
  <c r="K230" i="1" s="1"/>
  <c r="L307" i="2" l="1"/>
  <c r="L311" i="2"/>
  <c r="L314" i="2"/>
  <c r="L319" i="2"/>
  <c r="L305" i="2"/>
  <c r="L236" i="1"/>
  <c r="L234" i="1"/>
  <c r="L240" i="1"/>
  <c r="E31" i="17"/>
  <c r="D31" i="17"/>
  <c r="J31" i="17" s="1"/>
  <c r="K31" i="17" l="1"/>
  <c r="K38" i="16"/>
  <c r="J38" i="16"/>
  <c r="K18" i="19"/>
  <c r="J18" i="19"/>
  <c r="K29" i="20" l="1"/>
  <c r="J29" i="20"/>
  <c r="B19" i="19"/>
  <c r="A19" i="19"/>
  <c r="K13" i="19"/>
  <c r="K20" i="19"/>
  <c r="J20" i="19"/>
  <c r="E23" i="19"/>
  <c r="B23" i="19" s="1"/>
  <c r="K23" i="19" s="1"/>
  <c r="D23" i="19"/>
  <c r="A23" i="19" s="1"/>
  <c r="J23" i="19" s="1"/>
  <c r="E22" i="19"/>
  <c r="K22" i="19" s="1"/>
  <c r="D22" i="19"/>
  <c r="J22" i="19" s="1"/>
  <c r="E21" i="19"/>
  <c r="K21" i="19" s="1"/>
  <c r="D21" i="19"/>
  <c r="J21" i="19" s="1"/>
  <c r="J37" i="17"/>
  <c r="J43" i="16"/>
  <c r="E39" i="16"/>
  <c r="D39" i="16"/>
  <c r="J39" i="16" s="1"/>
  <c r="K39" i="16" l="1"/>
  <c r="E45" i="13"/>
  <c r="L45" i="13" s="1"/>
  <c r="D45" i="13"/>
  <c r="K45" i="13" s="1"/>
  <c r="K74" i="12" l="1"/>
  <c r="E73" i="12"/>
  <c r="D73" i="12"/>
  <c r="K73" i="12" s="1"/>
  <c r="K38" i="11"/>
  <c r="E36" i="11"/>
  <c r="D36" i="11"/>
  <c r="K36" i="11" s="1"/>
  <c r="L73" i="12" l="1"/>
  <c r="L36" i="11"/>
  <c r="E43" i="10"/>
  <c r="D43" i="10"/>
  <c r="K43" i="10" s="1"/>
  <c r="E42" i="10"/>
  <c r="L42" i="10" s="1"/>
  <c r="D42" i="10"/>
  <c r="K42" i="10" s="1"/>
  <c r="E41" i="10"/>
  <c r="L41" i="10" s="1"/>
  <c r="D41" i="10"/>
  <c r="K41" i="10" s="1"/>
  <c r="E11" i="15"/>
  <c r="L11" i="15" s="1"/>
  <c r="D11" i="15"/>
  <c r="A11" i="15" s="1"/>
  <c r="A44" i="15" s="1"/>
  <c r="E24" i="14"/>
  <c r="L24" i="14" s="1"/>
  <c r="D24" i="14"/>
  <c r="K24" i="14" s="1"/>
  <c r="E23" i="14"/>
  <c r="L23" i="14" s="1"/>
  <c r="D23" i="14"/>
  <c r="K23" i="14" s="1"/>
  <c r="L22" i="14"/>
  <c r="L47" i="8"/>
  <c r="K47" i="8"/>
  <c r="L40" i="8"/>
  <c r="L43" i="10" l="1"/>
  <c r="K11" i="15"/>
  <c r="E24" i="6"/>
  <c r="L24" i="6" s="1"/>
  <c r="D24" i="6"/>
  <c r="K24" i="6" s="1"/>
  <c r="E23" i="6"/>
  <c r="L23" i="6" s="1"/>
  <c r="D23" i="6"/>
  <c r="K23" i="6" s="1"/>
  <c r="K42" i="5"/>
  <c r="L116" i="4"/>
  <c r="K116" i="4"/>
  <c r="E115" i="4"/>
  <c r="L115" i="4" s="1"/>
  <c r="D115" i="4"/>
  <c r="K115" i="4" s="1"/>
  <c r="E113" i="4"/>
  <c r="D113" i="4"/>
  <c r="K113" i="4" s="1"/>
  <c r="K111" i="4"/>
  <c r="L111" i="4"/>
  <c r="L110" i="4"/>
  <c r="K97" i="3"/>
  <c r="E99" i="3"/>
  <c r="L99" i="3" s="1"/>
  <c r="D99" i="3"/>
  <c r="K99" i="3" s="1"/>
  <c r="E271" i="2"/>
  <c r="D271" i="2"/>
  <c r="L285" i="2"/>
  <c r="K306" i="2"/>
  <c r="K304" i="2"/>
  <c r="E303" i="2"/>
  <c r="D303" i="2"/>
  <c r="K303" i="2" s="1"/>
  <c r="E301" i="2"/>
  <c r="L301" i="2" s="1"/>
  <c r="D301" i="2"/>
  <c r="K301" i="2" s="1"/>
  <c r="E299" i="2"/>
  <c r="D299" i="2"/>
  <c r="K299" i="2" s="1"/>
  <c r="E298" i="2"/>
  <c r="L298" i="2" s="1"/>
  <c r="D298" i="2"/>
  <c r="K298" i="2" s="1"/>
  <c r="E297" i="2"/>
  <c r="D297" i="2"/>
  <c r="K297" i="2" s="1"/>
  <c r="E295" i="2"/>
  <c r="D295" i="2"/>
  <c r="K295" i="2" s="1"/>
  <c r="E294" i="2"/>
  <c r="D294" i="2"/>
  <c r="K294" i="2" s="1"/>
  <c r="E293" i="2"/>
  <c r="D293" i="2"/>
  <c r="K293" i="2" s="1"/>
  <c r="E292" i="2"/>
  <c r="L292" i="2" s="1"/>
  <c r="D292" i="2"/>
  <c r="K292" i="2" s="1"/>
  <c r="E291" i="2"/>
  <c r="L291" i="2" s="1"/>
  <c r="D291" i="2"/>
  <c r="K291" i="2" s="1"/>
  <c r="E289" i="2"/>
  <c r="D289" i="2"/>
  <c r="K289" i="2" s="1"/>
  <c r="E286" i="2"/>
  <c r="D286" i="2"/>
  <c r="K286" i="2" s="1"/>
  <c r="L229" i="1"/>
  <c r="K229" i="1"/>
  <c r="E228" i="1"/>
  <c r="D228" i="1"/>
  <c r="K228" i="1" s="1"/>
  <c r="E227" i="1"/>
  <c r="L227" i="1" s="1"/>
  <c r="D227" i="1"/>
  <c r="K227" i="1" s="1"/>
  <c r="E224" i="1"/>
  <c r="D224" i="1"/>
  <c r="K224" i="1" s="1"/>
  <c r="E221" i="1"/>
  <c r="L221" i="1" s="1"/>
  <c r="D221" i="1"/>
  <c r="K221" i="1" s="1"/>
  <c r="E218" i="1"/>
  <c r="L218" i="1" s="1"/>
  <c r="D218" i="1"/>
  <c r="K218" i="1" s="1"/>
  <c r="E217" i="1"/>
  <c r="L217" i="1" s="1"/>
  <c r="D217" i="1"/>
  <c r="K217" i="1" s="1"/>
  <c r="E216" i="1"/>
  <c r="D216" i="1"/>
  <c r="K216" i="1" s="1"/>
  <c r="E214" i="1"/>
  <c r="L214" i="1" s="1"/>
  <c r="D214" i="1"/>
  <c r="A214" i="1" l="1"/>
  <c r="K214" i="1" s="1"/>
  <c r="L113" i="4"/>
  <c r="L289" i="2"/>
  <c r="L294" i="2"/>
  <c r="L297" i="2"/>
  <c r="L299" i="2"/>
  <c r="L303" i="2"/>
  <c r="L216" i="1"/>
  <c r="L224" i="1"/>
  <c r="L228" i="1"/>
  <c r="L286" i="2"/>
  <c r="L293" i="2"/>
  <c r="L295" i="2"/>
  <c r="E28" i="20"/>
  <c r="K28" i="20" s="1"/>
  <c r="D28" i="20"/>
  <c r="J28" i="20" s="1"/>
  <c r="E26" i="20"/>
  <c r="D26" i="20"/>
  <c r="J26" i="20" s="1"/>
  <c r="K26" i="20" l="1"/>
  <c r="E72" i="12"/>
  <c r="L72" i="12" s="1"/>
  <c r="D72" i="12"/>
  <c r="K72" i="12" s="1"/>
  <c r="E112" i="4" l="1"/>
  <c r="D112" i="4"/>
  <c r="K112" i="4" s="1"/>
  <c r="L112" i="4" l="1"/>
  <c r="E211" i="1"/>
  <c r="L211" i="1" s="1"/>
  <c r="D211" i="1"/>
  <c r="K211" i="1" s="1"/>
  <c r="E37" i="16" l="1"/>
  <c r="D37" i="16"/>
  <c r="J37" i="16" s="1"/>
  <c r="E35" i="16"/>
  <c r="K35" i="16" s="1"/>
  <c r="D35" i="16"/>
  <c r="J35" i="16" s="1"/>
  <c r="K37" i="16" l="1"/>
  <c r="L44" i="13"/>
  <c r="K44" i="13"/>
  <c r="E35" i="11"/>
  <c r="L35" i="11" s="1"/>
  <c r="D35" i="11"/>
  <c r="K35" i="11" s="1"/>
  <c r="E34" i="11"/>
  <c r="L34" i="11" s="1"/>
  <c r="D34" i="11"/>
  <c r="K34" i="11" s="1"/>
  <c r="L39" i="10"/>
  <c r="K39" i="10"/>
  <c r="L38" i="10"/>
  <c r="K22" i="14"/>
  <c r="L37" i="9"/>
  <c r="K37" i="9"/>
  <c r="E36" i="9"/>
  <c r="L36" i="9" s="1"/>
  <c r="D36" i="9"/>
  <c r="K36" i="9" s="1"/>
  <c r="L45" i="8"/>
  <c r="K45" i="8"/>
  <c r="K110" i="4" l="1"/>
  <c r="E109" i="4"/>
  <c r="D109" i="4"/>
  <c r="K109" i="4" s="1"/>
  <c r="L96" i="3"/>
  <c r="L94" i="3"/>
  <c r="K96" i="3"/>
  <c r="K94" i="3"/>
  <c r="E95" i="3"/>
  <c r="L95" i="3" s="1"/>
  <c r="D95" i="3"/>
  <c r="K95" i="3" s="1"/>
  <c r="E91" i="3"/>
  <c r="L91" i="3" s="1"/>
  <c r="D91" i="3"/>
  <c r="K91" i="3" s="1"/>
  <c r="E90" i="3"/>
  <c r="L90" i="3" s="1"/>
  <c r="D90" i="3"/>
  <c r="K90" i="3" s="1"/>
  <c r="K285" i="2"/>
  <c r="E284" i="2"/>
  <c r="L284" i="2" s="1"/>
  <c r="D284" i="2"/>
  <c r="K284" i="2" s="1"/>
  <c r="E283" i="2"/>
  <c r="L283" i="2" s="1"/>
  <c r="D283" i="2"/>
  <c r="K283" i="2" s="1"/>
  <c r="E282" i="2"/>
  <c r="L282" i="2" s="1"/>
  <c r="D282" i="2"/>
  <c r="K282" i="2" s="1"/>
  <c r="E281" i="2"/>
  <c r="D281" i="2"/>
  <c r="K281" i="2" s="1"/>
  <c r="E280" i="2"/>
  <c r="L280" i="2" s="1"/>
  <c r="D280" i="2"/>
  <c r="K280" i="2" s="1"/>
  <c r="E279" i="2"/>
  <c r="L279" i="2" s="1"/>
  <c r="D279" i="2"/>
  <c r="K279" i="2" s="1"/>
  <c r="E276" i="2"/>
  <c r="D276" i="2"/>
  <c r="K276" i="2" s="1"/>
  <c r="E270" i="2"/>
  <c r="D270" i="2"/>
  <c r="K270" i="2" s="1"/>
  <c r="E209" i="1"/>
  <c r="D209" i="1"/>
  <c r="K209" i="1" s="1"/>
  <c r="E208" i="1"/>
  <c r="L208" i="1" s="1"/>
  <c r="D208" i="1"/>
  <c r="K208" i="1" s="1"/>
  <c r="L205" i="1"/>
  <c r="L109" i="4" l="1"/>
  <c r="L209" i="1"/>
  <c r="L270" i="2"/>
  <c r="L281" i="2"/>
  <c r="L276" i="2"/>
  <c r="E21" i="20"/>
  <c r="D21" i="20"/>
  <c r="J21" i="20" s="1"/>
  <c r="E20" i="20"/>
  <c r="D20" i="20"/>
  <c r="J20" i="20" s="1"/>
  <c r="K21" i="20" l="1"/>
  <c r="K20" i="20"/>
  <c r="E142" i="2"/>
  <c r="L142" i="2" s="1"/>
  <c r="D142" i="2"/>
  <c r="K142" i="2" s="1"/>
  <c r="E5" i="21" l="1"/>
  <c r="D5" i="21"/>
  <c r="A5" i="21" s="1"/>
  <c r="K5" i="21" s="1"/>
  <c r="E7" i="21"/>
  <c r="L7" i="21" s="1"/>
  <c r="D7" i="21"/>
  <c r="K7" i="21" s="1"/>
  <c r="B5" i="21"/>
  <c r="L5" i="21" s="1"/>
  <c r="E19" i="6"/>
  <c r="D19" i="6"/>
  <c r="K19" i="6" s="1"/>
  <c r="L19" i="6" l="1"/>
  <c r="A33" i="21"/>
  <c r="E33" i="21"/>
  <c r="B33" i="21"/>
  <c r="D33" i="21"/>
  <c r="E203" i="2" l="1"/>
  <c r="L203" i="2" s="1"/>
  <c r="D203" i="2"/>
  <c r="K203" i="2" s="1"/>
  <c r="E25" i="20" l="1"/>
  <c r="D25" i="20"/>
  <c r="J25" i="20" s="1"/>
  <c r="E24" i="20"/>
  <c r="K24" i="20" s="1"/>
  <c r="D24" i="20"/>
  <c r="J24" i="20" s="1"/>
  <c r="E19" i="19"/>
  <c r="K19" i="19" s="1"/>
  <c r="D19" i="19"/>
  <c r="J19" i="19" s="1"/>
  <c r="E16" i="19"/>
  <c r="D16" i="19"/>
  <c r="J16" i="19" s="1"/>
  <c r="E14" i="19"/>
  <c r="D14" i="19"/>
  <c r="J14" i="19" s="1"/>
  <c r="E36" i="17"/>
  <c r="K36" i="17" s="1"/>
  <c r="D36" i="17"/>
  <c r="J36" i="17" s="1"/>
  <c r="E35" i="17"/>
  <c r="K35" i="17" s="1"/>
  <c r="D35" i="17"/>
  <c r="J35" i="17" s="1"/>
  <c r="E34" i="17"/>
  <c r="D34" i="17"/>
  <c r="J34" i="17" s="1"/>
  <c r="K33" i="16"/>
  <c r="J33" i="16"/>
  <c r="E32" i="16"/>
  <c r="K32" i="16" s="1"/>
  <c r="D32" i="16"/>
  <c r="J32" i="16" s="1"/>
  <c r="E30" i="16"/>
  <c r="D30" i="16"/>
  <c r="J30" i="16" s="1"/>
  <c r="E29" i="16"/>
  <c r="D29" i="16"/>
  <c r="J29" i="16" s="1"/>
  <c r="E28" i="16"/>
  <c r="K28" i="16" s="1"/>
  <c r="D28" i="16"/>
  <c r="J28" i="16" s="1"/>
  <c r="E26" i="16"/>
  <c r="D26" i="16"/>
  <c r="J26" i="16" s="1"/>
  <c r="K30" i="16" l="1"/>
  <c r="K34" i="17"/>
  <c r="K14" i="19"/>
  <c r="K16" i="19"/>
  <c r="K29" i="16"/>
  <c r="K25" i="20"/>
  <c r="K26" i="16"/>
  <c r="L54" i="12"/>
  <c r="K38" i="10"/>
  <c r="L37" i="10"/>
  <c r="L33" i="10"/>
  <c r="A99" i="14"/>
  <c r="B99" i="14"/>
  <c r="L21" i="14"/>
  <c r="K21" i="14"/>
  <c r="L12" i="14"/>
  <c r="L33" i="9"/>
  <c r="E22" i="6" l="1"/>
  <c r="L22" i="6" s="1"/>
  <c r="D22" i="6"/>
  <c r="K22" i="6" s="1"/>
  <c r="E21" i="6"/>
  <c r="D21" i="6"/>
  <c r="K21" i="6" s="1"/>
  <c r="L41" i="5"/>
  <c r="K41" i="5"/>
  <c r="K40" i="5"/>
  <c r="E40" i="5"/>
  <c r="L40" i="5" s="1"/>
  <c r="D40" i="5"/>
  <c r="E107" i="4"/>
  <c r="D107" i="4"/>
  <c r="K107" i="4" s="1"/>
  <c r="E104" i="4"/>
  <c r="D104" i="4"/>
  <c r="K104" i="4" s="1"/>
  <c r="E101" i="4"/>
  <c r="D101" i="4"/>
  <c r="K101" i="4" s="1"/>
  <c r="E89" i="3"/>
  <c r="D89" i="3"/>
  <c r="K89" i="3" s="1"/>
  <c r="E88" i="3"/>
  <c r="L88" i="3" s="1"/>
  <c r="D88" i="3"/>
  <c r="K88" i="3" s="1"/>
  <c r="E87" i="3"/>
  <c r="L87" i="3" s="1"/>
  <c r="D87" i="3"/>
  <c r="K87" i="3" s="1"/>
  <c r="E85" i="3"/>
  <c r="D85" i="3"/>
  <c r="K85" i="3" s="1"/>
  <c r="E84" i="3"/>
  <c r="L84" i="3" s="1"/>
  <c r="D84" i="3"/>
  <c r="K84" i="3" s="1"/>
  <c r="E82" i="3"/>
  <c r="L82" i="3" s="1"/>
  <c r="D82" i="3"/>
  <c r="K82" i="3" s="1"/>
  <c r="L271" i="2"/>
  <c r="K271" i="2"/>
  <c r="E268" i="2"/>
  <c r="D268" i="2"/>
  <c r="K268" i="2" s="1"/>
  <c r="E267" i="2"/>
  <c r="L267" i="2" s="1"/>
  <c r="D267" i="2"/>
  <c r="K267" i="2" s="1"/>
  <c r="E265" i="2"/>
  <c r="D265" i="2"/>
  <c r="K265" i="2" s="1"/>
  <c r="E264" i="2"/>
  <c r="L264" i="2" s="1"/>
  <c r="D264" i="2"/>
  <c r="K264" i="2" s="1"/>
  <c r="E262" i="2"/>
  <c r="L262" i="2" s="1"/>
  <c r="D262" i="2"/>
  <c r="K262" i="2" s="1"/>
  <c r="E261" i="2"/>
  <c r="L261" i="2" s="1"/>
  <c r="D261" i="2"/>
  <c r="K261" i="2" s="1"/>
  <c r="E260" i="2"/>
  <c r="L260" i="2" s="1"/>
  <c r="D260" i="2"/>
  <c r="K260" i="2" s="1"/>
  <c r="E259" i="2"/>
  <c r="D259" i="2"/>
  <c r="K259" i="2" s="1"/>
  <c r="E256" i="2"/>
  <c r="D256" i="2"/>
  <c r="K256" i="2" s="1"/>
  <c r="E255" i="2"/>
  <c r="L255" i="2" s="1"/>
  <c r="D255" i="2"/>
  <c r="K255" i="2" s="1"/>
  <c r="K205" i="1"/>
  <c r="E207" i="1"/>
  <c r="L207" i="1" s="1"/>
  <c r="D207" i="1"/>
  <c r="K207" i="1" s="1"/>
  <c r="E203" i="1"/>
  <c r="L203" i="1" s="1"/>
  <c r="D203" i="1"/>
  <c r="K203" i="1" s="1"/>
  <c r="E202" i="1"/>
  <c r="L202" i="1" s="1"/>
  <c r="D202" i="1"/>
  <c r="K202" i="1" s="1"/>
  <c r="E201" i="1"/>
  <c r="L201" i="1" s="1"/>
  <c r="D201" i="1"/>
  <c r="K201" i="1" s="1"/>
  <c r="E200" i="1"/>
  <c r="L200" i="1" s="1"/>
  <c r="D200" i="1"/>
  <c r="E197" i="1"/>
  <c r="L197" i="1" s="1"/>
  <c r="D197" i="1"/>
  <c r="K197" i="1" s="1"/>
  <c r="E196" i="1"/>
  <c r="L196" i="1" s="1"/>
  <c r="D196" i="1"/>
  <c r="K196" i="1" s="1"/>
  <c r="E194" i="1"/>
  <c r="L194" i="1" s="1"/>
  <c r="D194" i="1"/>
  <c r="K194" i="1" s="1"/>
  <c r="A200" i="1" l="1"/>
  <c r="K200" i="1" s="1"/>
  <c r="L101" i="4"/>
  <c r="L107" i="4"/>
  <c r="L89" i="3"/>
  <c r="L104" i="4"/>
  <c r="L21" i="6"/>
  <c r="L85" i="3"/>
  <c r="L265" i="2"/>
  <c r="L268" i="2"/>
  <c r="L259" i="2"/>
  <c r="L256" i="2"/>
  <c r="E100" i="4"/>
  <c r="L100" i="4" s="1"/>
  <c r="D100" i="4"/>
  <c r="K100" i="4" s="1"/>
  <c r="E23" i="20" l="1"/>
  <c r="K23" i="20" s="1"/>
  <c r="D23" i="20"/>
  <c r="J23" i="20" s="1"/>
  <c r="E30" i="17"/>
  <c r="D30" i="17"/>
  <c r="J30" i="17" s="1"/>
  <c r="E29" i="17"/>
  <c r="D29" i="17"/>
  <c r="J29" i="17" s="1"/>
  <c r="K24" i="16"/>
  <c r="J24" i="16"/>
  <c r="E21" i="16"/>
  <c r="K21" i="16" s="1"/>
  <c r="D21" i="16"/>
  <c r="J21" i="16" s="1"/>
  <c r="K29" i="17" l="1"/>
  <c r="K30" i="17"/>
  <c r="K42" i="13"/>
  <c r="E43" i="13"/>
  <c r="L43" i="13" s="1"/>
  <c r="D43" i="13"/>
  <c r="K43" i="13" s="1"/>
  <c r="K71" i="12"/>
  <c r="E70" i="12"/>
  <c r="D70" i="12"/>
  <c r="K70" i="12" s="1"/>
  <c r="E66" i="12"/>
  <c r="L66" i="12" s="1"/>
  <c r="D66" i="12"/>
  <c r="K66" i="12" s="1"/>
  <c r="L32" i="11"/>
  <c r="K32" i="11"/>
  <c r="K37" i="10"/>
  <c r="E35" i="10"/>
  <c r="D35" i="10"/>
  <c r="K35" i="10" s="1"/>
  <c r="E34" i="10"/>
  <c r="D34" i="10"/>
  <c r="K34" i="10" s="1"/>
  <c r="L7" i="15"/>
  <c r="K10" i="15"/>
  <c r="L10" i="15"/>
  <c r="L70" i="12" l="1"/>
  <c r="L35" i="10"/>
  <c r="L34" i="10"/>
  <c r="E81" i="3"/>
  <c r="L81" i="3" s="1"/>
  <c r="D81" i="3"/>
  <c r="K81" i="3" s="1"/>
  <c r="E80" i="3"/>
  <c r="D80" i="3"/>
  <c r="K80" i="3" s="1"/>
  <c r="E78" i="3"/>
  <c r="L78" i="3" s="1"/>
  <c r="D78" i="3"/>
  <c r="K78" i="3" s="1"/>
  <c r="L80" i="3" l="1"/>
  <c r="E253" i="2"/>
  <c r="D253" i="2"/>
  <c r="E252" i="2"/>
  <c r="L252" i="2" s="1"/>
  <c r="D252" i="2"/>
  <c r="K252" i="2" s="1"/>
  <c r="E250" i="2"/>
  <c r="D250" i="2"/>
  <c r="K250" i="2" s="1"/>
  <c r="E249" i="2"/>
  <c r="L249" i="2" s="1"/>
  <c r="D249" i="2"/>
  <c r="K249" i="2" s="1"/>
  <c r="E247" i="2"/>
  <c r="D247" i="2"/>
  <c r="L247" i="2" l="1"/>
  <c r="L253" i="2"/>
  <c r="L250" i="2"/>
  <c r="K247" i="2"/>
  <c r="K253" i="2"/>
  <c r="E193" i="1"/>
  <c r="L193" i="1" s="1"/>
  <c r="D193" i="1"/>
  <c r="K193" i="1" s="1"/>
  <c r="E190" i="1"/>
  <c r="L190" i="1" s="1"/>
  <c r="D190" i="1"/>
  <c r="K190" i="1" s="1"/>
  <c r="E188" i="1"/>
  <c r="L188" i="1" s="1"/>
  <c r="D188" i="1"/>
  <c r="K188" i="1" s="1"/>
  <c r="E99" i="4" l="1"/>
  <c r="D99" i="4"/>
  <c r="K99" i="4" s="1"/>
  <c r="E97" i="4"/>
  <c r="L97" i="4" s="1"/>
  <c r="D97" i="4"/>
  <c r="K97" i="4" s="1"/>
  <c r="E96" i="4"/>
  <c r="D96" i="4"/>
  <c r="K96" i="4" s="1"/>
  <c r="E94" i="4"/>
  <c r="L94" i="4" s="1"/>
  <c r="D94" i="4"/>
  <c r="K94" i="4" s="1"/>
  <c r="L99" i="4" l="1"/>
  <c r="L96" i="4"/>
  <c r="E186" i="1"/>
  <c r="L186" i="1" s="1"/>
  <c r="D186" i="1"/>
  <c r="K186" i="1" s="1"/>
  <c r="E184" i="1"/>
  <c r="L184" i="1" s="1"/>
  <c r="D184" i="1"/>
  <c r="K184" i="1" s="1"/>
  <c r="B183" i="1"/>
  <c r="B970" i="1" s="1"/>
  <c r="E245" i="2" l="1"/>
  <c r="D245" i="2"/>
  <c r="K245" i="2" s="1"/>
  <c r="E244" i="2"/>
  <c r="D244" i="2"/>
  <c r="K244" i="2" s="1"/>
  <c r="E242" i="2"/>
  <c r="L242" i="2" s="1"/>
  <c r="D242" i="2"/>
  <c r="K242" i="2" s="1"/>
  <c r="E241" i="2"/>
  <c r="L241" i="2" s="1"/>
  <c r="D241" i="2"/>
  <c r="K241" i="2" s="1"/>
  <c r="E240" i="2"/>
  <c r="L240" i="2" s="1"/>
  <c r="D240" i="2"/>
  <c r="K240" i="2" s="1"/>
  <c r="E239" i="2"/>
  <c r="D239" i="2"/>
  <c r="K239" i="2" s="1"/>
  <c r="L239" i="2" l="1"/>
  <c r="L244" i="2"/>
  <c r="L245" i="2"/>
  <c r="L20" i="14"/>
  <c r="E20" i="14"/>
  <c r="D20" i="14"/>
  <c r="K20" i="14" s="1"/>
  <c r="L183" i="1"/>
  <c r="K183" i="1"/>
  <c r="E21" i="17" l="1"/>
  <c r="K21" i="17" s="1"/>
  <c r="D21" i="17"/>
  <c r="J21" i="17" s="1"/>
  <c r="L65" i="12" l="1"/>
  <c r="K65" i="12"/>
  <c r="E64" i="12"/>
  <c r="L64" i="12" s="1"/>
  <c r="D64" i="12"/>
  <c r="K64" i="12" s="1"/>
  <c r="E62" i="12"/>
  <c r="L62" i="12" s="1"/>
  <c r="D62" i="12"/>
  <c r="K62" i="12" s="1"/>
  <c r="L31" i="11"/>
  <c r="K31" i="11"/>
  <c r="K33" i="10"/>
  <c r="E223" i="2" l="1"/>
  <c r="L223" i="2" s="1"/>
  <c r="D223" i="2"/>
  <c r="K223" i="2" s="1"/>
  <c r="K27" i="17" l="1"/>
  <c r="K28" i="17"/>
  <c r="J27" i="17"/>
  <c r="J28" i="17"/>
  <c r="I28" i="17"/>
  <c r="H28" i="17"/>
  <c r="I27" i="17"/>
  <c r="H27" i="17"/>
  <c r="K20" i="16"/>
  <c r="K19" i="16"/>
  <c r="J20" i="16"/>
  <c r="E19" i="20" l="1"/>
  <c r="K19" i="20" s="1"/>
  <c r="D19" i="20"/>
  <c r="J19" i="20" s="1"/>
  <c r="E18" i="20"/>
  <c r="K18" i="20" s="1"/>
  <c r="D18" i="20"/>
  <c r="J18" i="20" s="1"/>
  <c r="E17" i="20"/>
  <c r="K17" i="20" s="1"/>
  <c r="D17" i="20"/>
  <c r="J17" i="20" s="1"/>
  <c r="E16" i="20"/>
  <c r="K16" i="20" s="1"/>
  <c r="D16" i="20"/>
  <c r="J16" i="20" s="1"/>
  <c r="E14" i="20"/>
  <c r="K14" i="20" s="1"/>
  <c r="D14" i="20"/>
  <c r="J14" i="20" s="1"/>
  <c r="K24" i="17"/>
  <c r="J24" i="17"/>
  <c r="E26" i="17"/>
  <c r="K26" i="17" s="1"/>
  <c r="D26" i="17"/>
  <c r="J26" i="17" s="1"/>
  <c r="E25" i="17"/>
  <c r="K25" i="17" s="1"/>
  <c r="D25" i="17"/>
  <c r="J25" i="17" s="1"/>
  <c r="E23" i="17"/>
  <c r="K23" i="17" s="1"/>
  <c r="D23" i="17"/>
  <c r="J23" i="17" s="1"/>
  <c r="J19" i="16"/>
  <c r="E18" i="16"/>
  <c r="K18" i="16" s="1"/>
  <c r="D18" i="16"/>
  <c r="J18" i="16" s="1"/>
  <c r="E17" i="16"/>
  <c r="D17" i="16"/>
  <c r="J17" i="16" s="1"/>
  <c r="K17" i="16" l="1"/>
  <c r="E59" i="12"/>
  <c r="L59" i="12" s="1"/>
  <c r="D59" i="12"/>
  <c r="K59" i="12" s="1"/>
  <c r="E56" i="12"/>
  <c r="L56" i="12" s="1"/>
  <c r="D56" i="12"/>
  <c r="K56" i="12" s="1"/>
  <c r="E29" i="11"/>
  <c r="L29" i="11" s="1"/>
  <c r="D29" i="11"/>
  <c r="K29" i="11" s="1"/>
  <c r="E32" i="10"/>
  <c r="L32" i="10" s="1"/>
  <c r="D32" i="10"/>
  <c r="K32" i="10" s="1"/>
  <c r="E29" i="10"/>
  <c r="D29" i="10"/>
  <c r="K29" i="10" s="1"/>
  <c r="L9" i="15"/>
  <c r="K9" i="15"/>
  <c r="E18" i="14"/>
  <c r="L18" i="14" s="1"/>
  <c r="D18" i="14"/>
  <c r="K18" i="14" s="1"/>
  <c r="E15" i="14"/>
  <c r="L15" i="14" s="1"/>
  <c r="D15" i="14"/>
  <c r="K15" i="14" s="1"/>
  <c r="K33" i="9"/>
  <c r="L43" i="8"/>
  <c r="K43" i="8"/>
  <c r="E44" i="8"/>
  <c r="L44" i="8" s="1"/>
  <c r="D44" i="8"/>
  <c r="K44" i="8" s="1"/>
  <c r="E41" i="8"/>
  <c r="L41" i="8" s="1"/>
  <c r="D41" i="8"/>
  <c r="K41" i="8" s="1"/>
  <c r="L29" i="10" l="1"/>
  <c r="L86" i="4"/>
  <c r="E93" i="4"/>
  <c r="L93" i="4" s="1"/>
  <c r="D93" i="4"/>
  <c r="K93" i="4" s="1"/>
  <c r="E91" i="4"/>
  <c r="D91" i="4"/>
  <c r="K91" i="4" s="1"/>
  <c r="E90" i="4"/>
  <c r="L90" i="4" s="1"/>
  <c r="D90" i="4"/>
  <c r="K90" i="4" s="1"/>
  <c r="E89" i="4"/>
  <c r="D89" i="4"/>
  <c r="K89" i="4" s="1"/>
  <c r="E87" i="4"/>
  <c r="L87" i="4" s="1"/>
  <c r="D87" i="4"/>
  <c r="K87" i="4" s="1"/>
  <c r="L89" i="4" l="1"/>
  <c r="L91" i="4"/>
  <c r="L73" i="3"/>
  <c r="L76" i="3"/>
  <c r="K76" i="3"/>
  <c r="E77" i="3"/>
  <c r="L77" i="3" s="1"/>
  <c r="D77" i="3"/>
  <c r="K77" i="3" s="1"/>
  <c r="E237" i="2" l="1"/>
  <c r="D237" i="2"/>
  <c r="K237" i="2" s="1"/>
  <c r="E236" i="2"/>
  <c r="L236" i="2" s="1"/>
  <c r="D236" i="2"/>
  <c r="K236" i="2" s="1"/>
  <c r="E235" i="2"/>
  <c r="L235" i="2" s="1"/>
  <c r="D235" i="2"/>
  <c r="K235" i="2" s="1"/>
  <c r="E233" i="2"/>
  <c r="L233" i="2" s="1"/>
  <c r="D233" i="2"/>
  <c r="K233" i="2" s="1"/>
  <c r="E232" i="2"/>
  <c r="L232" i="2" s="1"/>
  <c r="D232" i="2"/>
  <c r="K232" i="2" s="1"/>
  <c r="E231" i="2"/>
  <c r="L231" i="2" s="1"/>
  <c r="D231" i="2"/>
  <c r="K231" i="2" s="1"/>
  <c r="E230" i="2"/>
  <c r="L230" i="2" s="1"/>
  <c r="D230" i="2"/>
  <c r="K230" i="2" s="1"/>
  <c r="E228" i="2"/>
  <c r="D228" i="2"/>
  <c r="K228" i="2" s="1"/>
  <c r="L228" i="2" l="1"/>
  <c r="L237" i="2"/>
  <c r="K178" i="1"/>
  <c r="E182" i="1"/>
  <c r="L182" i="1" s="1"/>
  <c r="D182" i="1"/>
  <c r="K182" i="1" s="1"/>
  <c r="E181" i="1"/>
  <c r="L181" i="1" s="1"/>
  <c r="D181" i="1"/>
  <c r="K181" i="1" s="1"/>
  <c r="E179" i="1"/>
  <c r="L179" i="1" s="1"/>
  <c r="D179" i="1"/>
  <c r="K179" i="1" s="1"/>
  <c r="L178" i="1"/>
  <c r="E176" i="1"/>
  <c r="D176" i="1"/>
  <c r="K176" i="1" s="1"/>
  <c r="E175" i="1"/>
  <c r="L175" i="1" s="1"/>
  <c r="D175" i="1"/>
  <c r="K175" i="1" s="1"/>
  <c r="E174" i="1"/>
  <c r="L174" i="1" s="1"/>
  <c r="D174" i="1"/>
  <c r="K174" i="1" s="1"/>
  <c r="L176" i="1" l="1"/>
  <c r="J13" i="19"/>
  <c r="E12" i="19"/>
  <c r="B12" i="19" s="1"/>
  <c r="D12" i="19"/>
  <c r="A12" i="19" s="1"/>
  <c r="E10" i="19"/>
  <c r="D10" i="19"/>
  <c r="J10" i="19" s="1"/>
  <c r="K10" i="18"/>
  <c r="J10" i="18"/>
  <c r="E12" i="18"/>
  <c r="B12" i="18" s="1"/>
  <c r="K12" i="18" s="1"/>
  <c r="D12" i="18"/>
  <c r="A12" i="18" s="1"/>
  <c r="J12" i="18" s="1"/>
  <c r="E11" i="18"/>
  <c r="B11" i="18" s="1"/>
  <c r="K11" i="18" s="1"/>
  <c r="D11" i="18"/>
  <c r="A11" i="18" s="1"/>
  <c r="E22" i="17"/>
  <c r="K22" i="17" s="1"/>
  <c r="D22" i="17"/>
  <c r="J22" i="17" s="1"/>
  <c r="E20" i="17"/>
  <c r="K20" i="17" s="1"/>
  <c r="D20" i="17"/>
  <c r="J20" i="17" s="1"/>
  <c r="E19" i="17"/>
  <c r="D19" i="17"/>
  <c r="J19" i="17" s="1"/>
  <c r="E18" i="17"/>
  <c r="K18" i="17" s="1"/>
  <c r="D18" i="17"/>
  <c r="J18" i="17" s="1"/>
  <c r="E17" i="17"/>
  <c r="K17" i="17" s="1"/>
  <c r="D17" i="17"/>
  <c r="J17" i="17" s="1"/>
  <c r="J11" i="18" l="1"/>
  <c r="K10" i="19"/>
  <c r="J12" i="19"/>
  <c r="A78" i="19"/>
  <c r="K12" i="19"/>
  <c r="B78" i="19"/>
  <c r="K19" i="17"/>
  <c r="E13" i="20"/>
  <c r="K13" i="20" s="1"/>
  <c r="D13" i="20"/>
  <c r="J13" i="20" s="1"/>
  <c r="E12" i="20"/>
  <c r="K12" i="20" s="1"/>
  <c r="D12" i="20"/>
  <c r="J12" i="20" s="1"/>
  <c r="L75" i="3" l="1"/>
  <c r="K75" i="3"/>
  <c r="E74" i="3"/>
  <c r="L74" i="3" s="1"/>
  <c r="D74" i="3"/>
  <c r="K74" i="3" s="1"/>
  <c r="E172" i="1" l="1"/>
  <c r="L172" i="1" s="1"/>
  <c r="D172" i="1"/>
  <c r="K172" i="1" s="1"/>
  <c r="E171" i="1"/>
  <c r="L171" i="1" s="1"/>
  <c r="D171" i="1"/>
  <c r="K171" i="1" s="1"/>
  <c r="L227" i="2" l="1"/>
  <c r="K227" i="2"/>
  <c r="E225" i="2"/>
  <c r="L225" i="2" s="1"/>
  <c r="D225" i="2"/>
  <c r="K225" i="2" s="1"/>
  <c r="E224" i="2"/>
  <c r="L224" i="2" s="1"/>
  <c r="D224" i="2"/>
  <c r="K224" i="2" s="1"/>
  <c r="E221" i="2"/>
  <c r="D221" i="2"/>
  <c r="K221" i="2" s="1"/>
  <c r="E220" i="2"/>
  <c r="D220" i="2"/>
  <c r="K220" i="2" s="1"/>
  <c r="E219" i="2"/>
  <c r="D219" i="2"/>
  <c r="K219" i="2" s="1"/>
  <c r="E217" i="2"/>
  <c r="D217" i="2"/>
  <c r="K217" i="2" s="1"/>
  <c r="E215" i="2"/>
  <c r="L215" i="2" s="1"/>
  <c r="D215" i="2"/>
  <c r="K215" i="2" s="1"/>
  <c r="E214" i="2"/>
  <c r="D214" i="2"/>
  <c r="K214" i="2" s="1"/>
  <c r="L213" i="2"/>
  <c r="L219" i="2" l="1"/>
  <c r="L217" i="2"/>
  <c r="L214" i="2"/>
  <c r="L220" i="2"/>
  <c r="L221" i="2"/>
  <c r="E14" i="16"/>
  <c r="K14" i="16" s="1"/>
  <c r="D14" i="16"/>
  <c r="J14" i="16" s="1"/>
  <c r="E9" i="16"/>
  <c r="D9" i="16"/>
  <c r="J9" i="16" l="1"/>
  <c r="K9" i="16"/>
  <c r="L40" i="13"/>
  <c r="K40" i="13"/>
  <c r="K38" i="13"/>
  <c r="E37" i="13"/>
  <c r="L37" i="13" s="1"/>
  <c r="D37" i="13"/>
  <c r="K37" i="13" s="1"/>
  <c r="K54" i="12" l="1"/>
  <c r="E51" i="12"/>
  <c r="D51" i="12"/>
  <c r="K51" i="12" s="1"/>
  <c r="E169" i="1"/>
  <c r="D169" i="1"/>
  <c r="K169" i="1" s="1"/>
  <c r="E168" i="1"/>
  <c r="L168" i="1" s="1"/>
  <c r="D168" i="1"/>
  <c r="K168" i="1" s="1"/>
  <c r="E166" i="1"/>
  <c r="L166" i="1" s="1"/>
  <c r="D166" i="1"/>
  <c r="K166" i="1" s="1"/>
  <c r="E165" i="1"/>
  <c r="L165" i="1" s="1"/>
  <c r="D165" i="1"/>
  <c r="K165" i="1" s="1"/>
  <c r="L164" i="1"/>
  <c r="L51" i="12" l="1"/>
  <c r="L169" i="1"/>
  <c r="E16" i="17"/>
  <c r="D16" i="17"/>
  <c r="J16" i="17" s="1"/>
  <c r="E15" i="17"/>
  <c r="K15" i="17" s="1"/>
  <c r="D15" i="17"/>
  <c r="J15" i="17" s="1"/>
  <c r="E14" i="17"/>
  <c r="K14" i="17" s="1"/>
  <c r="D14" i="17"/>
  <c r="J14" i="17" s="1"/>
  <c r="E13" i="17"/>
  <c r="K13" i="17" s="1"/>
  <c r="D13" i="17"/>
  <c r="J13" i="17" s="1"/>
  <c r="K16" i="17" l="1"/>
  <c r="K10" i="20"/>
  <c r="K11" i="17"/>
  <c r="J10" i="20"/>
  <c r="E9" i="20"/>
  <c r="D9" i="20"/>
  <c r="J9" i="20" s="1"/>
  <c r="I8" i="20"/>
  <c r="E8" i="20" s="1"/>
  <c r="H8" i="20"/>
  <c r="D8" i="20" s="1"/>
  <c r="E6" i="20"/>
  <c r="D6" i="20"/>
  <c r="J6" i="20" s="1"/>
  <c r="E5" i="20"/>
  <c r="D5" i="20"/>
  <c r="J5" i="20" s="1"/>
  <c r="K9" i="19"/>
  <c r="J9" i="19"/>
  <c r="E8" i="19"/>
  <c r="K8" i="19" s="1"/>
  <c r="D8" i="19"/>
  <c r="J8" i="19" s="1"/>
  <c r="E6" i="19"/>
  <c r="D6" i="19"/>
  <c r="J6" i="19" s="1"/>
  <c r="E5" i="19"/>
  <c r="D5" i="19"/>
  <c r="K9" i="18"/>
  <c r="E8" i="18"/>
  <c r="D8" i="18"/>
  <c r="J8" i="18" s="1"/>
  <c r="E7" i="18"/>
  <c r="K7" i="18" s="1"/>
  <c r="D7" i="18"/>
  <c r="J7" i="18" s="1"/>
  <c r="E6" i="18"/>
  <c r="D6" i="18"/>
  <c r="B6" i="18"/>
  <c r="A6" i="18"/>
  <c r="E5" i="18"/>
  <c r="D5" i="18"/>
  <c r="E12" i="17"/>
  <c r="D12" i="17"/>
  <c r="E10" i="17"/>
  <c r="K10" i="17" s="1"/>
  <c r="D10" i="17"/>
  <c r="J10" i="17" s="1"/>
  <c r="E9" i="17"/>
  <c r="K9" i="17" s="1"/>
  <c r="D9" i="17"/>
  <c r="J9" i="17" s="1"/>
  <c r="E8" i="17"/>
  <c r="K8" i="17" s="1"/>
  <c r="D8" i="17"/>
  <c r="J8" i="17" s="1"/>
  <c r="E7" i="17"/>
  <c r="D7" i="17"/>
  <c r="E5" i="17"/>
  <c r="D5" i="17"/>
  <c r="E13" i="16"/>
  <c r="D13" i="16"/>
  <c r="J13" i="16" s="1"/>
  <c r="E12" i="16"/>
  <c r="D12" i="16"/>
  <c r="E151" i="20" l="1"/>
  <c r="D151" i="20"/>
  <c r="E364" i="16"/>
  <c r="J7" i="17"/>
  <c r="D154" i="17"/>
  <c r="K7" i="17"/>
  <c r="E154" i="17"/>
  <c r="K6" i="18"/>
  <c r="K8" i="18"/>
  <c r="K6" i="20"/>
  <c r="K5" i="20"/>
  <c r="J6" i="18"/>
  <c r="D364" i="16"/>
  <c r="J5" i="18"/>
  <c r="K5" i="18"/>
  <c r="K13" i="16"/>
  <c r="J5" i="19"/>
  <c r="D78" i="19"/>
  <c r="K5" i="19"/>
  <c r="E78" i="19"/>
  <c r="K6" i="19"/>
  <c r="K9" i="20"/>
  <c r="K12" i="16"/>
  <c r="J12" i="16"/>
  <c r="J12" i="17"/>
  <c r="J8" i="20"/>
  <c r="K8" i="20"/>
  <c r="K5" i="17"/>
  <c r="K12" i="17"/>
  <c r="J5" i="17"/>
  <c r="E32" i="13"/>
  <c r="D32" i="13"/>
  <c r="E25" i="10"/>
  <c r="D25" i="10"/>
  <c r="J28" i="9"/>
  <c r="I28" i="9"/>
  <c r="D28" i="9" s="1"/>
  <c r="K7" i="15"/>
  <c r="K12" i="14"/>
  <c r="L11" i="14"/>
  <c r="E31" i="9"/>
  <c r="L31" i="9" s="1"/>
  <c r="D31" i="9"/>
  <c r="K31" i="9" s="1"/>
  <c r="E29" i="9"/>
  <c r="L29" i="9" s="1"/>
  <c r="D29" i="9"/>
  <c r="K29" i="9" s="1"/>
  <c r="K40" i="8"/>
  <c r="E39" i="8"/>
  <c r="L39" i="8" s="1"/>
  <c r="D39" i="8"/>
  <c r="K39" i="8" s="1"/>
  <c r="L37" i="5" l="1"/>
  <c r="L39" i="5"/>
  <c r="L38" i="5"/>
  <c r="K38" i="5"/>
  <c r="E38" i="5"/>
  <c r="D38" i="5"/>
  <c r="K86" i="4" l="1"/>
  <c r="E85" i="4"/>
  <c r="L85" i="4" s="1"/>
  <c r="D85" i="4"/>
  <c r="K85" i="4" s="1"/>
  <c r="E84" i="4"/>
  <c r="D84" i="4"/>
  <c r="E83" i="4"/>
  <c r="L83" i="4" s="1"/>
  <c r="D83" i="4"/>
  <c r="K83" i="4" s="1"/>
  <c r="E82" i="4"/>
  <c r="L82" i="4" s="1"/>
  <c r="D82" i="4"/>
  <c r="K82" i="4" s="1"/>
  <c r="E77" i="4"/>
  <c r="D77" i="4"/>
  <c r="L84" i="4" l="1"/>
  <c r="K84" i="4"/>
  <c r="K73" i="3"/>
  <c r="E72" i="3"/>
  <c r="L72" i="3" s="1"/>
  <c r="D72" i="3"/>
  <c r="K72" i="3" s="1"/>
  <c r="E70" i="3"/>
  <c r="D70" i="3"/>
  <c r="K70" i="3" s="1"/>
  <c r="L70" i="3" l="1"/>
  <c r="K213" i="2"/>
  <c r="E212" i="2"/>
  <c r="L212" i="2" s="1"/>
  <c r="D212" i="2"/>
  <c r="K212" i="2" s="1"/>
  <c r="E211" i="2"/>
  <c r="L211" i="2" s="1"/>
  <c r="D211" i="2"/>
  <c r="K211" i="2" s="1"/>
  <c r="E210" i="2"/>
  <c r="D210" i="2"/>
  <c r="K210" i="2" s="1"/>
  <c r="E209" i="2"/>
  <c r="L209" i="2" s="1"/>
  <c r="D209" i="2"/>
  <c r="K209" i="2" s="1"/>
  <c r="E207" i="2"/>
  <c r="L207" i="2" s="1"/>
  <c r="D207" i="2"/>
  <c r="K207" i="2" s="1"/>
  <c r="E206" i="2"/>
  <c r="D206" i="2"/>
  <c r="K206" i="2" s="1"/>
  <c r="E204" i="2"/>
  <c r="D204" i="2"/>
  <c r="K204" i="2" s="1"/>
  <c r="E202" i="2"/>
  <c r="D202" i="2"/>
  <c r="K202" i="2" s="1"/>
  <c r="E201" i="2"/>
  <c r="L201" i="2" s="1"/>
  <c r="D201" i="2"/>
  <c r="K201" i="2" s="1"/>
  <c r="E199" i="2"/>
  <c r="L199" i="2" s="1"/>
  <c r="D199" i="2"/>
  <c r="K199" i="2" s="1"/>
  <c r="L210" i="2" l="1"/>
  <c r="L202" i="2"/>
  <c r="L206" i="2"/>
  <c r="L204" i="2"/>
  <c r="K164" i="1"/>
  <c r="E163" i="1"/>
  <c r="L163" i="1" s="1"/>
  <c r="D163" i="1"/>
  <c r="K163" i="1" s="1"/>
  <c r="E162" i="1"/>
  <c r="L162" i="1" s="1"/>
  <c r="D162" i="1"/>
  <c r="K162" i="1" s="1"/>
  <c r="E160" i="1"/>
  <c r="D160" i="1"/>
  <c r="K160" i="1" s="1"/>
  <c r="E159" i="1"/>
  <c r="L159" i="1" s="1"/>
  <c r="D159" i="1"/>
  <c r="K159" i="1" s="1"/>
  <c r="E157" i="1"/>
  <c r="D157" i="1"/>
  <c r="K157" i="1" s="1"/>
  <c r="E156" i="1"/>
  <c r="L156" i="1" s="1"/>
  <c r="D156" i="1"/>
  <c r="K156" i="1" s="1"/>
  <c r="L155" i="1"/>
  <c r="L154" i="1"/>
  <c r="L157" i="1" l="1"/>
  <c r="L160" i="1"/>
  <c r="E36" i="13"/>
  <c r="D36" i="13"/>
  <c r="K36" i="13" s="1"/>
  <c r="L32" i="13"/>
  <c r="K32" i="13"/>
  <c r="K50" i="12"/>
  <c r="L50" i="12"/>
  <c r="K11" i="14"/>
  <c r="E9" i="14"/>
  <c r="L9" i="14" s="1"/>
  <c r="D9" i="14"/>
  <c r="K9" i="14" s="1"/>
  <c r="E38" i="8"/>
  <c r="D38" i="8"/>
  <c r="K38" i="8" s="1"/>
  <c r="E35" i="8"/>
  <c r="L35" i="8" s="1"/>
  <c r="D35" i="8"/>
  <c r="K35" i="8" s="1"/>
  <c r="L38" i="8" l="1"/>
  <c r="L36" i="13"/>
  <c r="L20" i="6"/>
  <c r="K20" i="6"/>
  <c r="K37" i="5" l="1"/>
  <c r="E35" i="5"/>
  <c r="L35" i="5" s="1"/>
  <c r="D35" i="5"/>
  <c r="K35" i="5" s="1"/>
  <c r="E31" i="5"/>
  <c r="L31" i="5" s="1"/>
  <c r="D31" i="5"/>
  <c r="K31" i="5" s="1"/>
  <c r="L80" i="4" l="1"/>
  <c r="K80" i="4"/>
  <c r="E75" i="4"/>
  <c r="D75" i="4"/>
  <c r="K75" i="4" s="1"/>
  <c r="E72" i="4"/>
  <c r="D72" i="4"/>
  <c r="K72" i="4" s="1"/>
  <c r="L72" i="4" l="1"/>
  <c r="L75" i="4"/>
  <c r="L68" i="3"/>
  <c r="K68" i="3"/>
  <c r="L67" i="3"/>
  <c r="E198" i="2" l="1"/>
  <c r="L198" i="2" s="1"/>
  <c r="D198" i="2"/>
  <c r="K198" i="2" s="1"/>
  <c r="E197" i="2"/>
  <c r="L197" i="2" s="1"/>
  <c r="D197" i="2"/>
  <c r="K197" i="2" s="1"/>
  <c r="E196" i="2"/>
  <c r="L196" i="2" s="1"/>
  <c r="D196" i="2"/>
  <c r="K196" i="2" s="1"/>
  <c r="E195" i="2"/>
  <c r="L195" i="2" s="1"/>
  <c r="D195" i="2"/>
  <c r="K195" i="2" s="1"/>
  <c r="E194" i="2"/>
  <c r="L194" i="2" s="1"/>
  <c r="D194" i="2"/>
  <c r="K194" i="2" s="1"/>
  <c r="E193" i="2"/>
  <c r="L193" i="2" s="1"/>
  <c r="D193" i="2"/>
  <c r="K193" i="2" s="1"/>
  <c r="E191" i="2"/>
  <c r="L191" i="2" s="1"/>
  <c r="D191" i="2"/>
  <c r="K191" i="2" s="1"/>
  <c r="E190" i="2"/>
  <c r="L190" i="2" s="1"/>
  <c r="D190" i="2"/>
  <c r="K190" i="2" s="1"/>
  <c r="E189" i="2"/>
  <c r="L189" i="2" s="1"/>
  <c r="D189" i="2"/>
  <c r="K189" i="2" s="1"/>
  <c r="E188" i="2"/>
  <c r="L188" i="2" s="1"/>
  <c r="D188" i="2"/>
  <c r="K188" i="2" s="1"/>
  <c r="E187" i="2"/>
  <c r="L187" i="2" s="1"/>
  <c r="D187" i="2"/>
  <c r="K187" i="2" s="1"/>
  <c r="E186" i="2"/>
  <c r="L186" i="2" s="1"/>
  <c r="D186" i="2"/>
  <c r="K186" i="2" s="1"/>
  <c r="E185" i="2"/>
  <c r="L185" i="2" s="1"/>
  <c r="D185" i="2"/>
  <c r="K185" i="2" s="1"/>
  <c r="E129" i="2"/>
  <c r="D129" i="2"/>
  <c r="K129" i="2" s="1"/>
  <c r="L129" i="2" l="1"/>
  <c r="E147" i="1"/>
  <c r="L147" i="1" s="1"/>
  <c r="D147" i="1"/>
  <c r="K147" i="1" s="1"/>
  <c r="L151" i="1"/>
  <c r="K154" i="1"/>
  <c r="E152" i="1"/>
  <c r="L152" i="1" s="1"/>
  <c r="D152" i="1"/>
  <c r="K152" i="1" s="1"/>
  <c r="E71" i="4" l="1"/>
  <c r="D71" i="4"/>
  <c r="K71" i="4" s="1"/>
  <c r="L71" i="4" l="1"/>
  <c r="K151" i="1"/>
  <c r="E153" i="1"/>
  <c r="L153" i="1" s="1"/>
  <c r="D153" i="1"/>
  <c r="K153" i="1" s="1"/>
  <c r="E149" i="1"/>
  <c r="L149" i="1" s="1"/>
  <c r="D149" i="1"/>
  <c r="K149" i="1" s="1"/>
  <c r="L148" i="1"/>
  <c r="E30" i="13" l="1"/>
  <c r="L30" i="13" s="1"/>
  <c r="D30" i="13"/>
  <c r="K30" i="13" s="1"/>
  <c r="E28" i="13"/>
  <c r="L28" i="13" s="1"/>
  <c r="D28" i="13"/>
  <c r="K28" i="13" s="1"/>
  <c r="K48" i="12"/>
  <c r="L48" i="12"/>
  <c r="K49" i="12"/>
  <c r="L49" i="12"/>
  <c r="E28" i="11"/>
  <c r="L28" i="11" s="1"/>
  <c r="D28" i="11"/>
  <c r="K28" i="11" s="1"/>
  <c r="L6" i="15"/>
  <c r="E6" i="15"/>
  <c r="D6" i="15"/>
  <c r="K6" i="15" s="1"/>
  <c r="L7" i="14"/>
  <c r="K7" i="14"/>
  <c r="E28" i="9"/>
  <c r="L28" i="9" s="1"/>
  <c r="K28" i="9"/>
  <c r="L27" i="9"/>
  <c r="E33" i="8"/>
  <c r="L33" i="8" s="1"/>
  <c r="D33" i="8"/>
  <c r="K33" i="8" s="1"/>
  <c r="E32" i="8"/>
  <c r="L32" i="8" s="1"/>
  <c r="D32" i="8"/>
  <c r="K32" i="8" s="1"/>
  <c r="E31" i="8"/>
  <c r="D31" i="8"/>
  <c r="K31" i="8" s="1"/>
  <c r="L31" i="8" l="1"/>
  <c r="K77" i="4" l="1"/>
  <c r="E73" i="4"/>
  <c r="D73" i="4"/>
  <c r="K73" i="4" s="1"/>
  <c r="E70" i="4"/>
  <c r="L70" i="4" s="1"/>
  <c r="D70" i="4"/>
  <c r="K70" i="4" s="1"/>
  <c r="E69" i="4"/>
  <c r="L69" i="4" s="1"/>
  <c r="D69" i="4"/>
  <c r="K69" i="4" s="1"/>
  <c r="E68" i="4"/>
  <c r="L68" i="4" s="1"/>
  <c r="D68" i="4"/>
  <c r="K68" i="4" s="1"/>
  <c r="E67" i="4"/>
  <c r="L67" i="4" s="1"/>
  <c r="D67" i="4"/>
  <c r="K67" i="4" s="1"/>
  <c r="E64" i="4"/>
  <c r="D64" i="4"/>
  <c r="L77" i="4" l="1"/>
  <c r="L73" i="4"/>
  <c r="K67" i="3"/>
  <c r="E66" i="3"/>
  <c r="L66" i="3" s="1"/>
  <c r="D66" i="3"/>
  <c r="K66" i="3" s="1"/>
  <c r="E64" i="3"/>
  <c r="L64" i="3" s="1"/>
  <c r="D64" i="3"/>
  <c r="K64" i="3" s="1"/>
  <c r="E63" i="3"/>
  <c r="L63" i="3" s="1"/>
  <c r="D63" i="3"/>
  <c r="K63" i="3" s="1"/>
  <c r="E62" i="3"/>
  <c r="D62" i="3"/>
  <c r="K62" i="3" s="1"/>
  <c r="E61" i="3"/>
  <c r="L61" i="3" s="1"/>
  <c r="D61" i="3"/>
  <c r="K61" i="3" s="1"/>
  <c r="E60" i="3"/>
  <c r="L60" i="3" s="1"/>
  <c r="D60" i="3"/>
  <c r="K60" i="3" s="1"/>
  <c r="E59" i="3"/>
  <c r="D59" i="3"/>
  <c r="K59" i="3" s="1"/>
  <c r="E56" i="3"/>
  <c r="L56" i="3" s="1"/>
  <c r="D56" i="3"/>
  <c r="L59" i="3" l="1"/>
  <c r="L62" i="3"/>
  <c r="E184" i="2"/>
  <c r="D184" i="2"/>
  <c r="K184" i="2" s="1"/>
  <c r="E182" i="2"/>
  <c r="L182" i="2" s="1"/>
  <c r="D182" i="2"/>
  <c r="K182" i="2" s="1"/>
  <c r="E179" i="2"/>
  <c r="D179" i="2"/>
  <c r="K179" i="2" s="1"/>
  <c r="E178" i="2"/>
  <c r="D178" i="2"/>
  <c r="K178" i="2" s="1"/>
  <c r="E177" i="2"/>
  <c r="L177" i="2" s="1"/>
  <c r="D177" i="2"/>
  <c r="K177" i="2" s="1"/>
  <c r="E176" i="2"/>
  <c r="L176" i="2" s="1"/>
  <c r="D176" i="2"/>
  <c r="K176" i="2" s="1"/>
  <c r="E174" i="2"/>
  <c r="D174" i="2"/>
  <c r="K174" i="2" s="1"/>
  <c r="L179" i="2" l="1"/>
  <c r="L174" i="2"/>
  <c r="L184" i="2"/>
  <c r="L178" i="2"/>
  <c r="K148" i="1"/>
  <c r="E134" i="1"/>
  <c r="L134" i="1" s="1"/>
  <c r="D134" i="1"/>
  <c r="K134" i="1" s="1"/>
  <c r="E145" i="1"/>
  <c r="L145" i="1" s="1"/>
  <c r="D145" i="1"/>
  <c r="K145" i="1" s="1"/>
  <c r="E143" i="1"/>
  <c r="L143" i="1" s="1"/>
  <c r="D143" i="1"/>
  <c r="K143" i="1" s="1"/>
  <c r="E142" i="1"/>
  <c r="L142" i="1" s="1"/>
  <c r="D142" i="1"/>
  <c r="K142" i="1" s="1"/>
  <c r="E141" i="1"/>
  <c r="L141" i="1" s="1"/>
  <c r="D141" i="1"/>
  <c r="K141" i="1" s="1"/>
  <c r="E140" i="1"/>
  <c r="D140" i="1"/>
  <c r="K140" i="1" s="1"/>
  <c r="E139" i="1"/>
  <c r="L139" i="1" s="1"/>
  <c r="D139" i="1"/>
  <c r="K139" i="1" s="1"/>
  <c r="L140" i="1" l="1"/>
  <c r="E47" i="12"/>
  <c r="D47" i="12"/>
  <c r="K47" i="12" s="1"/>
  <c r="L47" i="12" l="1"/>
  <c r="L66" i="4"/>
  <c r="L64" i="4"/>
  <c r="E5" i="15"/>
  <c r="E44" i="15" s="1"/>
  <c r="D5" i="15"/>
  <c r="D44" i="15" s="1"/>
  <c r="E8" i="14"/>
  <c r="L8" i="14" s="1"/>
  <c r="D8" i="14"/>
  <c r="K8" i="14" s="1"/>
  <c r="E6" i="14"/>
  <c r="L6" i="14" s="1"/>
  <c r="D6" i="14"/>
  <c r="K6" i="14" s="1"/>
  <c r="E5" i="14"/>
  <c r="D5" i="14"/>
  <c r="K27" i="13"/>
  <c r="L27" i="13"/>
  <c r="E46" i="12"/>
  <c r="D46" i="12"/>
  <c r="K46" i="12" s="1"/>
  <c r="L45" i="12"/>
  <c r="L25" i="10"/>
  <c r="K25" i="10"/>
  <c r="K27" i="9"/>
  <c r="L26" i="9"/>
  <c r="K26" i="9"/>
  <c r="L27" i="8"/>
  <c r="E29" i="8"/>
  <c r="L29" i="8" s="1"/>
  <c r="D29" i="8"/>
  <c r="K29" i="8" s="1"/>
  <c r="E28" i="8"/>
  <c r="L28" i="8" s="1"/>
  <c r="D28" i="8"/>
  <c r="K28" i="8" s="1"/>
  <c r="L46" i="12" l="1"/>
  <c r="E99" i="14"/>
  <c r="K5" i="15"/>
  <c r="K5" i="14"/>
  <c r="D99" i="14"/>
  <c r="L5" i="15"/>
  <c r="L5" i="14"/>
  <c r="L14" i="7"/>
  <c r="E16" i="7"/>
  <c r="D16" i="7"/>
  <c r="K16" i="7" s="1"/>
  <c r="E15" i="7"/>
  <c r="L15" i="7" s="1"/>
  <c r="D15" i="7"/>
  <c r="K15" i="7" s="1"/>
  <c r="E16" i="6"/>
  <c r="B16" i="6" s="1"/>
  <c r="L16" i="6" s="1"/>
  <c r="D16" i="6"/>
  <c r="A16" i="6" s="1"/>
  <c r="K16" i="6" s="1"/>
  <c r="L18" i="6"/>
  <c r="L16" i="7" l="1"/>
  <c r="L34" i="5"/>
  <c r="L33" i="5"/>
  <c r="K33" i="5"/>
  <c r="L60" i="4" l="1"/>
  <c r="K64" i="4"/>
  <c r="E63" i="4"/>
  <c r="L63" i="4" s="1"/>
  <c r="D63" i="4"/>
  <c r="K63" i="4" s="1"/>
  <c r="E61" i="4"/>
  <c r="L61" i="4" s="1"/>
  <c r="D61" i="4"/>
  <c r="K61" i="4" s="1"/>
  <c r="K56" i="3" l="1"/>
  <c r="E55" i="3"/>
  <c r="D55" i="3"/>
  <c r="K55" i="3" s="1"/>
  <c r="E54" i="3"/>
  <c r="D54" i="3"/>
  <c r="K54" i="3" s="1"/>
  <c r="L55" i="3" l="1"/>
  <c r="L54" i="3"/>
  <c r="K173" i="2"/>
  <c r="L173" i="2"/>
  <c r="E172" i="2"/>
  <c r="L172" i="2" s="1"/>
  <c r="D172" i="2"/>
  <c r="K172" i="2" s="1"/>
  <c r="E170" i="2"/>
  <c r="L170" i="2" s="1"/>
  <c r="D170" i="2"/>
  <c r="K170" i="2" s="1"/>
  <c r="E169" i="2"/>
  <c r="L169" i="2" s="1"/>
  <c r="D169" i="2"/>
  <c r="K169" i="2" s="1"/>
  <c r="E166" i="2"/>
  <c r="L166" i="2" s="1"/>
  <c r="D166" i="2"/>
  <c r="K166" i="2" s="1"/>
  <c r="E165" i="2"/>
  <c r="D165" i="2"/>
  <c r="K165" i="2" s="1"/>
  <c r="E163" i="2"/>
  <c r="L163" i="2" s="1"/>
  <c r="D163" i="2"/>
  <c r="K163" i="2" s="1"/>
  <c r="E162" i="2"/>
  <c r="D162" i="2"/>
  <c r="K162" i="2" s="1"/>
  <c r="E160" i="2"/>
  <c r="D160" i="2"/>
  <c r="K160" i="2" s="1"/>
  <c r="E159" i="2"/>
  <c r="L159" i="2" s="1"/>
  <c r="D159" i="2"/>
  <c r="K159" i="2" s="1"/>
  <c r="L160" i="2" l="1"/>
  <c r="L165" i="2"/>
  <c r="L162" i="2"/>
  <c r="L126" i="1"/>
  <c r="E138" i="1"/>
  <c r="L138" i="1" s="1"/>
  <c r="D138" i="1"/>
  <c r="K138" i="1" s="1"/>
  <c r="E136" i="1"/>
  <c r="L136" i="1" s="1"/>
  <c r="D136" i="1"/>
  <c r="K136" i="1" s="1"/>
  <c r="E135" i="1"/>
  <c r="L135" i="1" s="1"/>
  <c r="D135" i="1"/>
  <c r="K135" i="1" s="1"/>
  <c r="E132" i="1"/>
  <c r="L132" i="1" s="1"/>
  <c r="D132" i="1"/>
  <c r="K132" i="1" s="1"/>
  <c r="E129" i="1"/>
  <c r="L129" i="1" s="1"/>
  <c r="D129" i="1"/>
  <c r="K129" i="1" s="1"/>
  <c r="E158" i="2" l="1"/>
  <c r="L158" i="2" s="1"/>
  <c r="D158" i="2"/>
  <c r="K158" i="2" s="1"/>
  <c r="L25" i="13"/>
  <c r="L26" i="13"/>
  <c r="K26" i="13"/>
  <c r="L44" i="12"/>
  <c r="K45" i="12"/>
  <c r="K44" i="12"/>
  <c r="L27" i="11" l="1"/>
  <c r="K27" i="11"/>
  <c r="L26" i="11"/>
  <c r="K26" i="11"/>
  <c r="L23" i="10"/>
  <c r="L24" i="10"/>
  <c r="K24" i="10"/>
  <c r="K23" i="10"/>
  <c r="L25" i="9"/>
  <c r="K25" i="9"/>
  <c r="K27" i="8"/>
  <c r="L25" i="8"/>
  <c r="K18" i="6" l="1"/>
  <c r="K34" i="5" l="1"/>
  <c r="L52" i="4" l="1"/>
  <c r="K52" i="4"/>
  <c r="L51" i="4"/>
  <c r="K51" i="4"/>
  <c r="L53" i="4"/>
  <c r="K60" i="4"/>
  <c r="E58" i="4"/>
  <c r="D58" i="4"/>
  <c r="K58" i="4" s="1"/>
  <c r="E57" i="4"/>
  <c r="L57" i="4" s="1"/>
  <c r="D57" i="4"/>
  <c r="A57" i="4" s="1"/>
  <c r="E55" i="4"/>
  <c r="D55" i="4"/>
  <c r="K55" i="4" s="1"/>
  <c r="E54" i="4"/>
  <c r="D54" i="4"/>
  <c r="K54" i="4" s="1"/>
  <c r="K57" i="4" l="1"/>
  <c r="A364" i="4"/>
  <c r="L55" i="4"/>
  <c r="L58" i="4"/>
  <c r="L54" i="4"/>
  <c r="E53" i="3"/>
  <c r="D53" i="3"/>
  <c r="K53" i="3" s="1"/>
  <c r="E52" i="3"/>
  <c r="L52" i="3" s="1"/>
  <c r="D52" i="3"/>
  <c r="K52" i="3" s="1"/>
  <c r="E51" i="3"/>
  <c r="D51" i="3"/>
  <c r="K51" i="3" s="1"/>
  <c r="E50" i="3"/>
  <c r="L50" i="3" s="1"/>
  <c r="D50" i="3"/>
  <c r="K50" i="3" s="1"/>
  <c r="E49" i="3"/>
  <c r="L49" i="3" s="1"/>
  <c r="D49" i="3"/>
  <c r="K49" i="3" s="1"/>
  <c r="E48" i="3"/>
  <c r="D48" i="3"/>
  <c r="K48" i="3" s="1"/>
  <c r="E47" i="3"/>
  <c r="L47" i="3" s="1"/>
  <c r="D47" i="3"/>
  <c r="K47" i="3" s="1"/>
  <c r="L53" i="3" l="1"/>
  <c r="L48" i="3"/>
  <c r="L51" i="3"/>
  <c r="L143" i="2"/>
  <c r="E156" i="2"/>
  <c r="D156" i="2"/>
  <c r="E155" i="2"/>
  <c r="L155" i="2" s="1"/>
  <c r="D155" i="2"/>
  <c r="A155" i="2" s="1"/>
  <c r="K155" i="2" s="1"/>
  <c r="E153" i="2"/>
  <c r="L153" i="2" s="1"/>
  <c r="D153" i="2"/>
  <c r="A153" i="2" s="1"/>
  <c r="E152" i="2"/>
  <c r="D152" i="2"/>
  <c r="K152" i="2" s="1"/>
  <c r="E151" i="2"/>
  <c r="L151" i="2" s="1"/>
  <c r="D151" i="2"/>
  <c r="K151" i="2" s="1"/>
  <c r="E150" i="2"/>
  <c r="L150" i="2" s="1"/>
  <c r="D150" i="2"/>
  <c r="K150" i="2" s="1"/>
  <c r="E149" i="2"/>
  <c r="L149" i="2" s="1"/>
  <c r="D149" i="2"/>
  <c r="K149" i="2" s="1"/>
  <c r="E147" i="2"/>
  <c r="D147" i="2"/>
  <c r="K147" i="2" s="1"/>
  <c r="E146" i="2"/>
  <c r="L146" i="2" s="1"/>
  <c r="D146" i="2"/>
  <c r="K146" i="2" s="1"/>
  <c r="E144" i="2"/>
  <c r="D144" i="2"/>
  <c r="K144" i="2" s="1"/>
  <c r="A1132" i="2" l="1"/>
  <c r="L156" i="2"/>
  <c r="K153" i="2"/>
  <c r="L144" i="2"/>
  <c r="L147" i="2"/>
  <c r="L152" i="2"/>
  <c r="K156" i="2"/>
  <c r="K126" i="1"/>
  <c r="E124" i="1"/>
  <c r="D124" i="1"/>
  <c r="K124" i="1" s="1"/>
  <c r="E122" i="1"/>
  <c r="L122" i="1" s="1"/>
  <c r="D122" i="1"/>
  <c r="K122" i="1" s="1"/>
  <c r="E121" i="1"/>
  <c r="L121" i="1" s="1"/>
  <c r="D121" i="1"/>
  <c r="K121" i="1" s="1"/>
  <c r="E120" i="1"/>
  <c r="D120" i="1"/>
  <c r="K120" i="1" s="1"/>
  <c r="E118" i="1"/>
  <c r="L118" i="1" s="1"/>
  <c r="D118" i="1"/>
  <c r="K118" i="1" s="1"/>
  <c r="L120" i="1" l="1"/>
  <c r="L124" i="1"/>
  <c r="E42" i="12"/>
  <c r="L42" i="12" s="1"/>
  <c r="D42" i="12"/>
  <c r="K42" i="12" s="1"/>
  <c r="E41" i="12"/>
  <c r="D41" i="12"/>
  <c r="K41" i="12" s="1"/>
  <c r="E39" i="12"/>
  <c r="L39" i="12" s="1"/>
  <c r="D39" i="12"/>
  <c r="K39" i="12" s="1"/>
  <c r="L24" i="11"/>
  <c r="K24" i="11"/>
  <c r="E21" i="11"/>
  <c r="L21" i="11" s="1"/>
  <c r="D21" i="11"/>
  <c r="K21" i="11" s="1"/>
  <c r="L41" i="12" l="1"/>
  <c r="L30" i="5"/>
  <c r="K30" i="5"/>
  <c r="K53" i="4" l="1"/>
  <c r="E50" i="4"/>
  <c r="D50" i="4"/>
  <c r="K50" i="4" s="1"/>
  <c r="E49" i="4"/>
  <c r="D49" i="4"/>
  <c r="K49" i="4" s="1"/>
  <c r="E48" i="4"/>
  <c r="L48" i="4" s="1"/>
  <c r="D48" i="4"/>
  <c r="K48" i="4" s="1"/>
  <c r="E46" i="4"/>
  <c r="L46" i="4" s="1"/>
  <c r="D46" i="4"/>
  <c r="K46" i="4" s="1"/>
  <c r="E44" i="4"/>
  <c r="L44" i="4" s="1"/>
  <c r="D44" i="4"/>
  <c r="K44" i="4" s="1"/>
  <c r="L49" i="4" l="1"/>
  <c r="L50" i="4"/>
  <c r="L46" i="3"/>
  <c r="K46" i="3"/>
  <c r="E45" i="3"/>
  <c r="L45" i="3" s="1"/>
  <c r="D45" i="3"/>
  <c r="K45" i="3" s="1"/>
  <c r="E43" i="3"/>
  <c r="L43" i="3" s="1"/>
  <c r="D43" i="3"/>
  <c r="K43" i="3" s="1"/>
  <c r="E42" i="3"/>
  <c r="L42" i="3" s="1"/>
  <c r="D42" i="3"/>
  <c r="K42" i="3" s="1"/>
  <c r="K143" i="2" l="1"/>
  <c r="E140" i="2"/>
  <c r="D140" i="2"/>
  <c r="K140" i="2" s="1"/>
  <c r="E138" i="2"/>
  <c r="D138" i="2"/>
  <c r="K138" i="2" s="1"/>
  <c r="E137" i="2"/>
  <c r="L137" i="2" s="1"/>
  <c r="D137" i="2"/>
  <c r="K137" i="2" s="1"/>
  <c r="E136" i="2"/>
  <c r="D136" i="2"/>
  <c r="K136" i="2" s="1"/>
  <c r="E133" i="2"/>
  <c r="D133" i="2"/>
  <c r="K133" i="2" s="1"/>
  <c r="E132" i="2"/>
  <c r="L132" i="2" s="1"/>
  <c r="D132" i="2"/>
  <c r="K132" i="2" s="1"/>
  <c r="L136" i="2" l="1"/>
  <c r="L138" i="2"/>
  <c r="L140" i="2"/>
  <c r="L133" i="2"/>
  <c r="E109" i="1"/>
  <c r="L109" i="1" s="1"/>
  <c r="D109" i="1"/>
  <c r="K109" i="1" s="1"/>
  <c r="L117" i="1"/>
  <c r="K117" i="1"/>
  <c r="E114" i="1"/>
  <c r="L114" i="1" s="1"/>
  <c r="D114" i="1"/>
  <c r="E113" i="1"/>
  <c r="L113" i="1" s="1"/>
  <c r="D113" i="1"/>
  <c r="K113" i="1" s="1"/>
  <c r="E111" i="1"/>
  <c r="D111" i="1"/>
  <c r="K111" i="1" s="1"/>
  <c r="A114" i="1" l="1"/>
  <c r="K114" i="1" s="1"/>
  <c r="L111" i="1"/>
  <c r="E38" i="12"/>
  <c r="D38" i="12"/>
  <c r="K38" i="12" s="1"/>
  <c r="E37" i="12"/>
  <c r="L37" i="12" s="1"/>
  <c r="D37" i="12"/>
  <c r="K37" i="12" s="1"/>
  <c r="E35" i="12"/>
  <c r="L35" i="12" s="1"/>
  <c r="D35" i="12"/>
  <c r="K35" i="12" s="1"/>
  <c r="E22" i="10"/>
  <c r="D22" i="10"/>
  <c r="K22" i="10" s="1"/>
  <c r="E21" i="10"/>
  <c r="D21" i="10"/>
  <c r="K21" i="10" s="1"/>
  <c r="D20" i="8"/>
  <c r="E21" i="8"/>
  <c r="L21" i="8" s="1"/>
  <c r="D21" i="8"/>
  <c r="K21" i="8" s="1"/>
  <c r="K25" i="8"/>
  <c r="E26" i="8"/>
  <c r="L26" i="8" s="1"/>
  <c r="D26" i="8"/>
  <c r="A26" i="8" s="1"/>
  <c r="E23" i="8"/>
  <c r="D23" i="8"/>
  <c r="K23" i="8" s="1"/>
  <c r="K26" i="8" l="1"/>
  <c r="A147" i="8"/>
  <c r="L38" i="12"/>
  <c r="L23" i="8"/>
  <c r="L22" i="10"/>
  <c r="L21" i="10"/>
  <c r="E17" i="6"/>
  <c r="L17" i="6" s="1"/>
  <c r="D17" i="6"/>
  <c r="K17" i="6" s="1"/>
  <c r="E40" i="4" l="1"/>
  <c r="L40" i="4" s="1"/>
  <c r="D40" i="4"/>
  <c r="K40" i="4" s="1"/>
  <c r="E43" i="4"/>
  <c r="D43" i="4"/>
  <c r="K43" i="4" s="1"/>
  <c r="E42" i="4"/>
  <c r="L42" i="4" s="1"/>
  <c r="D42" i="4"/>
  <c r="K42" i="4" s="1"/>
  <c r="L43" i="4" l="1"/>
  <c r="J41" i="3" l="1"/>
  <c r="E41" i="3" s="1"/>
  <c r="L41" i="3" s="1"/>
  <c r="I41" i="3"/>
  <c r="D41" i="3" s="1"/>
  <c r="K41" i="3" s="1"/>
  <c r="E40" i="3"/>
  <c r="L40" i="3" s="1"/>
  <c r="D40" i="3"/>
  <c r="E39" i="3"/>
  <c r="L39" i="3" s="1"/>
  <c r="D39" i="3"/>
  <c r="K39" i="3" s="1"/>
  <c r="E38" i="3"/>
  <c r="D38" i="3"/>
  <c r="K38" i="3" s="1"/>
  <c r="L38" i="3" l="1"/>
  <c r="K40" i="3"/>
  <c r="E128" i="2"/>
  <c r="L128" i="2" s="1"/>
  <c r="D128" i="2"/>
  <c r="K128" i="2" s="1"/>
  <c r="E131" i="2"/>
  <c r="D131" i="2"/>
  <c r="K131" i="2" s="1"/>
  <c r="E130" i="2"/>
  <c r="L130" i="2" s="1"/>
  <c r="D130" i="2"/>
  <c r="K130" i="2" s="1"/>
  <c r="E127" i="2"/>
  <c r="D127" i="2"/>
  <c r="K127" i="2" s="1"/>
  <c r="L127" i="2" l="1"/>
  <c r="L131" i="2"/>
  <c r="E110" i="1"/>
  <c r="D110" i="1"/>
  <c r="K110" i="1" s="1"/>
  <c r="E108" i="1"/>
  <c r="D108" i="1"/>
  <c r="K108" i="1" s="1"/>
  <c r="E106" i="1"/>
  <c r="L106" i="1" s="1"/>
  <c r="D106" i="1"/>
  <c r="E105" i="1"/>
  <c r="L105" i="1" s="1"/>
  <c r="D105" i="1"/>
  <c r="E104" i="1"/>
  <c r="L104" i="1" s="1"/>
  <c r="D104" i="1"/>
  <c r="A104" i="1" s="1"/>
  <c r="E103" i="1"/>
  <c r="L103" i="1" s="1"/>
  <c r="D103" i="1"/>
  <c r="K103" i="1" s="1"/>
  <c r="E102" i="1"/>
  <c r="L102" i="1" s="1"/>
  <c r="D102" i="1"/>
  <c r="K102" i="1" s="1"/>
  <c r="E100" i="1"/>
  <c r="D100" i="1"/>
  <c r="K100" i="1" s="1"/>
  <c r="E99" i="1"/>
  <c r="L99" i="1" s="1"/>
  <c r="D99" i="1"/>
  <c r="K99" i="1" s="1"/>
  <c r="E98" i="1"/>
  <c r="L98" i="1" s="1"/>
  <c r="D98" i="1"/>
  <c r="K98" i="1" s="1"/>
  <c r="A106" i="1" l="1"/>
  <c r="K106" i="1" s="1"/>
  <c r="A105" i="1"/>
  <c r="A970" i="1" s="1"/>
  <c r="K104" i="1"/>
  <c r="L100" i="1"/>
  <c r="L108" i="1"/>
  <c r="L110" i="1"/>
  <c r="E36" i="12"/>
  <c r="D36" i="12"/>
  <c r="K36" i="12" s="1"/>
  <c r="E20" i="11"/>
  <c r="L20" i="11" s="1"/>
  <c r="D20" i="11"/>
  <c r="K20" i="11" s="1"/>
  <c r="E19" i="11"/>
  <c r="D19" i="11"/>
  <c r="K19" i="11" s="1"/>
  <c r="E17" i="11"/>
  <c r="D17" i="11"/>
  <c r="K17" i="11" s="1"/>
  <c r="D20" i="10"/>
  <c r="E24" i="9"/>
  <c r="L24" i="9" s="1"/>
  <c r="D24" i="9"/>
  <c r="K24" i="9" s="1"/>
  <c r="E23" i="9"/>
  <c r="L23" i="9" s="1"/>
  <c r="D23" i="9"/>
  <c r="K23" i="9" s="1"/>
  <c r="E22" i="9"/>
  <c r="L22" i="9" s="1"/>
  <c r="D22" i="9"/>
  <c r="K22" i="9" s="1"/>
  <c r="E20" i="9"/>
  <c r="D20" i="9"/>
  <c r="K20" i="9" s="1"/>
  <c r="K20" i="8"/>
  <c r="E22" i="8"/>
  <c r="D22" i="8"/>
  <c r="E20" i="8"/>
  <c r="L20" i="8" s="1"/>
  <c r="K105" i="1" l="1"/>
  <c r="L20" i="9"/>
  <c r="L17" i="11"/>
  <c r="L36" i="12"/>
  <c r="L19" i="11"/>
  <c r="L20" i="10"/>
  <c r="K20" i="10"/>
  <c r="L22" i="8"/>
  <c r="K22" i="8"/>
  <c r="E29" i="5"/>
  <c r="L29" i="5" s="1"/>
  <c r="D29" i="5"/>
  <c r="E28" i="5"/>
  <c r="L28" i="5" s="1"/>
  <c r="D28" i="5"/>
  <c r="K28" i="5" s="1"/>
  <c r="K29" i="5" l="1"/>
  <c r="E41" i="4"/>
  <c r="D41" i="4"/>
  <c r="K41" i="4" s="1"/>
  <c r="E39" i="4"/>
  <c r="L39" i="4" s="1"/>
  <c r="D39" i="4"/>
  <c r="K39" i="4" s="1"/>
  <c r="E38" i="4"/>
  <c r="L38" i="4" s="1"/>
  <c r="D38" i="4"/>
  <c r="K38" i="4" s="1"/>
  <c r="L41" i="4" l="1"/>
  <c r="E37" i="3"/>
  <c r="D37" i="3"/>
  <c r="K37" i="3" s="1"/>
  <c r="L37" i="3" l="1"/>
  <c r="E126" i="2" l="1"/>
  <c r="L126" i="2" s="1"/>
  <c r="D126" i="2"/>
  <c r="E124" i="2"/>
  <c r="L124" i="2" s="1"/>
  <c r="D124" i="2"/>
  <c r="K124" i="2" s="1"/>
  <c r="E123" i="2"/>
  <c r="L123" i="2" s="1"/>
  <c r="D123" i="2"/>
  <c r="K123" i="2" s="1"/>
  <c r="E121" i="2"/>
  <c r="L121" i="2" s="1"/>
  <c r="D121" i="2"/>
  <c r="K121" i="2" s="1"/>
  <c r="E120" i="2"/>
  <c r="L120" i="2" s="1"/>
  <c r="D120" i="2"/>
  <c r="K120" i="2" s="1"/>
  <c r="E118" i="2"/>
  <c r="L118" i="2" s="1"/>
  <c r="D118" i="2"/>
  <c r="K118" i="2" s="1"/>
  <c r="E117" i="2"/>
  <c r="D117" i="2"/>
  <c r="K117" i="2" s="1"/>
  <c r="E116" i="2"/>
  <c r="L116" i="2" s="1"/>
  <c r="D116" i="2"/>
  <c r="K116" i="2" s="1"/>
  <c r="E115" i="2"/>
  <c r="L115" i="2" s="1"/>
  <c r="D115" i="2"/>
  <c r="K115" i="2" s="1"/>
  <c r="E113" i="2"/>
  <c r="D113" i="2"/>
  <c r="K113" i="2" s="1"/>
  <c r="E111" i="2"/>
  <c r="D111" i="2"/>
  <c r="K111" i="2" s="1"/>
  <c r="E110" i="2"/>
  <c r="L110" i="2" s="1"/>
  <c r="D110" i="2"/>
  <c r="K110" i="2" s="1"/>
  <c r="E109" i="2"/>
  <c r="D109" i="2"/>
  <c r="K109" i="2" s="1"/>
  <c r="E107" i="2"/>
  <c r="D107" i="2"/>
  <c r="K107" i="2" s="1"/>
  <c r="E106" i="2"/>
  <c r="L106" i="2" s="1"/>
  <c r="D106" i="2"/>
  <c r="K106" i="2" s="1"/>
  <c r="E104" i="2"/>
  <c r="D104" i="2"/>
  <c r="K104" i="2" s="1"/>
  <c r="L107" i="2" l="1"/>
  <c r="L104" i="2"/>
  <c r="L109" i="2"/>
  <c r="L111" i="2"/>
  <c r="L113" i="2"/>
  <c r="L117" i="2"/>
  <c r="K126" i="2"/>
  <c r="E97" i="1"/>
  <c r="L97" i="1" s="1"/>
  <c r="D97" i="1"/>
  <c r="E95" i="1"/>
  <c r="L95" i="1" s="1"/>
  <c r="D95" i="1"/>
  <c r="K95" i="1" s="1"/>
  <c r="E94" i="1"/>
  <c r="L94" i="1" s="1"/>
  <c r="D94" i="1"/>
  <c r="K94" i="1" s="1"/>
  <c r="E92" i="1"/>
  <c r="L92" i="1" s="1"/>
  <c r="D92" i="1"/>
  <c r="K92" i="1" s="1"/>
  <c r="E91" i="1"/>
  <c r="L91" i="1" s="1"/>
  <c r="D91" i="1"/>
  <c r="K91" i="1" s="1"/>
  <c r="E90" i="1"/>
  <c r="D90" i="1"/>
  <c r="K90" i="1" s="1"/>
  <c r="E88" i="1"/>
  <c r="D88" i="1"/>
  <c r="K88" i="1" s="1"/>
  <c r="E87" i="1"/>
  <c r="L87" i="1" s="1"/>
  <c r="D87" i="1"/>
  <c r="K87" i="1" s="1"/>
  <c r="E85" i="1"/>
  <c r="L85" i="1" s="1"/>
  <c r="D85" i="1"/>
  <c r="K85" i="1" s="1"/>
  <c r="E84" i="1"/>
  <c r="L84" i="1" s="1"/>
  <c r="D84" i="1"/>
  <c r="K84" i="1" s="1"/>
  <c r="E83" i="1"/>
  <c r="D83" i="1"/>
  <c r="K83" i="1" s="1"/>
  <c r="E82" i="1"/>
  <c r="L82" i="1" s="1"/>
  <c r="D82" i="1"/>
  <c r="K82" i="1" s="1"/>
  <c r="E81" i="1"/>
  <c r="L81" i="1" s="1"/>
  <c r="D81" i="1"/>
  <c r="K81" i="1" s="1"/>
  <c r="L90" i="1" l="1"/>
  <c r="L83" i="1"/>
  <c r="L88" i="1"/>
  <c r="K97" i="1"/>
  <c r="E10" i="8"/>
  <c r="L10" i="8" s="1"/>
  <c r="D10" i="8"/>
  <c r="K10" i="8" s="1"/>
  <c r="E80" i="1"/>
  <c r="D80" i="1"/>
  <c r="K80" i="1" s="1"/>
  <c r="E79" i="1"/>
  <c r="L79" i="1" s="1"/>
  <c r="D79" i="1"/>
  <c r="K79" i="1" s="1"/>
  <c r="E78" i="1"/>
  <c r="L78" i="1" s="1"/>
  <c r="D78" i="1"/>
  <c r="K78" i="1" s="1"/>
  <c r="D24" i="13"/>
  <c r="K24" i="13" s="1"/>
  <c r="E24" i="13"/>
  <c r="D32" i="12"/>
  <c r="K32" i="12" s="1"/>
  <c r="E32" i="12"/>
  <c r="L32" i="12" s="1"/>
  <c r="D33" i="12"/>
  <c r="K33" i="12" s="1"/>
  <c r="E33" i="12"/>
  <c r="D34" i="12"/>
  <c r="E34" i="12"/>
  <c r="D16" i="11"/>
  <c r="K16" i="11" s="1"/>
  <c r="E16" i="11"/>
  <c r="L16" i="11" s="1"/>
  <c r="D18" i="10"/>
  <c r="K18" i="10" s="1"/>
  <c r="E18" i="10"/>
  <c r="L18" i="10" s="1"/>
  <c r="D19" i="10"/>
  <c r="K19" i="10" s="1"/>
  <c r="E19" i="10"/>
  <c r="E19" i="9"/>
  <c r="D19" i="9"/>
  <c r="E15" i="9"/>
  <c r="D15" i="9"/>
  <c r="E11" i="7"/>
  <c r="L11" i="7" s="1"/>
  <c r="D11" i="7"/>
  <c r="K11" i="7" s="1"/>
  <c r="E13" i="7"/>
  <c r="L13" i="7" s="1"/>
  <c r="D13" i="7"/>
  <c r="K13" i="7" s="1"/>
  <c r="E15" i="6"/>
  <c r="D15" i="6"/>
  <c r="E14" i="6"/>
  <c r="D14" i="6"/>
  <c r="K14" i="6" s="1"/>
  <c r="L15" i="6" l="1"/>
  <c r="L33" i="12"/>
  <c r="L14" i="6"/>
  <c r="L80" i="1"/>
  <c r="L19" i="9"/>
  <c r="K25" i="13"/>
  <c r="L24" i="13"/>
  <c r="L34" i="12"/>
  <c r="K34" i="12"/>
  <c r="L19" i="10"/>
  <c r="K19" i="9"/>
  <c r="K14" i="7"/>
  <c r="K15" i="6"/>
  <c r="B50" i="5"/>
  <c r="A50" i="5"/>
  <c r="E27" i="5"/>
  <c r="D27" i="5"/>
  <c r="K27" i="5" s="1"/>
  <c r="E26" i="5"/>
  <c r="L26" i="5" s="1"/>
  <c r="D26" i="5"/>
  <c r="K26" i="5" s="1"/>
  <c r="E23" i="5"/>
  <c r="L23" i="5" s="1"/>
  <c r="D23" i="5"/>
  <c r="K23" i="5" s="1"/>
  <c r="E20" i="5"/>
  <c r="D20" i="5"/>
  <c r="L27" i="5" l="1"/>
  <c r="E37" i="4"/>
  <c r="L37" i="4" s="1"/>
  <c r="D37" i="4"/>
  <c r="K37" i="4" s="1"/>
  <c r="E36" i="4"/>
  <c r="L36" i="4" s="1"/>
  <c r="D36" i="4"/>
  <c r="K36" i="4" s="1"/>
  <c r="E34" i="4"/>
  <c r="D34" i="4"/>
  <c r="K34" i="4" s="1"/>
  <c r="E33" i="4"/>
  <c r="L33" i="4" s="1"/>
  <c r="D33" i="4"/>
  <c r="K33" i="4" s="1"/>
  <c r="L34" i="4" l="1"/>
  <c r="E36" i="3"/>
  <c r="L36" i="3" s="1"/>
  <c r="D36" i="3"/>
  <c r="K36" i="3" s="1"/>
  <c r="E35" i="3"/>
  <c r="L35" i="3" s="1"/>
  <c r="D35" i="3"/>
  <c r="K35" i="3" s="1"/>
  <c r="E34" i="3"/>
  <c r="L34" i="3" s="1"/>
  <c r="D34" i="3"/>
  <c r="K34" i="3" s="1"/>
  <c r="E86" i="2" l="1"/>
  <c r="L86" i="2" s="1"/>
  <c r="D86" i="2"/>
  <c r="K86" i="2" s="1"/>
  <c r="E103" i="2"/>
  <c r="D103" i="2"/>
  <c r="E101" i="2"/>
  <c r="L101" i="2" s="1"/>
  <c r="D101" i="2"/>
  <c r="K101" i="2" s="1"/>
  <c r="E99" i="2"/>
  <c r="D99" i="2"/>
  <c r="K99" i="2" s="1"/>
  <c r="E98" i="2"/>
  <c r="D98" i="2"/>
  <c r="K98" i="2" s="1"/>
  <c r="E95" i="2"/>
  <c r="D95" i="2"/>
  <c r="K95" i="2" s="1"/>
  <c r="E94" i="2"/>
  <c r="L94" i="2" s="1"/>
  <c r="D94" i="2"/>
  <c r="K94" i="2" s="1"/>
  <c r="E93" i="2"/>
  <c r="L93" i="2" s="1"/>
  <c r="D93" i="2"/>
  <c r="K93" i="2" s="1"/>
  <c r="E92" i="2"/>
  <c r="D92" i="2"/>
  <c r="K92" i="2" s="1"/>
  <c r="E89" i="2"/>
  <c r="D89" i="2"/>
  <c r="L92" i="2" l="1"/>
  <c r="L95" i="2"/>
  <c r="L98" i="2"/>
  <c r="L99" i="2"/>
  <c r="L103" i="2"/>
  <c r="K103" i="2"/>
  <c r="E74" i="1"/>
  <c r="E75" i="1"/>
  <c r="L75" i="1" s="1"/>
  <c r="E76" i="1"/>
  <c r="L76" i="1" s="1"/>
  <c r="E77" i="1"/>
  <c r="L77" i="1" s="1"/>
  <c r="D75" i="1"/>
  <c r="K75" i="1" s="1"/>
  <c r="D76" i="1"/>
  <c r="K76" i="1" s="1"/>
  <c r="D77" i="1"/>
  <c r="K77" i="1" s="1"/>
  <c r="D74" i="1"/>
  <c r="K74" i="1" s="1"/>
  <c r="D71" i="1"/>
  <c r="K71" i="1" s="1"/>
  <c r="E71" i="1"/>
  <c r="D72" i="1"/>
  <c r="K72" i="1" s="1"/>
  <c r="E72" i="1"/>
  <c r="L72" i="1" s="1"/>
  <c r="L71" i="1" l="1"/>
  <c r="L74" i="1"/>
  <c r="E23" i="13"/>
  <c r="L23" i="13" s="1"/>
  <c r="D23" i="13"/>
  <c r="K23" i="13" s="1"/>
  <c r="E21" i="13"/>
  <c r="L21" i="13" s="1"/>
  <c r="D21" i="13"/>
  <c r="K21" i="13" s="1"/>
  <c r="E20" i="13"/>
  <c r="L20" i="13" s="1"/>
  <c r="D20" i="13"/>
  <c r="K20" i="13" s="1"/>
  <c r="E19" i="13"/>
  <c r="L19" i="13" s="1"/>
  <c r="D19" i="13"/>
  <c r="K19" i="13" s="1"/>
  <c r="E17" i="13"/>
  <c r="D17" i="13"/>
  <c r="K17" i="13" s="1"/>
  <c r="E31" i="12"/>
  <c r="D31" i="12"/>
  <c r="K31" i="12" s="1"/>
  <c r="E30" i="12"/>
  <c r="L30" i="12" s="1"/>
  <c r="D30" i="12"/>
  <c r="K30" i="12" s="1"/>
  <c r="E28" i="12"/>
  <c r="L28" i="12" s="1"/>
  <c r="D28" i="12"/>
  <c r="K28" i="12" s="1"/>
  <c r="E26" i="12"/>
  <c r="L26" i="12" s="1"/>
  <c r="D26" i="12"/>
  <c r="K26" i="12" s="1"/>
  <c r="B68" i="11"/>
  <c r="A68" i="11"/>
  <c r="E15" i="11"/>
  <c r="D15" i="11"/>
  <c r="K15" i="11" s="1"/>
  <c r="E13" i="11"/>
  <c r="L13" i="11" s="1"/>
  <c r="D13" i="11"/>
  <c r="K13" i="11" s="1"/>
  <c r="E17" i="10"/>
  <c r="L17" i="10" s="1"/>
  <c r="D17" i="10"/>
  <c r="K17" i="10" s="1"/>
  <c r="E19" i="8"/>
  <c r="D19" i="8"/>
  <c r="K19" i="8" s="1"/>
  <c r="E12" i="7"/>
  <c r="L12" i="7" s="1"/>
  <c r="D12" i="7"/>
  <c r="K12" i="7" s="1"/>
  <c r="E8" i="7"/>
  <c r="D8" i="7"/>
  <c r="E13" i="6"/>
  <c r="L13" i="6" s="1"/>
  <c r="D13" i="6"/>
  <c r="K13" i="6" s="1"/>
  <c r="E12" i="6"/>
  <c r="L12" i="6" s="1"/>
  <c r="D12" i="6"/>
  <c r="K12" i="6" s="1"/>
  <c r="E10" i="6"/>
  <c r="L10" i="6" s="1"/>
  <c r="D10" i="6"/>
  <c r="K10" i="6" s="1"/>
  <c r="E32" i="4"/>
  <c r="L32" i="4" s="1"/>
  <c r="D32" i="4"/>
  <c r="E29" i="4"/>
  <c r="D29" i="4"/>
  <c r="K29" i="4" s="1"/>
  <c r="E26" i="4"/>
  <c r="D26" i="4"/>
  <c r="K26" i="4" s="1"/>
  <c r="E33" i="3"/>
  <c r="D33" i="3"/>
  <c r="K33" i="3" s="1"/>
  <c r="E31" i="3"/>
  <c r="L31" i="3" s="1"/>
  <c r="D31" i="3"/>
  <c r="K31" i="3" s="1"/>
  <c r="E29" i="3"/>
  <c r="L29" i="3" s="1"/>
  <c r="D29" i="3"/>
  <c r="K29" i="3" s="1"/>
  <c r="E28" i="3"/>
  <c r="L28" i="3" s="1"/>
  <c r="D28" i="3"/>
  <c r="K28" i="3" s="1"/>
  <c r="E26" i="3"/>
  <c r="D26" i="3"/>
  <c r="K26" i="3" s="1"/>
  <c r="D81" i="2"/>
  <c r="K81" i="2" s="1"/>
  <c r="E81" i="2"/>
  <c r="L81" i="2" s="1"/>
  <c r="D82" i="2"/>
  <c r="K82" i="2" s="1"/>
  <c r="E82" i="2"/>
  <c r="D83" i="2"/>
  <c r="K83" i="2" s="1"/>
  <c r="E83" i="2"/>
  <c r="L83" i="2" s="1"/>
  <c r="D84" i="2"/>
  <c r="K84" i="2" s="1"/>
  <c r="E84" i="2"/>
  <c r="D85" i="2"/>
  <c r="K85" i="2" s="1"/>
  <c r="E85" i="2"/>
  <c r="L85" i="2" s="1"/>
  <c r="D87" i="2"/>
  <c r="K87" i="2" s="1"/>
  <c r="E87" i="2"/>
  <c r="L87" i="2" s="1"/>
  <c r="D88" i="2"/>
  <c r="E88" i="2"/>
  <c r="L88" i="2" s="1"/>
  <c r="L89" i="2"/>
  <c r="E80" i="2"/>
  <c r="L80" i="2" s="1"/>
  <c r="D80" i="2"/>
  <c r="K80" i="2" s="1"/>
  <c r="E78" i="2"/>
  <c r="D78" i="2"/>
  <c r="K78" i="2" s="1"/>
  <c r="K89" i="2"/>
  <c r="K88" i="2"/>
  <c r="E76" i="2"/>
  <c r="D76" i="2"/>
  <c r="D68" i="1"/>
  <c r="K68" i="1" s="1"/>
  <c r="E68" i="1"/>
  <c r="L68" i="1" s="1"/>
  <c r="D69" i="1"/>
  <c r="K69" i="1" s="1"/>
  <c r="E69" i="1"/>
  <c r="L69" i="1" s="1"/>
  <c r="D70" i="1"/>
  <c r="E70" i="1"/>
  <c r="D73" i="1"/>
  <c r="K73" i="1" s="1"/>
  <c r="E73" i="1"/>
  <c r="L73" i="1" s="1"/>
  <c r="E67" i="1"/>
  <c r="L67" i="1" s="1"/>
  <c r="D67" i="1"/>
  <c r="K67" i="1" s="1"/>
  <c r="E65" i="1"/>
  <c r="L65" i="1" s="1"/>
  <c r="D65" i="1"/>
  <c r="K65" i="1" s="1"/>
  <c r="E63" i="1"/>
  <c r="L63" i="1" s="1"/>
  <c r="D63" i="1"/>
  <c r="K63" i="1" s="1"/>
  <c r="E61" i="1"/>
  <c r="L61" i="1" s="1"/>
  <c r="D61" i="1"/>
  <c r="K61" i="1" s="1"/>
  <c r="E58" i="1"/>
  <c r="D58" i="1"/>
  <c r="E16" i="13"/>
  <c r="L16" i="13" s="1"/>
  <c r="D16" i="13"/>
  <c r="K16" i="13" s="1"/>
  <c r="E15" i="13"/>
  <c r="D15" i="13"/>
  <c r="K15" i="13" s="1"/>
  <c r="E12" i="13"/>
  <c r="D12" i="13"/>
  <c r="J24" i="12"/>
  <c r="E24" i="12" s="1"/>
  <c r="L24" i="12" s="1"/>
  <c r="I24" i="12"/>
  <c r="D24" i="12" s="1"/>
  <c r="K24" i="12" s="1"/>
  <c r="E21" i="12"/>
  <c r="L21" i="12" s="1"/>
  <c r="D21" i="12"/>
  <c r="K21" i="12" s="1"/>
  <c r="E20" i="12"/>
  <c r="L20" i="12" s="1"/>
  <c r="D20" i="12"/>
  <c r="K20" i="12" s="1"/>
  <c r="K18" i="12"/>
  <c r="E18" i="12"/>
  <c r="L18" i="12" s="1"/>
  <c r="D18" i="12"/>
  <c r="E14" i="12"/>
  <c r="D14" i="12"/>
  <c r="E11" i="11"/>
  <c r="L11" i="11" s="1"/>
  <c r="D11" i="11"/>
  <c r="K11" i="11" s="1"/>
  <c r="E8" i="11"/>
  <c r="D8" i="11"/>
  <c r="B81" i="10"/>
  <c r="A81" i="10"/>
  <c r="E16" i="10"/>
  <c r="L16" i="10" s="1"/>
  <c r="D16" i="10"/>
  <c r="K16" i="10" s="1"/>
  <c r="E15" i="10"/>
  <c r="L15" i="10" s="1"/>
  <c r="D15" i="10"/>
  <c r="K15" i="10" s="1"/>
  <c r="E13" i="10"/>
  <c r="L13" i="10" s="1"/>
  <c r="D13" i="10"/>
  <c r="K13" i="10" s="1"/>
  <c r="E9" i="10"/>
  <c r="L9" i="10" s="1"/>
  <c r="D9" i="10"/>
  <c r="L15" i="9"/>
  <c r="K15" i="9"/>
  <c r="E10" i="9"/>
  <c r="L10" i="9" s="1"/>
  <c r="D10" i="9"/>
  <c r="J18" i="8"/>
  <c r="E18" i="8" s="1"/>
  <c r="L18" i="8" s="1"/>
  <c r="I18" i="8"/>
  <c r="D18" i="8" s="1"/>
  <c r="K18" i="8" s="1"/>
  <c r="E16" i="8"/>
  <c r="L16" i="8" s="1"/>
  <c r="D16" i="8"/>
  <c r="K16" i="8" s="1"/>
  <c r="E15" i="8"/>
  <c r="L15" i="8" s="1"/>
  <c r="D15" i="8"/>
  <c r="K15" i="8" s="1"/>
  <c r="E12" i="8"/>
  <c r="D12" i="8"/>
  <c r="B18" i="7"/>
  <c r="A18" i="7"/>
  <c r="L20" i="5"/>
  <c r="K20" i="5"/>
  <c r="E19" i="5"/>
  <c r="L19" i="5" s="1"/>
  <c r="D19" i="5"/>
  <c r="K19" i="5" s="1"/>
  <c r="E17" i="5"/>
  <c r="L17" i="5" s="1"/>
  <c r="D17" i="5"/>
  <c r="K17" i="5" s="1"/>
  <c r="E15" i="5"/>
  <c r="L15" i="5" s="1"/>
  <c r="D15" i="5"/>
  <c r="K15" i="5" s="1"/>
  <c r="E12" i="5"/>
  <c r="L12" i="5" s="1"/>
  <c r="D12" i="5"/>
  <c r="B63" i="6"/>
  <c r="A63" i="6"/>
  <c r="E11" i="6"/>
  <c r="L11" i="6" s="1"/>
  <c r="D11" i="6"/>
  <c r="K11" i="6" s="1"/>
  <c r="E8" i="6"/>
  <c r="D8" i="6"/>
  <c r="E5" i="6"/>
  <c r="D5" i="6"/>
  <c r="K5" i="6" s="1"/>
  <c r="E23" i="4"/>
  <c r="L23" i="4" s="1"/>
  <c r="D23" i="4"/>
  <c r="K23" i="4" s="1"/>
  <c r="E24" i="3"/>
  <c r="L24" i="3" s="1"/>
  <c r="D24" i="3"/>
  <c r="K24" i="3" s="1"/>
  <c r="E23" i="3"/>
  <c r="L23" i="3" s="1"/>
  <c r="D23" i="3"/>
  <c r="K23" i="3" s="1"/>
  <c r="E21" i="3"/>
  <c r="L21" i="3" s="1"/>
  <c r="D21" i="3"/>
  <c r="E9" i="2"/>
  <c r="L9" i="2" s="1"/>
  <c r="D9" i="2"/>
  <c r="K9" i="2" s="1"/>
  <c r="L17" i="13" l="1"/>
  <c r="L26" i="3"/>
  <c r="L5" i="6"/>
  <c r="L84" i="2"/>
  <c r="L82" i="2"/>
  <c r="L15" i="11"/>
  <c r="L26" i="4"/>
  <c r="L29" i="4"/>
  <c r="L70" i="1"/>
  <c r="L31" i="12"/>
  <c r="L19" i="8"/>
  <c r="K32" i="4"/>
  <c r="L33" i="3"/>
  <c r="K70" i="1"/>
  <c r="L15" i="13"/>
  <c r="L78" i="2"/>
  <c r="E7" i="2"/>
  <c r="D7" i="2"/>
  <c r="L76" i="2"/>
  <c r="K76" i="2"/>
  <c r="E74" i="2"/>
  <c r="L74" i="2" s="1"/>
  <c r="D74" i="2"/>
  <c r="K74" i="2" s="1"/>
  <c r="E72" i="2"/>
  <c r="D72" i="2"/>
  <c r="K72" i="2" s="1"/>
  <c r="E71" i="2"/>
  <c r="L71" i="2" s="1"/>
  <c r="D71" i="2"/>
  <c r="K71" i="2" s="1"/>
  <c r="E69" i="2"/>
  <c r="L69" i="2" s="1"/>
  <c r="D69" i="2"/>
  <c r="K69" i="2" s="1"/>
  <c r="E67" i="2"/>
  <c r="L67" i="2" s="1"/>
  <c r="D67" i="2"/>
  <c r="K67" i="2" s="1"/>
  <c r="E66" i="2"/>
  <c r="L66" i="2" s="1"/>
  <c r="D66" i="2"/>
  <c r="K66" i="2" s="1"/>
  <c r="E64" i="2"/>
  <c r="L64" i="2" s="1"/>
  <c r="D64" i="2"/>
  <c r="K64" i="2" s="1"/>
  <c r="E63" i="2"/>
  <c r="L63" i="2" s="1"/>
  <c r="D63" i="2"/>
  <c r="K63" i="2" s="1"/>
  <c r="E60" i="2"/>
  <c r="D60" i="2"/>
  <c r="K60" i="2" s="1"/>
  <c r="E58" i="2"/>
  <c r="L58" i="2" s="1"/>
  <c r="D58" i="2"/>
  <c r="L58" i="1"/>
  <c r="L72" i="2" l="1"/>
  <c r="L60" i="2"/>
  <c r="K58" i="1"/>
  <c r="E57" i="1"/>
  <c r="L57" i="1" s="1"/>
  <c r="D57" i="1"/>
  <c r="K57" i="1" s="1"/>
  <c r="E56" i="1"/>
  <c r="L56" i="1" s="1"/>
  <c r="D56" i="1"/>
  <c r="K56" i="1" s="1"/>
  <c r="E55" i="1"/>
  <c r="D55" i="1"/>
  <c r="K55" i="1" s="1"/>
  <c r="E51" i="1"/>
  <c r="D51" i="1"/>
  <c r="K51" i="1" s="1"/>
  <c r="L11" i="13"/>
  <c r="L12" i="13"/>
  <c r="K12" i="13"/>
  <c r="K11" i="13"/>
  <c r="E9" i="13"/>
  <c r="D9" i="13"/>
  <c r="K9" i="13" s="1"/>
  <c r="E7" i="13"/>
  <c r="D7" i="13"/>
  <c r="K7" i="13" s="1"/>
  <c r="E6" i="13"/>
  <c r="L6" i="13" s="1"/>
  <c r="D6" i="13"/>
  <c r="K6" i="13" s="1"/>
  <c r="E5" i="13"/>
  <c r="D5" i="13"/>
  <c r="L14" i="12"/>
  <c r="E17" i="12"/>
  <c r="L17" i="12" s="1"/>
  <c r="D17" i="12"/>
  <c r="K17" i="12" s="1"/>
  <c r="K14" i="12"/>
  <c r="E13" i="12"/>
  <c r="L13" i="12" s="1"/>
  <c r="D13" i="12"/>
  <c r="K13" i="12" s="1"/>
  <c r="E10" i="12"/>
  <c r="L10" i="12" s="1"/>
  <c r="D10" i="12"/>
  <c r="K10" i="12" s="1"/>
  <c r="E9" i="12"/>
  <c r="L9" i="12" s="1"/>
  <c r="D9" i="12"/>
  <c r="A9" i="12" s="1"/>
  <c r="A179" i="12" s="1"/>
  <c r="E8" i="12"/>
  <c r="D8" i="12"/>
  <c r="K8" i="12" s="1"/>
  <c r="E7" i="12"/>
  <c r="L7" i="12" s="1"/>
  <c r="D7" i="12"/>
  <c r="K7" i="12" s="1"/>
  <c r="E6" i="12"/>
  <c r="L6" i="12" s="1"/>
  <c r="D6" i="12"/>
  <c r="K6" i="12" s="1"/>
  <c r="E5" i="12"/>
  <c r="E179" i="12" s="1"/>
  <c r="D5" i="12"/>
  <c r="L8" i="11"/>
  <c r="K8" i="11"/>
  <c r="E6" i="11"/>
  <c r="L6" i="11" s="1"/>
  <c r="D6" i="11"/>
  <c r="K6" i="11" s="1"/>
  <c r="E5" i="11"/>
  <c r="D5" i="11"/>
  <c r="K9" i="10"/>
  <c r="E7" i="10"/>
  <c r="D7" i="10"/>
  <c r="K7" i="10" s="1"/>
  <c r="E5" i="10"/>
  <c r="D5" i="10"/>
  <c r="K10" i="9"/>
  <c r="J7" i="9"/>
  <c r="E5" i="9" s="1"/>
  <c r="E99" i="9" s="1"/>
  <c r="I7" i="9"/>
  <c r="D5" i="9" s="1"/>
  <c r="D99" i="9" s="1"/>
  <c r="L12" i="8"/>
  <c r="K12" i="8"/>
  <c r="E11" i="8"/>
  <c r="L11" i="8" s="1"/>
  <c r="D11" i="8"/>
  <c r="K11" i="8" s="1"/>
  <c r="E8" i="8"/>
  <c r="L8" i="8" s="1"/>
  <c r="D8" i="8"/>
  <c r="K8" i="8" s="1"/>
  <c r="E7" i="8"/>
  <c r="L7" i="8" s="1"/>
  <c r="D7" i="8"/>
  <c r="K7" i="8" s="1"/>
  <c r="E6" i="8"/>
  <c r="D6" i="8"/>
  <c r="L8" i="7"/>
  <c r="K8" i="7"/>
  <c r="E7" i="7"/>
  <c r="L7" i="7" s="1"/>
  <c r="D7" i="7"/>
  <c r="K7" i="7" s="1"/>
  <c r="E5" i="7"/>
  <c r="D5" i="7"/>
  <c r="L8" i="6"/>
  <c r="K8" i="6"/>
  <c r="J7" i="6"/>
  <c r="E7" i="6" s="1"/>
  <c r="I7" i="6"/>
  <c r="D7" i="6" s="1"/>
  <c r="K12" i="5"/>
  <c r="E10" i="5"/>
  <c r="L10" i="5" s="1"/>
  <c r="D10" i="5"/>
  <c r="K10" i="5" s="1"/>
  <c r="E9" i="5"/>
  <c r="L9" i="5" s="1"/>
  <c r="D9" i="5"/>
  <c r="K9" i="5" s="1"/>
  <c r="E7" i="5"/>
  <c r="L7" i="5" s="1"/>
  <c r="D7" i="5"/>
  <c r="K7" i="5" s="1"/>
  <c r="E5" i="5"/>
  <c r="D5" i="5"/>
  <c r="D50" i="5" s="1"/>
  <c r="E22" i="4"/>
  <c r="D22" i="4"/>
  <c r="K22" i="4" s="1"/>
  <c r="E20" i="4"/>
  <c r="L20" i="4" s="1"/>
  <c r="D20" i="4"/>
  <c r="K20" i="4" s="1"/>
  <c r="E19" i="4"/>
  <c r="L19" i="4" s="1"/>
  <c r="D19" i="4"/>
  <c r="K19" i="4" s="1"/>
  <c r="E18" i="4"/>
  <c r="D18" i="4"/>
  <c r="K18" i="4" s="1"/>
  <c r="E15" i="4"/>
  <c r="L15" i="4" s="1"/>
  <c r="D15" i="4"/>
  <c r="K15" i="4" s="1"/>
  <c r="E14" i="4"/>
  <c r="D14" i="4"/>
  <c r="K14" i="4" s="1"/>
  <c r="E12" i="4"/>
  <c r="D12" i="4"/>
  <c r="K12" i="4" s="1"/>
  <c r="E11" i="4"/>
  <c r="L11" i="4" s="1"/>
  <c r="D11" i="4"/>
  <c r="K11" i="4" s="1"/>
  <c r="E10" i="4"/>
  <c r="D10" i="4"/>
  <c r="K10" i="4" s="1"/>
  <c r="E9" i="4"/>
  <c r="D9" i="4"/>
  <c r="K9" i="4" s="1"/>
  <c r="E8" i="4"/>
  <c r="L8" i="4" s="1"/>
  <c r="D8" i="4"/>
  <c r="K8" i="4" s="1"/>
  <c r="E7" i="4"/>
  <c r="D7" i="4"/>
  <c r="E5" i="4"/>
  <c r="D5" i="4"/>
  <c r="K21" i="3"/>
  <c r="E19" i="3"/>
  <c r="L19" i="3" s="1"/>
  <c r="D19" i="3"/>
  <c r="K19" i="3" s="1"/>
  <c r="E18" i="3"/>
  <c r="D18" i="3"/>
  <c r="K18" i="3" s="1"/>
  <c r="E16" i="3"/>
  <c r="L16" i="3" s="1"/>
  <c r="D16" i="3"/>
  <c r="K16" i="3" s="1"/>
  <c r="E13" i="3"/>
  <c r="L13" i="3" s="1"/>
  <c r="D13" i="3"/>
  <c r="K13" i="3" s="1"/>
  <c r="E11" i="3"/>
  <c r="D11" i="3"/>
  <c r="K11" i="3" s="1"/>
  <c r="E10" i="3"/>
  <c r="D10" i="3"/>
  <c r="K10" i="3" s="1"/>
  <c r="E9" i="3"/>
  <c r="L9" i="3" s="1"/>
  <c r="D9" i="3"/>
  <c r="K9" i="3" s="1"/>
  <c r="E8" i="3"/>
  <c r="D8" i="3"/>
  <c r="K8" i="3" s="1"/>
  <c r="E7" i="3"/>
  <c r="D7" i="3"/>
  <c r="E5" i="3"/>
  <c r="D5" i="3"/>
  <c r="E62" i="2"/>
  <c r="L62" i="2" s="1"/>
  <c r="D62" i="2"/>
  <c r="K62" i="2" s="1"/>
  <c r="E61" i="2"/>
  <c r="L61" i="2" s="1"/>
  <c r="D61" i="2"/>
  <c r="K61" i="2" s="1"/>
  <c r="K58" i="2"/>
  <c r="E56" i="2"/>
  <c r="D56" i="2"/>
  <c r="K56" i="2" s="1"/>
  <c r="E54" i="2"/>
  <c r="D54" i="2"/>
  <c r="K54" i="2" s="1"/>
  <c r="E53" i="2"/>
  <c r="L53" i="2" s="1"/>
  <c r="D53" i="2"/>
  <c r="K53" i="2" s="1"/>
  <c r="E51" i="2"/>
  <c r="L51" i="2" s="1"/>
  <c r="D51" i="2"/>
  <c r="K51" i="2" s="1"/>
  <c r="E49" i="2"/>
  <c r="D49" i="2"/>
  <c r="K49" i="2" s="1"/>
  <c r="E47" i="2"/>
  <c r="D47" i="2"/>
  <c r="K47" i="2" s="1"/>
  <c r="E46" i="2"/>
  <c r="L46" i="2" s="1"/>
  <c r="D46" i="2"/>
  <c r="K46" i="2" s="1"/>
  <c r="I45" i="2"/>
  <c r="D44" i="2" s="1"/>
  <c r="K44" i="2" s="1"/>
  <c r="E44" i="2"/>
  <c r="L44" i="2" s="1"/>
  <c r="E42" i="2"/>
  <c r="D42" i="2"/>
  <c r="K42" i="2" s="1"/>
  <c r="E41" i="2"/>
  <c r="D41" i="2"/>
  <c r="K41" i="2" s="1"/>
  <c r="E40" i="2"/>
  <c r="L40" i="2" s="1"/>
  <c r="D40" i="2"/>
  <c r="K40" i="2" s="1"/>
  <c r="E39" i="2"/>
  <c r="D39" i="2"/>
  <c r="K39" i="2" s="1"/>
  <c r="E38" i="2"/>
  <c r="L38" i="2" s="1"/>
  <c r="D38" i="2"/>
  <c r="K38" i="2" s="1"/>
  <c r="E37" i="2"/>
  <c r="L37" i="2" s="1"/>
  <c r="D37" i="2"/>
  <c r="K37" i="2" s="1"/>
  <c r="E36" i="2"/>
  <c r="D36" i="2"/>
  <c r="K36" i="2" s="1"/>
  <c r="E35" i="2"/>
  <c r="L35" i="2" s="1"/>
  <c r="D35" i="2"/>
  <c r="K35" i="2" s="1"/>
  <c r="I33" i="2"/>
  <c r="D33" i="2" s="1"/>
  <c r="K33" i="2" s="1"/>
  <c r="E33" i="2"/>
  <c r="E32" i="2"/>
  <c r="L32" i="2" s="1"/>
  <c r="D32" i="2"/>
  <c r="K32" i="2" s="1"/>
  <c r="E31" i="2"/>
  <c r="L31" i="2" s="1"/>
  <c r="D31" i="2"/>
  <c r="K31" i="2" s="1"/>
  <c r="E30" i="2"/>
  <c r="L30" i="2" s="1"/>
  <c r="D30" i="2"/>
  <c r="K30" i="2" s="1"/>
  <c r="E29" i="2"/>
  <c r="L29" i="2" s="1"/>
  <c r="D29" i="2"/>
  <c r="K29" i="2" s="1"/>
  <c r="E28" i="2"/>
  <c r="L28" i="2" s="1"/>
  <c r="D28" i="2"/>
  <c r="K28" i="2" s="1"/>
  <c r="E27" i="2"/>
  <c r="D27" i="2"/>
  <c r="K27" i="2" s="1"/>
  <c r="E26" i="2"/>
  <c r="L26" i="2" s="1"/>
  <c r="D26" i="2"/>
  <c r="K26" i="2" s="1"/>
  <c r="J25" i="2"/>
  <c r="E25" i="2" s="1"/>
  <c r="L25" i="2" s="1"/>
  <c r="D25" i="2"/>
  <c r="K25" i="2" s="1"/>
  <c r="E23" i="2"/>
  <c r="L23" i="2" s="1"/>
  <c r="D23" i="2"/>
  <c r="K23" i="2" s="1"/>
  <c r="E22" i="2"/>
  <c r="D22" i="2"/>
  <c r="K22" i="2" s="1"/>
  <c r="E20" i="2"/>
  <c r="D20" i="2"/>
  <c r="K20" i="2" s="1"/>
  <c r="E19" i="2"/>
  <c r="D19" i="2"/>
  <c r="K19" i="2" s="1"/>
  <c r="E18" i="2"/>
  <c r="D18" i="2"/>
  <c r="K18" i="2" s="1"/>
  <c r="E17" i="2"/>
  <c r="L17" i="2" s="1"/>
  <c r="D17" i="2"/>
  <c r="K17" i="2" s="1"/>
  <c r="E16" i="2"/>
  <c r="L16" i="2" s="1"/>
  <c r="D16" i="2"/>
  <c r="K16" i="2" s="1"/>
  <c r="E15" i="2"/>
  <c r="L15" i="2" s="1"/>
  <c r="D15" i="2"/>
  <c r="K15" i="2" s="1"/>
  <c r="E14" i="2"/>
  <c r="D14" i="2"/>
  <c r="K14" i="2" s="1"/>
  <c r="E13" i="2"/>
  <c r="L13" i="2" s="1"/>
  <c r="D13" i="2"/>
  <c r="K13" i="2" s="1"/>
  <c r="E12" i="2"/>
  <c r="L12" i="2" s="1"/>
  <c r="D12" i="2"/>
  <c r="K12" i="2" s="1"/>
  <c r="E11" i="2"/>
  <c r="L11" i="2" s="1"/>
  <c r="D11" i="2"/>
  <c r="K11" i="2" s="1"/>
  <c r="E10" i="2"/>
  <c r="L10" i="2" s="1"/>
  <c r="D10" i="2"/>
  <c r="K10" i="2" s="1"/>
  <c r="K7" i="2"/>
  <c r="E5" i="2"/>
  <c r="D5" i="2"/>
  <c r="E54" i="1"/>
  <c r="L54" i="1" s="1"/>
  <c r="D54" i="1"/>
  <c r="K54" i="1" s="1"/>
  <c r="E50" i="1"/>
  <c r="D50" i="1"/>
  <c r="E47" i="1"/>
  <c r="L47" i="1" s="1"/>
  <c r="D47" i="1"/>
  <c r="K47" i="1" s="1"/>
  <c r="E46" i="1"/>
  <c r="D46" i="1"/>
  <c r="K46" i="1" s="1"/>
  <c r="E45" i="1"/>
  <c r="L45" i="1" s="1"/>
  <c r="D45" i="1"/>
  <c r="K45" i="1" s="1"/>
  <c r="E42" i="1"/>
  <c r="L42" i="1" s="1"/>
  <c r="D42" i="1"/>
  <c r="K42" i="1" s="1"/>
  <c r="E41" i="1"/>
  <c r="L41" i="1" s="1"/>
  <c r="D41" i="1"/>
  <c r="K41" i="1" s="1"/>
  <c r="E40" i="1"/>
  <c r="L40" i="1" s="1"/>
  <c r="D40" i="1"/>
  <c r="K40" i="1" s="1"/>
  <c r="E39" i="1"/>
  <c r="L39" i="1" s="1"/>
  <c r="D39" i="1"/>
  <c r="K39" i="1" s="1"/>
  <c r="E38" i="1"/>
  <c r="L38" i="1" s="1"/>
  <c r="D38" i="1"/>
  <c r="K38" i="1" s="1"/>
  <c r="E37" i="1"/>
  <c r="D37" i="1"/>
  <c r="K37" i="1" s="1"/>
  <c r="E36" i="1"/>
  <c r="L36" i="1" s="1"/>
  <c r="D36" i="1"/>
  <c r="K36" i="1" s="1"/>
  <c r="E35" i="1"/>
  <c r="D35" i="1"/>
  <c r="K35" i="1" s="1"/>
  <c r="E34" i="1"/>
  <c r="L34" i="1" s="1"/>
  <c r="D34" i="1"/>
  <c r="K34" i="1" s="1"/>
  <c r="E33" i="1"/>
  <c r="L33" i="1" s="1"/>
  <c r="D33" i="1"/>
  <c r="K33" i="1" s="1"/>
  <c r="E32" i="1"/>
  <c r="L32" i="1" s="1"/>
  <c r="D32" i="1"/>
  <c r="K32" i="1" s="1"/>
  <c r="E31" i="1"/>
  <c r="L31" i="1" s="1"/>
  <c r="D31" i="1"/>
  <c r="K31" i="1" s="1"/>
  <c r="E30" i="1"/>
  <c r="L30" i="1" s="1"/>
  <c r="D30" i="1"/>
  <c r="K30" i="1" s="1"/>
  <c r="E28" i="1"/>
  <c r="L28" i="1" s="1"/>
  <c r="D28" i="1"/>
  <c r="K28" i="1" s="1"/>
  <c r="E27" i="1"/>
  <c r="L27" i="1" s="1"/>
  <c r="D27" i="1"/>
  <c r="K27" i="1" s="1"/>
  <c r="E26" i="1"/>
  <c r="D26" i="1"/>
  <c r="K26" i="1" s="1"/>
  <c r="E25" i="1"/>
  <c r="L25" i="1" s="1"/>
  <c r="D25" i="1"/>
  <c r="K25" i="1" s="1"/>
  <c r="E24" i="1"/>
  <c r="L24" i="1" s="1"/>
  <c r="D24" i="1"/>
  <c r="K24" i="1" s="1"/>
  <c r="E22" i="1"/>
  <c r="L22" i="1" s="1"/>
  <c r="D22" i="1"/>
  <c r="K22" i="1" s="1"/>
  <c r="E21" i="1"/>
  <c r="D21" i="1"/>
  <c r="K21" i="1" s="1"/>
  <c r="E20" i="1"/>
  <c r="D20" i="1"/>
  <c r="K20" i="1" s="1"/>
  <c r="E18" i="1"/>
  <c r="L18" i="1" s="1"/>
  <c r="D18" i="1"/>
  <c r="K18" i="1" s="1"/>
  <c r="E17" i="1"/>
  <c r="L17" i="1" s="1"/>
  <c r="D17" i="1"/>
  <c r="K17" i="1" s="1"/>
  <c r="E16" i="1"/>
  <c r="D16" i="1"/>
  <c r="K16" i="1" s="1"/>
  <c r="E15" i="1"/>
  <c r="L15" i="1" s="1"/>
  <c r="D15" i="1"/>
  <c r="K15" i="1" s="1"/>
  <c r="E14" i="1"/>
  <c r="L14" i="1" s="1"/>
  <c r="D14" i="1"/>
  <c r="K14" i="1" s="1"/>
  <c r="E13" i="1"/>
  <c r="L13" i="1" s="1"/>
  <c r="D13" i="1"/>
  <c r="K13" i="1" s="1"/>
  <c r="E12" i="1"/>
  <c r="L12" i="1" s="1"/>
  <c r="D12" i="1"/>
  <c r="K12" i="1" s="1"/>
  <c r="E11" i="1"/>
  <c r="L11" i="1" s="1"/>
  <c r="D11" i="1"/>
  <c r="K11" i="1" s="1"/>
  <c r="E10" i="1"/>
  <c r="L10" i="1" s="1"/>
  <c r="D10" i="1"/>
  <c r="K10" i="1" s="1"/>
  <c r="E8" i="1"/>
  <c r="L8" i="1" s="1"/>
  <c r="D8" i="1"/>
  <c r="K8" i="1" s="1"/>
  <c r="E7" i="1"/>
  <c r="L7" i="1" s="1"/>
  <c r="D7" i="1"/>
  <c r="K7" i="1" s="1"/>
  <c r="E6" i="1"/>
  <c r="L6" i="1" s="1"/>
  <c r="D6" i="1"/>
  <c r="K6" i="1" s="1"/>
  <c r="E5" i="1"/>
  <c r="E970" i="1" s="1"/>
  <c r="D5" i="1"/>
  <c r="D1132" i="2" l="1"/>
  <c r="E1132" i="2"/>
  <c r="D970" i="1"/>
  <c r="D103" i="13"/>
  <c r="K7" i="4"/>
  <c r="D364" i="4"/>
  <c r="L7" i="4"/>
  <c r="E364" i="4"/>
  <c r="L5" i="13"/>
  <c r="E103" i="13"/>
  <c r="D179" i="12"/>
  <c r="E147" i="8"/>
  <c r="D147" i="8"/>
  <c r="L7" i="3"/>
  <c r="E305" i="3"/>
  <c r="K7" i="3"/>
  <c r="D305" i="3"/>
  <c r="E81" i="10"/>
  <c r="E18" i="7"/>
  <c r="L21" i="1"/>
  <c r="L20" i="1"/>
  <c r="L11" i="3"/>
  <c r="L7" i="13"/>
  <c r="E50" i="5"/>
  <c r="L51" i="1"/>
  <c r="L9" i="13"/>
  <c r="L5" i="2"/>
  <c r="L16" i="1"/>
  <c r="L26" i="1"/>
  <c r="L35" i="1"/>
  <c r="L37" i="1"/>
  <c r="E63" i="6"/>
  <c r="L7" i="6"/>
  <c r="K5" i="9"/>
  <c r="L5" i="9"/>
  <c r="L5" i="7"/>
  <c r="L6" i="8"/>
  <c r="L8" i="3"/>
  <c r="L10" i="3"/>
  <c r="L18" i="3"/>
  <c r="E68" i="11"/>
  <c r="L8" i="12"/>
  <c r="K5" i="13"/>
  <c r="L46" i="1"/>
  <c r="K7" i="6"/>
  <c r="D63" i="6"/>
  <c r="K5" i="7"/>
  <c r="D18" i="7"/>
  <c r="K6" i="8"/>
  <c r="K5" i="10"/>
  <c r="D81" i="10"/>
  <c r="K5" i="11"/>
  <c r="D68" i="11"/>
  <c r="L5" i="11"/>
  <c r="K5" i="12"/>
  <c r="K9" i="12"/>
  <c r="L5" i="12"/>
  <c r="L9" i="4"/>
  <c r="L10" i="4"/>
  <c r="L12" i="4"/>
  <c r="L14" i="4"/>
  <c r="L18" i="4"/>
  <c r="L22" i="4"/>
  <c r="K5" i="3"/>
  <c r="L5" i="3"/>
  <c r="K5" i="4"/>
  <c r="L5" i="4"/>
  <c r="L55" i="1"/>
  <c r="K5" i="1"/>
  <c r="L5" i="1"/>
  <c r="L5" i="5"/>
  <c r="K5" i="5"/>
  <c r="L36" i="2"/>
  <c r="L39" i="2"/>
  <c r="L41" i="2"/>
  <c r="L42" i="2"/>
  <c r="L47" i="2"/>
  <c r="L49" i="2"/>
  <c r="L54" i="2"/>
  <c r="L5" i="10"/>
  <c r="L7" i="10"/>
  <c r="K5" i="2"/>
  <c r="L56" i="2"/>
  <c r="L7" i="2"/>
  <c r="L18" i="2"/>
  <c r="L20" i="2"/>
  <c r="L27" i="2"/>
  <c r="L14" i="2"/>
  <c r="L19" i="2"/>
  <c r="L22" i="2"/>
  <c r="L33" i="2"/>
  <c r="K50" i="1"/>
  <c r="L5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fabiolag</author>
  </authors>
  <commentList>
    <comment ref="F405" authorId="0" shapeId="0" xr:uid="{A720F753-46D1-47D0-92F4-3135A0AB66BC}">
      <text>
        <r>
          <rPr>
            <b/>
            <sz val="9"/>
            <color indexed="81"/>
            <rFont val="Tahoma"/>
            <family val="2"/>
          </rPr>
          <t>fabiolag:</t>
        </r>
        <r>
          <rPr>
            <sz val="9"/>
            <color indexed="81"/>
            <rFont val="Tahoma"/>
            <family val="2"/>
          </rPr>
          <t xml:space="preserve">
PACKING 01-SEP</t>
        </r>
      </text>
    </comment>
  </commentList>
</comment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<sst xmlns="http://schemas.openxmlformats.org/spreadsheetml/2006/main" count="10043" uniqueCount="7450">
  <si>
    <t>CONCILIATION DX9 BLACK CAPRI</t>
  </si>
  <si>
    <t>Paid by Magna</t>
  </si>
  <si>
    <t>Received at Pearl Mex</t>
  </si>
  <si>
    <t>Lot Finishing</t>
  </si>
  <si>
    <t>Invoice</t>
  </si>
  <si>
    <t xml:space="preserve">Hides </t>
  </si>
  <si>
    <t>Sqft</t>
  </si>
  <si>
    <t>Hides</t>
  </si>
  <si>
    <t xml:space="preserve">Lot Crust </t>
  </si>
  <si>
    <t>PL Johnstown</t>
  </si>
  <si>
    <t>SQFT</t>
  </si>
  <si>
    <t>ALG 8628</t>
  </si>
  <si>
    <t>K8628</t>
  </si>
  <si>
    <t>ALG 8629</t>
  </si>
  <si>
    <t>K8629</t>
  </si>
  <si>
    <t>ALG 8630</t>
  </si>
  <si>
    <t>K8630</t>
  </si>
  <si>
    <t>ALG 8631</t>
  </si>
  <si>
    <t>K8631</t>
  </si>
  <si>
    <t>ALG 8640</t>
  </si>
  <si>
    <t>K8640</t>
  </si>
  <si>
    <t>ALG 8641</t>
  </si>
  <si>
    <t>K8641</t>
  </si>
  <si>
    <t>ALG 8642</t>
  </si>
  <si>
    <t>K8642</t>
  </si>
  <si>
    <t>ALG 8648</t>
  </si>
  <si>
    <t>K8648</t>
  </si>
  <si>
    <t>ALG 8649</t>
  </si>
  <si>
    <t>K8649</t>
  </si>
  <si>
    <t>ALG 8650</t>
  </si>
  <si>
    <t>K8650</t>
  </si>
  <si>
    <t>ALG 8651</t>
  </si>
  <si>
    <t>K8651</t>
  </si>
  <si>
    <t>ALG 8652</t>
  </si>
  <si>
    <t>K8652</t>
  </si>
  <si>
    <t>ALG 8655</t>
  </si>
  <si>
    <t>K8655</t>
  </si>
  <si>
    <t>ALG 8656</t>
  </si>
  <si>
    <t>K8656</t>
  </si>
  <si>
    <t>ALG 8657</t>
  </si>
  <si>
    <t>K8657</t>
  </si>
  <si>
    <t>ALG 8659</t>
  </si>
  <si>
    <t>K8659</t>
  </si>
  <si>
    <t>ALG 8665</t>
  </si>
  <si>
    <t>K8665</t>
  </si>
  <si>
    <t>ALG 8666</t>
  </si>
  <si>
    <t>K8666</t>
  </si>
  <si>
    <t>ALG 8672</t>
  </si>
  <si>
    <t>K8672</t>
  </si>
  <si>
    <t>ALG 8673</t>
  </si>
  <si>
    <t>K8673</t>
  </si>
  <si>
    <t>ALG 8674</t>
  </si>
  <si>
    <t>K8674</t>
  </si>
  <si>
    <t>ALG 8680</t>
  </si>
  <si>
    <t>K8680</t>
  </si>
  <si>
    <t>ALG 8681</t>
  </si>
  <si>
    <t>K8681</t>
  </si>
  <si>
    <t>ALG 8682</t>
  </si>
  <si>
    <t>K8682</t>
  </si>
  <si>
    <t>ALG 8683</t>
  </si>
  <si>
    <t>K8683</t>
  </si>
  <si>
    <t>ALG 8684</t>
  </si>
  <si>
    <t>K8684</t>
  </si>
  <si>
    <t>ALG 8685</t>
  </si>
  <si>
    <t>K8685</t>
  </si>
  <si>
    <t>ALG 8693</t>
  </si>
  <si>
    <t>K8693</t>
  </si>
  <si>
    <t>ALG 8694</t>
  </si>
  <si>
    <t>K8694</t>
  </si>
  <si>
    <t>ALG 8695</t>
  </si>
  <si>
    <t>K8695</t>
  </si>
  <si>
    <t>ALG 8696</t>
  </si>
  <si>
    <t>K8696</t>
  </si>
  <si>
    <t>ALG 8701</t>
  </si>
  <si>
    <t>K8701</t>
  </si>
  <si>
    <t>ALG 8706</t>
  </si>
  <si>
    <t>K8706</t>
  </si>
  <si>
    <t>ALG 8715</t>
  </si>
  <si>
    <t>K8715</t>
  </si>
  <si>
    <t>ALG 8721</t>
  </si>
  <si>
    <t>K8721</t>
  </si>
  <si>
    <t>ALG 8722</t>
  </si>
  <si>
    <t>K8722</t>
  </si>
  <si>
    <t>ALG 8726</t>
  </si>
  <si>
    <t>K8726</t>
  </si>
  <si>
    <t>ALG 8727</t>
  </si>
  <si>
    <t>K8727</t>
  </si>
  <si>
    <t>ALG 8735</t>
  </si>
  <si>
    <t>K8735</t>
  </si>
  <si>
    <t>ALG 8736</t>
  </si>
  <si>
    <t>K8736</t>
  </si>
  <si>
    <t>DIFF IN HIDES</t>
  </si>
  <si>
    <t>SHRINKAGE</t>
  </si>
  <si>
    <t>CONCILIATION DX9 BLACK NAPPA</t>
  </si>
  <si>
    <t>ALG 8506</t>
  </si>
  <si>
    <t>K8506</t>
  </si>
  <si>
    <t>ALG 8552</t>
  </si>
  <si>
    <t>K8552</t>
  </si>
  <si>
    <t>ALG 8633</t>
  </si>
  <si>
    <t>K8633</t>
  </si>
  <si>
    <t>ALG 8634</t>
  </si>
  <si>
    <t>K8634</t>
  </si>
  <si>
    <t>ALG 8635</t>
  </si>
  <si>
    <t>K8635</t>
  </si>
  <si>
    <t>ALG 8638</t>
  </si>
  <si>
    <t>K8638</t>
  </si>
  <si>
    <t>ALG 8639</t>
  </si>
  <si>
    <t>K8639</t>
  </si>
  <si>
    <t>ALG 8643</t>
  </si>
  <si>
    <t>K8643</t>
  </si>
  <si>
    <t>ALG 8644</t>
  </si>
  <si>
    <t>K8644</t>
  </si>
  <si>
    <t>ALG 8645</t>
  </si>
  <si>
    <t>K8645</t>
  </si>
  <si>
    <t>ALG 8646</t>
  </si>
  <si>
    <t>K8646</t>
  </si>
  <si>
    <t>ALG 8653</t>
  </si>
  <si>
    <t>K8653</t>
  </si>
  <si>
    <t>ALG 8658</t>
  </si>
  <si>
    <t>K8658</t>
  </si>
  <si>
    <t>ALG 8661</t>
  </si>
  <si>
    <t>K8661</t>
  </si>
  <si>
    <t>ALG 8662</t>
  </si>
  <si>
    <t>K8662</t>
  </si>
  <si>
    <t>ALG 8669</t>
  </si>
  <si>
    <t>K8669</t>
  </si>
  <si>
    <t>ALG 8670</t>
  </si>
  <si>
    <t>K8670</t>
  </si>
  <si>
    <t>ALG 8671</t>
  </si>
  <si>
    <t>K8671</t>
  </si>
  <si>
    <t>ALG 8675</t>
  </si>
  <si>
    <t>K8675</t>
  </si>
  <si>
    <t>ALG 8678</t>
  </si>
  <si>
    <t>K8678</t>
  </si>
  <si>
    <t>ALG 8679</t>
  </si>
  <si>
    <t>K8679</t>
  </si>
  <si>
    <t>ALG 8686</t>
  </si>
  <si>
    <t>K8686</t>
  </si>
  <si>
    <t>ALG 8687</t>
  </si>
  <si>
    <t>K8687</t>
  </si>
  <si>
    <t>ALG 8688</t>
  </si>
  <si>
    <t>K8688</t>
  </si>
  <si>
    <t>ALG 8689</t>
  </si>
  <si>
    <t>K8689</t>
  </si>
  <si>
    <t>ALG 8690</t>
  </si>
  <si>
    <t>K8690</t>
  </si>
  <si>
    <t>ALG 8692</t>
  </si>
  <si>
    <t>K8692</t>
  </si>
  <si>
    <t>ALG 8697</t>
  </si>
  <si>
    <t>K8697</t>
  </si>
  <si>
    <t>ALG 8698</t>
  </si>
  <si>
    <t>K8698</t>
  </si>
  <si>
    <t>ALG 8699</t>
  </si>
  <si>
    <t>K8699</t>
  </si>
  <si>
    <t>ALG 8702</t>
  </si>
  <si>
    <t>K8702</t>
  </si>
  <si>
    <t>ALG 8703</t>
  </si>
  <si>
    <t>K8703</t>
  </si>
  <si>
    <t>ALG 8704</t>
  </si>
  <si>
    <t>K8704</t>
  </si>
  <si>
    <t>ALG 8708</t>
  </si>
  <si>
    <t>K8708</t>
  </si>
  <si>
    <t>ALG 8709</t>
  </si>
  <si>
    <t>K8709</t>
  </si>
  <si>
    <t>ALG 8710</t>
  </si>
  <si>
    <t>K8710</t>
  </si>
  <si>
    <t>ALG 8714</t>
  </si>
  <si>
    <t>K8714</t>
  </si>
  <si>
    <t>ALG 8717</t>
  </si>
  <si>
    <t>K8717</t>
  </si>
  <si>
    <t>ALG 8718</t>
  </si>
  <si>
    <t>K8718</t>
  </si>
  <si>
    <t>ALG 8719</t>
  </si>
  <si>
    <t>K8719</t>
  </si>
  <si>
    <t>ALG 8729</t>
  </si>
  <si>
    <t>K8729</t>
  </si>
  <si>
    <t>ALG 8733</t>
  </si>
  <si>
    <t>K8733</t>
  </si>
  <si>
    <t>ALG 8734</t>
  </si>
  <si>
    <t>K8734</t>
  </si>
  <si>
    <t>CONCILIATION HL1 FROST BEIGE CAPRI</t>
  </si>
  <si>
    <t>ALG 8608</t>
  </si>
  <si>
    <t>K8608</t>
  </si>
  <si>
    <t>ALG 8615</t>
  </si>
  <si>
    <t>K8615</t>
  </si>
  <si>
    <t>ALG 8632</t>
  </si>
  <si>
    <t>K8632</t>
  </si>
  <si>
    <t>ALG 8654</t>
  </si>
  <si>
    <t>k8654</t>
  </si>
  <si>
    <t>ALG 8660</t>
  </si>
  <si>
    <t>K8660</t>
  </si>
  <si>
    <t>ALG 8667</t>
  </si>
  <si>
    <t>K8667</t>
  </si>
  <si>
    <t>ALG 8668</t>
  </si>
  <si>
    <t>K8668</t>
  </si>
  <si>
    <t>ALG 8707</t>
  </si>
  <si>
    <t>K8707</t>
  </si>
  <si>
    <t>ALG 8716</t>
  </si>
  <si>
    <t>K8716</t>
  </si>
  <si>
    <t>ALG 8723</t>
  </si>
  <si>
    <t>K8723</t>
  </si>
  <si>
    <t>ALG 8728</t>
  </si>
  <si>
    <t>K8728</t>
  </si>
  <si>
    <t>CONCILIATION HL1 FROST BEIGE NAPPA</t>
  </si>
  <si>
    <t>ALG 8618</t>
  </si>
  <si>
    <t>K8618</t>
  </si>
  <si>
    <t>ALG 8627</t>
  </si>
  <si>
    <t>K8627</t>
  </si>
  <si>
    <t>ALG 8636</t>
  </si>
  <si>
    <t>K8636</t>
  </si>
  <si>
    <t>ALG 8647</t>
  </si>
  <si>
    <t>K8647</t>
  </si>
  <si>
    <t>ALG 8663</t>
  </si>
  <si>
    <t>K8663</t>
  </si>
  <si>
    <t>ALG 8664</t>
  </si>
  <si>
    <t>K8664</t>
  </si>
  <si>
    <t>ALG 8676</t>
  </si>
  <si>
    <t>K8676</t>
  </si>
  <si>
    <t>ALG 8691</t>
  </si>
  <si>
    <t>K8691</t>
  </si>
  <si>
    <t>ALG 8705</t>
  </si>
  <si>
    <t>K8705</t>
  </si>
  <si>
    <t>ALG 8711</t>
  </si>
  <si>
    <t>K8711</t>
  </si>
  <si>
    <t>ALG 8712</t>
  </si>
  <si>
    <t>K8712</t>
  </si>
  <si>
    <t>ALG 8724</t>
  </si>
  <si>
    <t>K8724</t>
  </si>
  <si>
    <t>ALG 8731</t>
  </si>
  <si>
    <t>K8731</t>
  </si>
  <si>
    <t>CONCILIATION LC5 JEEP INDIGO NAPPA</t>
  </si>
  <si>
    <t>ALG 8543</t>
  </si>
  <si>
    <t>K8543</t>
  </si>
  <si>
    <t>ALG 8582</t>
  </si>
  <si>
    <t>K8582</t>
  </si>
  <si>
    <t>ALG 8637</t>
  </si>
  <si>
    <t>K8637</t>
  </si>
  <si>
    <t>ALG 8677</t>
  </si>
  <si>
    <t>K8677</t>
  </si>
  <si>
    <t>ALG 8700</t>
  </si>
  <si>
    <t>K8700</t>
  </si>
  <si>
    <t>CONCILIATION LU5 JEEP BROWN NAPPA</t>
  </si>
  <si>
    <t>ALG 8611</t>
  </si>
  <si>
    <t>K8611</t>
  </si>
  <si>
    <t>ALG 8725</t>
  </si>
  <si>
    <t>K8725</t>
  </si>
  <si>
    <t>CONCILIATION 2N4 MD DK FLINT</t>
  </si>
  <si>
    <t>ALG 1711</t>
  </si>
  <si>
    <t>K1711</t>
  </si>
  <si>
    <t>ALG 1729</t>
  </si>
  <si>
    <t>K1729</t>
  </si>
  <si>
    <t>ALG 1732</t>
  </si>
  <si>
    <t>K1732</t>
  </si>
  <si>
    <t>CONCILIACION SEL 5B8 MILLED PEEBLE</t>
  </si>
  <si>
    <t>SQFT Finishing</t>
  </si>
  <si>
    <t>ALG 1645</t>
  </si>
  <si>
    <t>K1645</t>
  </si>
  <si>
    <t>ALG 1650</t>
  </si>
  <si>
    <t>K1650</t>
  </si>
  <si>
    <t>ALG 1666</t>
  </si>
  <si>
    <t>K1666</t>
  </si>
  <si>
    <t>ALG 1730</t>
  </si>
  <si>
    <t>K1730</t>
  </si>
  <si>
    <t>ALG 1731</t>
  </si>
  <si>
    <t>K1731</t>
  </si>
  <si>
    <t>CONCILIATION DN3 DUNE MILLED PEBBLE</t>
  </si>
  <si>
    <t>ALG 1710</t>
  </si>
  <si>
    <t>K1710</t>
  </si>
  <si>
    <t>ALG 1725</t>
  </si>
  <si>
    <t>K1725</t>
  </si>
  <si>
    <t>Paid by Lear</t>
  </si>
  <si>
    <t>ALG 5743</t>
  </si>
  <si>
    <t>K5743</t>
  </si>
  <si>
    <t>ALG 5757</t>
  </si>
  <si>
    <t>K5757</t>
  </si>
  <si>
    <t>ALG 5768</t>
  </si>
  <si>
    <t>K5768</t>
  </si>
  <si>
    <t>CONCILIACION SEL DN3 DUNE MILLED PEEBLE</t>
  </si>
  <si>
    <t>ALG 5753</t>
  </si>
  <si>
    <t>K5753</t>
  </si>
  <si>
    <t>ALG 5758</t>
  </si>
  <si>
    <t>K5758</t>
  </si>
  <si>
    <t>ALG 5769</t>
  </si>
  <si>
    <t>K5769</t>
  </si>
  <si>
    <t>ALG 5755</t>
  </si>
  <si>
    <t>K5755</t>
  </si>
  <si>
    <t>ALG 5759</t>
  </si>
  <si>
    <t>K5759</t>
  </si>
  <si>
    <t>ALG 5760</t>
  </si>
  <si>
    <t>K5760</t>
  </si>
  <si>
    <t>ALG 5761</t>
  </si>
  <si>
    <t>K5761</t>
  </si>
  <si>
    <t>ALG 5763</t>
  </si>
  <si>
    <t>K5763</t>
  </si>
  <si>
    <t>ALG 5765</t>
  </si>
  <si>
    <t>K5765</t>
  </si>
  <si>
    <t>ALG 5766</t>
  </si>
  <si>
    <t>K5766</t>
  </si>
  <si>
    <t>ALG 5770</t>
  </si>
  <si>
    <t>K5770</t>
  </si>
  <si>
    <t>ALG 5771</t>
  </si>
  <si>
    <t>K5771</t>
  </si>
  <si>
    <t>CONCILIACION 5B8 SOHO</t>
  </si>
  <si>
    <t>CONCILIACION DN3 DUNE SOHO</t>
  </si>
  <si>
    <t>ALG 5745</t>
  </si>
  <si>
    <t>K5745</t>
  </si>
  <si>
    <t>ALG 5751</t>
  </si>
  <si>
    <t>K5751</t>
  </si>
  <si>
    <t>ALG 5752</t>
  </si>
  <si>
    <t>K5752</t>
  </si>
  <si>
    <t>ALG 5754</t>
  </si>
  <si>
    <t>K5754</t>
  </si>
  <si>
    <t>k5754</t>
  </si>
  <si>
    <t>ALG 5756</t>
  </si>
  <si>
    <t>K5756</t>
  </si>
  <si>
    <t>ALG 5762</t>
  </si>
  <si>
    <t>K5762</t>
  </si>
  <si>
    <t>K8737</t>
  </si>
  <si>
    <t>ALG 8742</t>
  </si>
  <si>
    <t>K8742</t>
  </si>
  <si>
    <t>ALG 8744</t>
  </si>
  <si>
    <t>K8744</t>
  </si>
  <si>
    <t>ALG 8749</t>
  </si>
  <si>
    <t>K8749</t>
  </si>
  <si>
    <t>ALG 8750</t>
  </si>
  <si>
    <t>K8750</t>
  </si>
  <si>
    <t>ALG 8730</t>
  </si>
  <si>
    <t>K8730</t>
  </si>
  <si>
    <t>ALG 8738</t>
  </si>
  <si>
    <t>K8738</t>
  </si>
  <si>
    <t>ALG 8739</t>
  </si>
  <si>
    <t>K8739</t>
  </si>
  <si>
    <t>ALG 8740</t>
  </si>
  <si>
    <t>K8740</t>
  </si>
  <si>
    <t>ALG 8743</t>
  </si>
  <si>
    <t>K8743</t>
  </si>
  <si>
    <t>ALG 8747</t>
  </si>
  <si>
    <t>K8747</t>
  </si>
  <si>
    <t>ALG 8748</t>
  </si>
  <si>
    <t>K8748</t>
  </si>
  <si>
    <t>ALG 8752</t>
  </si>
  <si>
    <t>K8752</t>
  </si>
  <si>
    <t>ALG 8753</t>
  </si>
  <si>
    <t>K8753</t>
  </si>
  <si>
    <t>ALG 8757</t>
  </si>
  <si>
    <t>K8757</t>
  </si>
  <si>
    <t>K8746</t>
  </si>
  <si>
    <t>ALG 8583</t>
  </si>
  <si>
    <t>K8583</t>
  </si>
  <si>
    <t>ALG 8737</t>
  </si>
  <si>
    <t>ALG 8745</t>
  </si>
  <si>
    <t>K8745</t>
  </si>
  <si>
    <t>ALG 8746</t>
  </si>
  <si>
    <t>ALG 8741</t>
  </si>
  <si>
    <t>K8741</t>
  </si>
  <si>
    <t>ALG 8754</t>
  </si>
  <si>
    <t>K8754</t>
  </si>
  <si>
    <t>ALG 8347</t>
  </si>
  <si>
    <t>K8347</t>
  </si>
  <si>
    <t>ALG 8768</t>
  </si>
  <si>
    <t>K8768</t>
  </si>
  <si>
    <t>ALG 8713</t>
  </si>
  <si>
    <t>K8713</t>
  </si>
  <si>
    <t>ALG 8720</t>
  </si>
  <si>
    <t>K8720</t>
  </si>
  <si>
    <t>ALG 8732</t>
  </si>
  <si>
    <t>K8732</t>
  </si>
  <si>
    <t>ALG 8759</t>
  </si>
  <si>
    <t>K8759</t>
  </si>
  <si>
    <t>ALG 1733</t>
  </si>
  <si>
    <t>K1733</t>
  </si>
  <si>
    <t>ALG 1734</t>
  </si>
  <si>
    <t>K1734</t>
  </si>
  <si>
    <t>ALG 1736</t>
  </si>
  <si>
    <t>K1736</t>
  </si>
  <si>
    <t>ALG 1735</t>
  </si>
  <si>
    <t>K1735</t>
  </si>
  <si>
    <t>ALG 5774</t>
  </si>
  <si>
    <t>K5774</t>
  </si>
  <si>
    <t>ALG 5778</t>
  </si>
  <si>
    <t>K5778</t>
  </si>
  <si>
    <t>ALG 5780</t>
  </si>
  <si>
    <t>K5780</t>
  </si>
  <si>
    <t>ALG 5773</t>
  </si>
  <si>
    <t>K5773</t>
  </si>
  <si>
    <t>ALG 5775</t>
  </si>
  <si>
    <t>K5775</t>
  </si>
  <si>
    <t>ALG 5776</t>
  </si>
  <si>
    <t>K5776</t>
  </si>
  <si>
    <t>ALG 5779</t>
  </si>
  <si>
    <t>K5779</t>
  </si>
  <si>
    <t>ALG 5783</t>
  </si>
  <si>
    <t>K5783</t>
  </si>
  <si>
    <t>ALG 5764</t>
  </si>
  <si>
    <t>K5764</t>
  </si>
  <si>
    <t>ALG 5767</t>
  </si>
  <si>
    <t>K5767</t>
  </si>
  <si>
    <t>ALG 5772</t>
  </si>
  <si>
    <t>K5772</t>
  </si>
  <si>
    <t>ALG 8755</t>
  </si>
  <si>
    <t>ALG 8765</t>
  </si>
  <si>
    <t>ALG 8774</t>
  </si>
  <si>
    <t>ALG 8775</t>
  </si>
  <si>
    <t>ALG 8779</t>
  </si>
  <si>
    <t>ALG 8781</t>
  </si>
  <si>
    <t>ALG 8789</t>
  </si>
  <si>
    <t>K8755</t>
  </si>
  <si>
    <t>K8765</t>
  </si>
  <si>
    <t>K8774</t>
  </si>
  <si>
    <t>K8775</t>
  </si>
  <si>
    <t>K8779</t>
  </si>
  <si>
    <t>K8781</t>
  </si>
  <si>
    <t>K8789</t>
  </si>
  <si>
    <t>ALG 8795</t>
  </si>
  <si>
    <t>K8795</t>
  </si>
  <si>
    <t>K8758</t>
  </si>
  <si>
    <t>ALG 8758</t>
  </si>
  <si>
    <t>ALG 8761</t>
  </si>
  <si>
    <t>ALG 8763</t>
  </si>
  <si>
    <t>ALG 8766</t>
  </si>
  <si>
    <t>ALG 8769</t>
  </si>
  <si>
    <t>ALG 8770</t>
  </si>
  <si>
    <t>ALG 8772</t>
  </si>
  <si>
    <t>ALG 8777</t>
  </si>
  <si>
    <t>ALG 8778</t>
  </si>
  <si>
    <t>ALG 8785</t>
  </si>
  <si>
    <t>K8761</t>
  </si>
  <si>
    <t>K8763</t>
  </si>
  <si>
    <t>K8766</t>
  </si>
  <si>
    <t>K8769</t>
  </si>
  <si>
    <t>K8770</t>
  </si>
  <si>
    <t>K8772</t>
  </si>
  <si>
    <t>K8777</t>
  </si>
  <si>
    <t>K8778</t>
  </si>
  <si>
    <t>K8785</t>
  </si>
  <si>
    <t>k8746</t>
  </si>
  <si>
    <t>ALG 8751</t>
  </si>
  <si>
    <t>ALG 8756</t>
  </si>
  <si>
    <t>ALG 8762</t>
  </si>
  <si>
    <t>ALG 8776</t>
  </si>
  <si>
    <t>K8751</t>
  </si>
  <si>
    <t>K8756</t>
  </si>
  <si>
    <t>K8762</t>
  </si>
  <si>
    <t>K8776</t>
  </si>
  <si>
    <t>k8754</t>
  </si>
  <si>
    <t>ALG 8764</t>
  </si>
  <si>
    <t>K8764</t>
  </si>
  <si>
    <t>ALG 8780</t>
  </si>
  <si>
    <t>K8780</t>
  </si>
  <si>
    <t>ALG 8767</t>
  </si>
  <si>
    <t>K8767</t>
  </si>
  <si>
    <t>ALG 8787</t>
  </si>
  <si>
    <t>K8787</t>
  </si>
  <si>
    <t>ALG 8788</t>
  </si>
  <si>
    <t>K8788</t>
  </si>
  <si>
    <t>ALG 1740</t>
  </si>
  <si>
    <t>K1740</t>
  </si>
  <si>
    <t>ALG 1737</t>
  </si>
  <si>
    <t>K1737</t>
  </si>
  <si>
    <t>ALG 5782</t>
  </si>
  <si>
    <t>K5782</t>
  </si>
  <si>
    <t>ALG 5786</t>
  </si>
  <si>
    <t>K5786</t>
  </si>
  <si>
    <t>ALG 5792</t>
  </si>
  <si>
    <t>K5792</t>
  </si>
  <si>
    <t>ALG 5784</t>
  </si>
  <si>
    <t>K5784</t>
  </si>
  <si>
    <t>ALG 5788</t>
  </si>
  <si>
    <t>K5788</t>
  </si>
  <si>
    <t>ALG 5790</t>
  </si>
  <si>
    <t>K5790</t>
  </si>
  <si>
    <t>ALG 5793</t>
  </si>
  <si>
    <t>K5793</t>
  </si>
  <si>
    <t>ALG 5777</t>
  </si>
  <si>
    <t>K5777</t>
  </si>
  <si>
    <t>ALG 5781</t>
  </si>
  <si>
    <t>K5781</t>
  </si>
  <si>
    <t>ALG 5785</t>
  </si>
  <si>
    <t>K5785</t>
  </si>
  <si>
    <t>ALG 5789</t>
  </si>
  <si>
    <t>K5789</t>
  </si>
  <si>
    <t>K8794</t>
  </si>
  <si>
    <t>ALG 8794</t>
  </si>
  <si>
    <t>ALG 8793</t>
  </si>
  <si>
    <t>K8793</t>
  </si>
  <si>
    <t>ALG 8801</t>
  </si>
  <si>
    <t>ALG 8804</t>
  </si>
  <si>
    <t>ALG 8805</t>
  </si>
  <si>
    <t>ALG 8816</t>
  </si>
  <si>
    <t>K8801</t>
  </si>
  <si>
    <t>K8804</t>
  </si>
  <si>
    <t>K8805</t>
  </si>
  <si>
    <t>K8816</t>
  </si>
  <si>
    <t>ALG 8786</t>
  </si>
  <si>
    <t>ALG 8790</t>
  </si>
  <si>
    <t>ALG 8791</t>
  </si>
  <si>
    <t>ALG 8798</t>
  </si>
  <si>
    <t>ALG 8800</t>
  </si>
  <si>
    <t>ALG 8802</t>
  </si>
  <si>
    <t>ALG 8809</t>
  </si>
  <si>
    <t>ALG 8810</t>
  </si>
  <si>
    <t>K8786</t>
  </si>
  <si>
    <t>K8790</t>
  </si>
  <si>
    <t>K8791</t>
  </si>
  <si>
    <t>K8798</t>
  </si>
  <si>
    <t>K8800</t>
  </si>
  <si>
    <t>K8802</t>
  </si>
  <si>
    <t>K8809</t>
  </si>
  <si>
    <t>K8810</t>
  </si>
  <si>
    <t>ALG 8773</t>
  </si>
  <si>
    <t>K8773</t>
  </si>
  <si>
    <t>ALG 8796</t>
  </si>
  <si>
    <t>K8796</t>
  </si>
  <si>
    <t>ALG 8797</t>
  </si>
  <si>
    <t>K8797</t>
  </si>
  <si>
    <t>ALG 8808</t>
  </si>
  <si>
    <t>K8808</t>
  </si>
  <si>
    <t>ALG 8792</t>
  </si>
  <si>
    <t>K8792</t>
  </si>
  <si>
    <t>ALG 8799</t>
  </si>
  <si>
    <t>K8799</t>
  </si>
  <si>
    <t>ALG 8813</t>
  </si>
  <si>
    <t>K8813</t>
  </si>
  <si>
    <t>ALG 8823</t>
  </si>
  <si>
    <t>K8823</t>
  </si>
  <si>
    <t>ALG 8771</t>
  </si>
  <si>
    <t>K8771</t>
  </si>
  <si>
    <t>ALG 8803</t>
  </si>
  <si>
    <t>K8803</t>
  </si>
  <si>
    <t>ALG 8814</t>
  </si>
  <si>
    <t>K8814</t>
  </si>
  <si>
    <t>ALG 8812</t>
  </si>
  <si>
    <t>ALG 8833</t>
  </si>
  <si>
    <t>K8812</t>
  </si>
  <si>
    <t>K8833</t>
  </si>
  <si>
    <t>ALG 1742</t>
  </si>
  <si>
    <t>K1742</t>
  </si>
  <si>
    <t>ALG 1743</t>
  </si>
  <si>
    <t>K1743</t>
  </si>
  <si>
    <t>ALG 1738</t>
  </si>
  <si>
    <t>K1738</t>
  </si>
  <si>
    <t>ALG 1741</t>
  </si>
  <si>
    <t>K1741</t>
  </si>
  <si>
    <t>ALG 5787</t>
  </si>
  <si>
    <t>K5787</t>
  </si>
  <si>
    <t>K5797</t>
  </si>
  <si>
    <t>ALG 5797</t>
  </si>
  <si>
    <t>ALG 5798</t>
  </si>
  <si>
    <t>K5798</t>
  </si>
  <si>
    <t>ALG 5794</t>
  </si>
  <si>
    <t>ALG 5796</t>
  </si>
  <si>
    <t>ALG 5799</t>
  </si>
  <si>
    <t>K5794</t>
  </si>
  <si>
    <t>K5796</t>
  </si>
  <si>
    <t>K5799</t>
  </si>
  <si>
    <t>ALG 5791</t>
  </si>
  <si>
    <t>ALG 5795</t>
  </si>
  <si>
    <t>K5791</t>
  </si>
  <si>
    <t>K5795</t>
  </si>
  <si>
    <t>ALG 8806</t>
  </si>
  <si>
    <t>K8806</t>
  </si>
  <si>
    <t>ALG 8807</t>
  </si>
  <si>
    <t>K8807</t>
  </si>
  <si>
    <t>ALG 8817</t>
  </si>
  <si>
    <t>K8817</t>
  </si>
  <si>
    <t>ALG 1728</t>
  </si>
  <si>
    <t>K1728</t>
  </si>
  <si>
    <t>ALG 8818</t>
  </si>
  <si>
    <t>K8818</t>
  </si>
  <si>
    <t>ALG 8819</t>
  </si>
  <si>
    <t>K8819</t>
  </si>
  <si>
    <t>ALG 8825</t>
  </si>
  <si>
    <t>K8825</t>
  </si>
  <si>
    <t>ALG 8826</t>
  </si>
  <si>
    <t>K8826</t>
  </si>
  <si>
    <t>ALG 8834</t>
  </si>
  <si>
    <t>K8834</t>
  </si>
  <si>
    <t>ALG 8835</t>
  </si>
  <si>
    <t>K8835</t>
  </si>
  <si>
    <t>ALG 8836</t>
  </si>
  <si>
    <t>K8836</t>
  </si>
  <si>
    <t>ALG 8842</t>
  </si>
  <si>
    <t>K8842</t>
  </si>
  <si>
    <t>ALG 8843</t>
  </si>
  <si>
    <t>K8843</t>
  </si>
  <si>
    <t>ALG 8844</t>
  </si>
  <si>
    <t>K8844</t>
  </si>
  <si>
    <t>ALG 8849</t>
  </si>
  <si>
    <t>K8849</t>
  </si>
  <si>
    <t>ALG 8851</t>
  </si>
  <si>
    <t>K8851</t>
  </si>
  <si>
    <t>ALG 8856</t>
  </si>
  <si>
    <t>K8856</t>
  </si>
  <si>
    <t>ALG 8811</t>
  </si>
  <si>
    <t>K8811</t>
  </si>
  <si>
    <t>ALG  8815</t>
  </si>
  <si>
    <t>K8815</t>
  </si>
  <si>
    <t>ALG 8820</t>
  </si>
  <si>
    <t>K8820</t>
  </si>
  <si>
    <t>ALG 8821</t>
  </si>
  <si>
    <t>K8821</t>
  </si>
  <si>
    <t>ALG 8822</t>
  </si>
  <si>
    <t>K8822</t>
  </si>
  <si>
    <t>ALG 8828</t>
  </si>
  <si>
    <t>K8828</t>
  </si>
  <si>
    <t>ALG 8829</t>
  </si>
  <si>
    <t>K8829</t>
  </si>
  <si>
    <t>ALG 8838</t>
  </si>
  <si>
    <t>K8838</t>
  </si>
  <si>
    <t>ALG 8839</t>
  </si>
  <si>
    <t>K8839</t>
  </si>
  <si>
    <t>ALG 8840</t>
  </si>
  <si>
    <t>K8840</t>
  </si>
  <si>
    <t>ALG 8846</t>
  </si>
  <si>
    <t>K8846</t>
  </si>
  <si>
    <t>ALG 8847</t>
  </si>
  <si>
    <t>K8847</t>
  </si>
  <si>
    <t>ALG 8848</t>
  </si>
  <si>
    <t>K8848</t>
  </si>
  <si>
    <t>ALG 8850</t>
  </si>
  <si>
    <t>K8850</t>
  </si>
  <si>
    <t>ALG 8853</t>
  </si>
  <si>
    <t>K8853</t>
  </si>
  <si>
    <t>ALG 8859</t>
  </si>
  <si>
    <t>K8859</t>
  </si>
  <si>
    <t>K8827</t>
  </si>
  <si>
    <t>ALG 8827</t>
  </si>
  <si>
    <t>ALG 8830</t>
  </si>
  <si>
    <t>K8830</t>
  </si>
  <si>
    <t>ALG 8831</t>
  </si>
  <si>
    <t>K8831</t>
  </si>
  <si>
    <t>ALG 8855</t>
  </si>
  <si>
    <t>K8855</t>
  </si>
  <si>
    <t>ALG 8824</t>
  </si>
  <si>
    <t>K8824</t>
  </si>
  <si>
    <t>ALG 8832</t>
  </si>
  <si>
    <t>K8832</t>
  </si>
  <si>
    <t>ALG 1744</t>
  </si>
  <si>
    <t>K1744</t>
  </si>
  <si>
    <t>ALG 1748</t>
  </si>
  <si>
    <t>K1748</t>
  </si>
  <si>
    <t>ALG 1745</t>
  </si>
  <si>
    <t>K1745</t>
  </si>
  <si>
    <t>ALG 1746</t>
  </si>
  <si>
    <t>K1746</t>
  </si>
  <si>
    <t>ALG 1749</t>
  </si>
  <si>
    <t>K1749</t>
  </si>
  <si>
    <t>ALG 1752</t>
  </si>
  <si>
    <t>K1752</t>
  </si>
  <si>
    <t>K5800</t>
  </si>
  <si>
    <t>ALG 5800</t>
  </si>
  <si>
    <t>ALG 5802</t>
  </si>
  <si>
    <t>K5802</t>
  </si>
  <si>
    <t>ALG 5807</t>
  </si>
  <si>
    <t>K5807</t>
  </si>
  <si>
    <t>ALG 5810</t>
  </si>
  <si>
    <t>K5810</t>
  </si>
  <si>
    <t>ALG 5804</t>
  </si>
  <si>
    <t>K5804</t>
  </si>
  <si>
    <t>ALG 8857</t>
  </si>
  <si>
    <t>K8857</t>
  </si>
  <si>
    <t>ALG 8863</t>
  </si>
  <si>
    <t>K8863</t>
  </si>
  <si>
    <t>ALG 8864</t>
  </si>
  <si>
    <t>K8864</t>
  </si>
  <si>
    <t>ALG 8870</t>
  </si>
  <si>
    <t>K8870</t>
  </si>
  <si>
    <t>ALG 8871</t>
  </si>
  <si>
    <t>K8871</t>
  </si>
  <si>
    <t>ALG 8873</t>
  </si>
  <si>
    <t>K8873</t>
  </si>
  <si>
    <t>ALG 8874</t>
  </si>
  <si>
    <t>K8874</t>
  </si>
  <si>
    <t>ALG 8875</t>
  </si>
  <si>
    <t>K8875</t>
  </si>
  <si>
    <t>ALG 8877</t>
  </si>
  <si>
    <t>K8877</t>
  </si>
  <si>
    <t>ALG 8881</t>
  </si>
  <si>
    <t>K8881</t>
  </si>
  <si>
    <t>ALG 8860</t>
  </si>
  <si>
    <t>K8860</t>
  </si>
  <si>
    <t>ALG 8866</t>
  </si>
  <si>
    <t>K8866</t>
  </si>
  <si>
    <t>ALG  8867</t>
  </si>
  <si>
    <t>K8867</t>
  </si>
  <si>
    <t>ALG 8861</t>
  </si>
  <si>
    <t>K8861</t>
  </si>
  <si>
    <t>ALG 8837</t>
  </si>
  <si>
    <t>K8837</t>
  </si>
  <si>
    <t>ALG 8845</t>
  </si>
  <si>
    <t>K8845</t>
  </si>
  <si>
    <t>ALG 8852</t>
  </si>
  <si>
    <t>K8852</t>
  </si>
  <si>
    <t>ALG 8858</t>
  </si>
  <si>
    <t>K8858</t>
  </si>
  <si>
    <t>ALG 8868</t>
  </si>
  <si>
    <t>K8868</t>
  </si>
  <si>
    <t>ALG 8880</t>
  </si>
  <si>
    <t>K8880</t>
  </si>
  <si>
    <t>ALG 8854</t>
  </si>
  <si>
    <t>K8854</t>
  </si>
  <si>
    <t>ALG 8869</t>
  </si>
  <si>
    <t>K8869</t>
  </si>
  <si>
    <t>ALG 1750</t>
  </si>
  <si>
    <t>K1750</t>
  </si>
  <si>
    <t>ALG 1751</t>
  </si>
  <si>
    <t>K1751</t>
  </si>
  <si>
    <t>ALG 1753</t>
  </si>
  <si>
    <t>K1753</t>
  </si>
  <si>
    <t>ALG 1747</t>
  </si>
  <si>
    <t>K1747</t>
  </si>
  <si>
    <t>ALG 5803</t>
  </si>
  <si>
    <t>K5803</t>
  </si>
  <si>
    <t>ALG 5806</t>
  </si>
  <si>
    <t>K5806</t>
  </si>
  <si>
    <t>ALG 5801</t>
  </si>
  <si>
    <t>K5801</t>
  </si>
  <si>
    <t>ALG 5805</t>
  </si>
  <si>
    <t>ALG 5808</t>
  </si>
  <si>
    <t>K5805</t>
  </si>
  <si>
    <t>K5808</t>
  </si>
  <si>
    <t>ALG 8882</t>
  </si>
  <si>
    <t>K8882</t>
  </si>
  <si>
    <t>ALG 8888</t>
  </si>
  <si>
    <t>K8888</t>
  </si>
  <si>
    <t>ALG 8894</t>
  </si>
  <si>
    <t>K8894</t>
  </si>
  <si>
    <t>88941, 88942</t>
  </si>
  <si>
    <t>ALG 8903</t>
  </si>
  <si>
    <t>K8903</t>
  </si>
  <si>
    <t>K8878</t>
  </si>
  <si>
    <t>ALG 8878</t>
  </si>
  <si>
    <t>ALG 8876</t>
  </si>
  <si>
    <t>K8876</t>
  </si>
  <si>
    <t>ALG 8879</t>
  </si>
  <si>
    <t>K8879</t>
  </si>
  <si>
    <t>ALG 8884</t>
  </si>
  <si>
    <t>K8884</t>
  </si>
  <si>
    <t>ALG 8885</t>
  </si>
  <si>
    <t>K8885</t>
  </si>
  <si>
    <t>ALG 8886</t>
  </si>
  <si>
    <t>K8886</t>
  </si>
  <si>
    <t>ALG 8891</t>
  </si>
  <si>
    <t>K8891</t>
  </si>
  <si>
    <t>ALG 8898</t>
  </si>
  <si>
    <t>K8898</t>
  </si>
  <si>
    <t>88981-88982</t>
  </si>
  <si>
    <t>ALG 8865</t>
  </si>
  <si>
    <t>K8865</t>
  </si>
  <si>
    <t>ALG 8883</t>
  </si>
  <si>
    <t>K8883</t>
  </si>
  <si>
    <t>ALG 8889</t>
  </si>
  <si>
    <t>K8889</t>
  </si>
  <si>
    <t>ALG 8890</t>
  </si>
  <si>
    <t>K8890</t>
  </si>
  <si>
    <t>ALG 8887</t>
  </si>
  <si>
    <t>K8887</t>
  </si>
  <si>
    <t>ALG 8892</t>
  </si>
  <si>
    <t>K8892</t>
  </si>
  <si>
    <t>ALG 8899</t>
  </si>
  <si>
    <t>K8899</t>
  </si>
  <si>
    <t>ALG 8900</t>
  </si>
  <si>
    <t>K8900</t>
  </si>
  <si>
    <t>ALG 8901</t>
  </si>
  <si>
    <t>K8901</t>
  </si>
  <si>
    <t>ALG 8911</t>
  </si>
  <si>
    <t>K8911</t>
  </si>
  <si>
    <t>ALG 8841</t>
  </si>
  <si>
    <t>K8841</t>
  </si>
  <si>
    <t>ALG 5814</t>
  </si>
  <si>
    <t>K5814</t>
  </si>
  <si>
    <t>ALG 5818</t>
  </si>
  <si>
    <t>K5818</t>
  </si>
  <si>
    <t>ALG 5809</t>
  </si>
  <si>
    <t>K5809</t>
  </si>
  <si>
    <t>ALG 5813</t>
  </si>
  <si>
    <t>K5813</t>
  </si>
  <si>
    <t>ALG 5815</t>
  </si>
  <si>
    <t>K5815</t>
  </si>
  <si>
    <t>ALG 8904</t>
  </si>
  <si>
    <t>K8904</t>
  </si>
  <si>
    <t>ALG 8912</t>
  </si>
  <si>
    <t>K8912</t>
  </si>
  <si>
    <t>ALG 8920</t>
  </si>
  <si>
    <t>K8920</t>
  </si>
  <si>
    <t>ALG 8923</t>
  </si>
  <si>
    <t>K8923</t>
  </si>
  <si>
    <t>ALG 8924</t>
  </si>
  <si>
    <t>K8924</t>
  </si>
  <si>
    <t>ALG 8930</t>
  </si>
  <si>
    <t>K8930</t>
  </si>
  <si>
    <t>ALG 8907</t>
  </si>
  <si>
    <t>K8907</t>
  </si>
  <si>
    <t>ALG 8908</t>
  </si>
  <si>
    <t>K8908</t>
  </si>
  <si>
    <t>ALG 8914</t>
  </si>
  <si>
    <t>K8914</t>
  </si>
  <si>
    <t>ALG 8915</t>
  </si>
  <si>
    <t>K8915</t>
  </si>
  <si>
    <t>ALG 8916</t>
  </si>
  <si>
    <t>K8916</t>
  </si>
  <si>
    <t>ALG 8921</t>
  </si>
  <si>
    <t>K8921</t>
  </si>
  <si>
    <t>ALG 8922</t>
  </si>
  <si>
    <t>K8922</t>
  </si>
  <si>
    <t>ALG 8927</t>
  </si>
  <si>
    <t>K8927</t>
  </si>
  <si>
    <t>ALG 8928</t>
  </si>
  <si>
    <t>K8928</t>
  </si>
  <si>
    <t>ALG 8933</t>
  </si>
  <si>
    <t>K8933</t>
  </si>
  <si>
    <t>ALG 8895</t>
  </si>
  <si>
    <t>K8895</t>
  </si>
  <si>
    <t>ALG 8896</t>
  </si>
  <si>
    <t>K8896</t>
  </si>
  <si>
    <t>ALG 8897</t>
  </si>
  <si>
    <t>K8897</t>
  </si>
  <si>
    <t>ALG 8905</t>
  </si>
  <si>
    <t>K8905</t>
  </si>
  <si>
    <t>ALG 8906</t>
  </si>
  <si>
    <t>K8906</t>
  </si>
  <si>
    <t>ALG 8913</t>
  </si>
  <si>
    <t>K8913</t>
  </si>
  <si>
    <t>ALG 8925</t>
  </si>
  <si>
    <t>K8925</t>
  </si>
  <si>
    <t>ALG 8917</t>
  </si>
  <si>
    <t>K8917</t>
  </si>
  <si>
    <t>ALG 8929</t>
  </si>
  <si>
    <t>K8929</t>
  </si>
  <si>
    <t>ALG 8934</t>
  </si>
  <si>
    <t>K8934</t>
  </si>
  <si>
    <t>ALG 8940</t>
  </si>
  <si>
    <t>K8940</t>
  </si>
  <si>
    <t>ALG 8945</t>
  </si>
  <si>
    <t>K8945</t>
  </si>
  <si>
    <t>ALG 8909</t>
  </si>
  <si>
    <t>K8909</t>
  </si>
  <si>
    <t>ALG 8910</t>
  </si>
  <si>
    <t>K8910</t>
  </si>
  <si>
    <t>ALG 8936</t>
  </si>
  <si>
    <t>K8936</t>
  </si>
  <si>
    <t>ALG 8872</t>
  </si>
  <si>
    <t>ALG 1755</t>
  </si>
  <si>
    <t>K1755</t>
  </si>
  <si>
    <t>ALG 1754</t>
  </si>
  <si>
    <t>ALG 1761</t>
  </si>
  <si>
    <t>K1754</t>
  </si>
  <si>
    <t>K1761</t>
  </si>
  <si>
    <t>ALG 5812</t>
  </si>
  <si>
    <t>ALG 5817</t>
  </si>
  <si>
    <t>ALG 5820</t>
  </si>
  <si>
    <t>ALG 5826</t>
  </si>
  <si>
    <t>K5820</t>
  </si>
  <si>
    <t>K5826</t>
  </si>
  <si>
    <t>ALG 5819</t>
  </si>
  <si>
    <t>K5819</t>
  </si>
  <si>
    <t>ALG 5822</t>
  </si>
  <si>
    <t>K5822</t>
  </si>
  <si>
    <t>ALG 5811</t>
  </si>
  <si>
    <t>ALG 8932</t>
  </si>
  <si>
    <t>K8932</t>
  </si>
  <si>
    <t>ALG 8935</t>
  </si>
  <si>
    <t>K8935</t>
  </si>
  <si>
    <t>ALG 8939</t>
  </si>
  <si>
    <t>K8939</t>
  </si>
  <si>
    <t>ALG 8960</t>
  </si>
  <si>
    <t>K8960</t>
  </si>
  <si>
    <t>ALG 8970</t>
  </si>
  <si>
    <t>K8970</t>
  </si>
  <si>
    <t>ALG 8971</t>
  </si>
  <si>
    <t>K8971</t>
  </si>
  <si>
    <t>ALG 8937</t>
  </si>
  <si>
    <t>K8937</t>
  </si>
  <si>
    <t>ALG 8938</t>
  </si>
  <si>
    <t>ALG 8949</t>
  </si>
  <si>
    <t>K8949</t>
  </si>
  <si>
    <t>ALG 8950</t>
  </si>
  <si>
    <t>K8950</t>
  </si>
  <si>
    <t>ALG 8952</t>
  </si>
  <si>
    <t>K8952</t>
  </si>
  <si>
    <t>ALG 8953</t>
  </si>
  <si>
    <t>K8953</t>
  </si>
  <si>
    <t>ALG 8964</t>
  </si>
  <si>
    <t>K8964</t>
  </si>
  <si>
    <t>ALG 8965</t>
  </si>
  <si>
    <t>K8965</t>
  </si>
  <si>
    <t>ALG 8966</t>
  </si>
  <si>
    <t>K8966</t>
  </si>
  <si>
    <t>ALG 8967</t>
  </si>
  <si>
    <t>K8967</t>
  </si>
  <si>
    <t>ALG 8926</t>
  </si>
  <si>
    <t>K8926</t>
  </si>
  <si>
    <t>ALG 8931</t>
  </si>
  <si>
    <t>K8931</t>
  </si>
  <si>
    <t>ALG 8948</t>
  </si>
  <si>
    <t>K8948</t>
  </si>
  <si>
    <t>ALG 8946</t>
  </si>
  <si>
    <t>K8946</t>
  </si>
  <si>
    <t>ALG 8951</t>
  </si>
  <si>
    <t>K8951</t>
  </si>
  <si>
    <t>ALG 8954</t>
  </si>
  <si>
    <t>K8954</t>
  </si>
  <si>
    <t>ALG 8918</t>
  </si>
  <si>
    <t>K8918</t>
  </si>
  <si>
    <t>ALG 1757</t>
  </si>
  <si>
    <t>K1757</t>
  </si>
  <si>
    <t>ALG 1765</t>
  </si>
  <si>
    <t>K1765</t>
  </si>
  <si>
    <t>ALG 1756</t>
  </si>
  <si>
    <t>K1756</t>
  </si>
  <si>
    <t>ALG 1762</t>
  </si>
  <si>
    <t>K1762</t>
  </si>
  <si>
    <t>ALG 1764</t>
  </si>
  <si>
    <t>K1764</t>
  </si>
  <si>
    <t>ALG 5823</t>
  </si>
  <si>
    <t>K5823</t>
  </si>
  <si>
    <t>ALG 5824</t>
  </si>
  <si>
    <t>K5824</t>
  </si>
  <si>
    <t>ALG 5816</t>
  </si>
  <si>
    <t>K5816</t>
  </si>
  <si>
    <t>ALG 1759</t>
  </si>
  <si>
    <t>K1759</t>
  </si>
  <si>
    <t>ALG 1760</t>
  </si>
  <si>
    <t>K1760</t>
  </si>
  <si>
    <t>ALG 1769</t>
  </si>
  <si>
    <t>K1769</t>
  </si>
  <si>
    <t>CONCILIATION DY3 DUNE MILLED PEBBLE</t>
  </si>
  <si>
    <t>ALG 1758</t>
  </si>
  <si>
    <t>K1758</t>
  </si>
  <si>
    <t>CONCILIATION DY8 DUNE MILLED PEBBLE</t>
  </si>
  <si>
    <t>ALG 5827</t>
  </si>
  <si>
    <t>K5827</t>
  </si>
  <si>
    <t>ALG 8980</t>
  </si>
  <si>
    <t>K8980</t>
  </si>
  <si>
    <t>ALG 8981</t>
  </si>
  <si>
    <t>K8981</t>
  </si>
  <si>
    <t>ALG 8985</t>
  </si>
  <si>
    <t>K8985</t>
  </si>
  <si>
    <t>ALG 8994</t>
  </si>
  <si>
    <t>K8994</t>
  </si>
  <si>
    <t>ALG 8996</t>
  </si>
  <si>
    <t>K8996</t>
  </si>
  <si>
    <t>ALG 8997</t>
  </si>
  <si>
    <t>K8997</t>
  </si>
  <si>
    <t>ALG 8999</t>
  </si>
  <si>
    <t>K8999</t>
  </si>
  <si>
    <t>ALG 8941</t>
  </si>
  <si>
    <t>K8941</t>
  </si>
  <si>
    <t>ALG 8974</t>
  </si>
  <si>
    <t>K8974</t>
  </si>
  <si>
    <t>ALG 8975</t>
  </si>
  <si>
    <t>K8975</t>
  </si>
  <si>
    <t>ALG 8977</t>
  </si>
  <si>
    <t>ALG 8978</t>
  </si>
  <si>
    <t>K8978</t>
  </si>
  <si>
    <t>ALG 8982</t>
  </si>
  <si>
    <t>K8982</t>
  </si>
  <si>
    <t>ALG 8989</t>
  </si>
  <si>
    <t>K8989</t>
  </si>
  <si>
    <t>ALG 8990</t>
  </si>
  <si>
    <t>K8990</t>
  </si>
  <si>
    <t>ALG 8961</t>
  </si>
  <si>
    <t>K8961</t>
  </si>
  <si>
    <t>ALG 8962</t>
  </si>
  <si>
    <t>K8962</t>
  </si>
  <si>
    <t>ALG 8963</t>
  </si>
  <si>
    <t>K8963</t>
  </si>
  <si>
    <t>ALG 8972</t>
  </si>
  <si>
    <t>K8972</t>
  </si>
  <si>
    <t>ALG 8973</t>
  </si>
  <si>
    <t>K8973</t>
  </si>
  <si>
    <t>ALG 8976</t>
  </si>
  <si>
    <t>K8976</t>
  </si>
  <si>
    <t>ALG 8986</t>
  </si>
  <si>
    <t>K8986</t>
  </si>
  <si>
    <t>ALG 8987</t>
  </si>
  <si>
    <t>K8987</t>
  </si>
  <si>
    <t>ALG 8955</t>
  </si>
  <si>
    <t>K8955</t>
  </si>
  <si>
    <t>ALG 8956</t>
  </si>
  <si>
    <t>K8956</t>
  </si>
  <si>
    <t>ALG 8957</t>
  </si>
  <si>
    <t>K8957</t>
  </si>
  <si>
    <t>ALG 8968</t>
  </si>
  <si>
    <t>K8968</t>
  </si>
  <si>
    <t>ALG 8984</t>
  </si>
  <si>
    <t>K8984</t>
  </si>
  <si>
    <t>ALG 8992</t>
  </si>
  <si>
    <t>K8992</t>
  </si>
  <si>
    <t>ALG 1763</t>
  </si>
  <si>
    <t>K1763</t>
  </si>
  <si>
    <t>ALG 1766</t>
  </si>
  <si>
    <t>K1766</t>
  </si>
  <si>
    <t>ALG 1770</t>
  </si>
  <si>
    <t>K1770</t>
  </si>
  <si>
    <t>ALG 1767</t>
  </si>
  <si>
    <t>K1767</t>
  </si>
  <si>
    <t>ALG 1768</t>
  </si>
  <si>
    <t>K1768</t>
  </si>
  <si>
    <t>ALG 1772</t>
  </si>
  <si>
    <t>K1772</t>
  </si>
  <si>
    <t>ALG 5834</t>
  </si>
  <si>
    <t>K5834</t>
  </si>
  <si>
    <t>ALG 5829</t>
  </si>
  <si>
    <t>K5829</t>
  </si>
  <si>
    <t>ALG 5832</t>
  </si>
  <si>
    <t>K5832</t>
  </si>
  <si>
    <t>ALG 5821</t>
  </si>
  <si>
    <t>K5821</t>
  </si>
  <si>
    <t>ALG 5825</t>
  </si>
  <si>
    <t>K5825</t>
  </si>
  <si>
    <t>ALG 9000</t>
  </si>
  <si>
    <t>K9000</t>
  </si>
  <si>
    <t>ALG 9016</t>
  </si>
  <si>
    <t>K9016</t>
  </si>
  <si>
    <t>ALG 9024</t>
  </si>
  <si>
    <t>K9024</t>
  </si>
  <si>
    <t>ALG 8969</t>
  </si>
  <si>
    <t>K8969</t>
  </si>
  <si>
    <t>ALG 9017</t>
  </si>
  <si>
    <t>K9017</t>
  </si>
  <si>
    <t>ALG 9025</t>
  </si>
  <si>
    <t>K9025</t>
  </si>
  <si>
    <t>ALG 8998</t>
  </si>
  <si>
    <t>K8998</t>
  </si>
  <si>
    <t>ALG 8862</t>
  </si>
  <si>
    <t>K8862</t>
  </si>
  <si>
    <t>ALG 8995</t>
  </si>
  <si>
    <t>K8995</t>
  </si>
  <si>
    <t>ALG 9004</t>
  </si>
  <si>
    <t>K9004</t>
  </si>
  <si>
    <t>ALG 9005</t>
  </si>
  <si>
    <t>K9005</t>
  </si>
  <si>
    <t>ALG 9006</t>
  </si>
  <si>
    <t>K9006</t>
  </si>
  <si>
    <t>ALG 9007</t>
  </si>
  <si>
    <t>K9007</t>
  </si>
  <si>
    <t>ALG 9008</t>
  </si>
  <si>
    <t>K9008</t>
  </si>
  <si>
    <t>ALG 9009</t>
  </si>
  <si>
    <t>K9009</t>
  </si>
  <si>
    <t>ALG 9010</t>
  </si>
  <si>
    <t>K9010</t>
  </si>
  <si>
    <t>ALG  9018</t>
  </si>
  <si>
    <t>K9018</t>
  </si>
  <si>
    <t>ALG  9019</t>
  </si>
  <si>
    <t>K9019</t>
  </si>
  <si>
    <t>ALG  9020</t>
  </si>
  <si>
    <t>K9020</t>
  </si>
  <si>
    <t>ALG 9021</t>
  </si>
  <si>
    <t>K9021</t>
  </si>
  <si>
    <t>ALG 9022</t>
  </si>
  <si>
    <t>K9022</t>
  </si>
  <si>
    <t>ALG 8988</t>
  </si>
  <si>
    <t>K8988</t>
  </si>
  <si>
    <t>ALG 8979</t>
  </si>
  <si>
    <t>K8979</t>
  </si>
  <si>
    <t>ALG 8991</t>
  </si>
  <si>
    <t>K8991</t>
  </si>
  <si>
    <t>ALG 9023</t>
  </si>
  <si>
    <t>K9023</t>
  </si>
  <si>
    <t>ALG 8902</t>
  </si>
  <si>
    <t>K8902</t>
  </si>
  <si>
    <t>ALG 8958</t>
  </si>
  <si>
    <t>K8958</t>
  </si>
  <si>
    <t>ALG 8983</t>
  </si>
  <si>
    <t>K8983</t>
  </si>
  <si>
    <t>ALG 9014</t>
  </si>
  <si>
    <t>K9014</t>
  </si>
  <si>
    <t>ALG 1774</t>
  </si>
  <si>
    <t>K1774</t>
  </si>
  <si>
    <t>ALG 1776</t>
  </si>
  <si>
    <t>K1776</t>
  </si>
  <si>
    <t>ALG 1775</t>
  </si>
  <si>
    <t>K1775</t>
  </si>
  <si>
    <t>ALG 1777</t>
  </si>
  <si>
    <t>K1777</t>
  </si>
  <si>
    <t>ALG 5833</t>
  </si>
  <si>
    <t>K5833</t>
  </si>
  <si>
    <t>ALG 5836</t>
  </si>
  <si>
    <t>ALG 5830</t>
  </si>
  <si>
    <t>K5830</t>
  </si>
  <si>
    <t>ALG  9033</t>
  </si>
  <si>
    <t>K9033</t>
  </si>
  <si>
    <t>ALG 9036</t>
  </si>
  <si>
    <t>K9036</t>
  </si>
  <si>
    <t>ALG 9037</t>
  </si>
  <si>
    <t>K9037</t>
  </si>
  <si>
    <t>ALG 9048</t>
  </si>
  <si>
    <t>K9048</t>
  </si>
  <si>
    <t>ALG 9058</t>
  </si>
  <si>
    <t>K9058</t>
  </si>
  <si>
    <t>ALG 9059</t>
  </si>
  <si>
    <t>K9059</t>
  </si>
  <si>
    <t>ALG 9063</t>
  </si>
  <si>
    <t>K9063</t>
  </si>
  <si>
    <t>ALG 9026</t>
  </si>
  <si>
    <t>K9026</t>
  </si>
  <si>
    <t>ALG 9027</t>
  </si>
  <si>
    <t>K9027</t>
  </si>
  <si>
    <t>ALG 9028</t>
  </si>
  <si>
    <t>K9028</t>
  </si>
  <si>
    <t>ALG 9034</t>
  </si>
  <si>
    <t>K9034</t>
  </si>
  <si>
    <t>ALG 9035</t>
  </si>
  <si>
    <t>K9035</t>
  </si>
  <si>
    <t>ALG 9040</t>
  </si>
  <si>
    <t>K90401</t>
  </si>
  <si>
    <t>ALG 9041</t>
  </si>
  <si>
    <t>K9041</t>
  </si>
  <si>
    <t>ALG 9042</t>
  </si>
  <si>
    <t>K9042</t>
  </si>
  <si>
    <t>ALG 9050</t>
  </si>
  <si>
    <t>K90501</t>
  </si>
  <si>
    <t>ALG 9051</t>
  </si>
  <si>
    <t>K9051</t>
  </si>
  <si>
    <t>ALG 9052</t>
  </si>
  <si>
    <t>K9052</t>
  </si>
  <si>
    <t>ALG 9001</t>
  </si>
  <si>
    <t>K9001</t>
  </si>
  <si>
    <t>ALG 9002</t>
  </si>
  <si>
    <t>K9002</t>
  </si>
  <si>
    <t>ALG 9003</t>
  </si>
  <si>
    <t>K9003</t>
  </si>
  <si>
    <t>ALG 9029</t>
  </si>
  <si>
    <t>K9029</t>
  </si>
  <si>
    <t>ALG 9039</t>
  </si>
  <si>
    <t>K9039</t>
  </si>
  <si>
    <t>ALG 9043</t>
  </si>
  <si>
    <t>K9043</t>
  </si>
  <si>
    <t>ALG 9054</t>
  </si>
  <si>
    <t>K9054</t>
  </si>
  <si>
    <t>ALG 9057</t>
  </si>
  <si>
    <t>K9057</t>
  </si>
  <si>
    <t>ALG 9013</t>
  </si>
  <si>
    <t>K9013</t>
  </si>
  <si>
    <t>ALG 1778</t>
  </si>
  <si>
    <t>K1778</t>
  </si>
  <si>
    <t>ALG 1779</t>
  </si>
  <si>
    <t>K1779</t>
  </si>
  <si>
    <t>ALG 1771</t>
  </si>
  <si>
    <t>K1771</t>
  </si>
  <si>
    <t>ALG 1773</t>
  </si>
  <si>
    <t>K1773</t>
  </si>
  <si>
    <t>ALG 1780</t>
  </si>
  <si>
    <t>K1780</t>
  </si>
  <si>
    <t>ALG 1781</t>
  </si>
  <si>
    <t>K1781</t>
  </si>
  <si>
    <t>CONCILIACION DX9 MCKINLEY</t>
  </si>
  <si>
    <t>ALG 6016</t>
  </si>
  <si>
    <t>K6016</t>
  </si>
  <si>
    <t>ALG 6018</t>
  </si>
  <si>
    <t>K6018</t>
  </si>
  <si>
    <t>CONCILIACION PD2 MCKINLEY</t>
  </si>
  <si>
    <t>ALG  6004</t>
  </si>
  <si>
    <t>K3469</t>
  </si>
  <si>
    <t>K3492</t>
  </si>
  <si>
    <t>ALG 6011</t>
  </si>
  <si>
    <t>K3446</t>
  </si>
  <si>
    <t>ALG 6017</t>
  </si>
  <si>
    <t>K6017</t>
  </si>
  <si>
    <t>ALG 6019</t>
  </si>
  <si>
    <t>K6019</t>
  </si>
  <si>
    <t>ALG 6022</t>
  </si>
  <si>
    <t>K6022</t>
  </si>
  <si>
    <t>ALG 6026</t>
  </si>
  <si>
    <t>K6026</t>
  </si>
  <si>
    <t>CONCILIACION DX9 NAPPA</t>
  </si>
  <si>
    <t>ALG 6002</t>
  </si>
  <si>
    <t>K6002</t>
  </si>
  <si>
    <t>ALG 6005</t>
  </si>
  <si>
    <t>K6004</t>
  </si>
  <si>
    <t>ALG 6008</t>
  </si>
  <si>
    <t>K3499</t>
  </si>
  <si>
    <t>ALG 6014</t>
  </si>
  <si>
    <t>K6014</t>
  </si>
  <si>
    <t>ALG 6010</t>
  </si>
  <si>
    <t>K3269</t>
  </si>
  <si>
    <t>ALG 6013</t>
  </si>
  <si>
    <t>K6013</t>
  </si>
  <si>
    <t>ALG 6021</t>
  </si>
  <si>
    <t>K6021</t>
  </si>
  <si>
    <t>ALG 6023</t>
  </si>
  <si>
    <t>K6023</t>
  </si>
  <si>
    <t>CONCILIACION ML8 NAPPA</t>
  </si>
  <si>
    <t>CONCILIACION PD2 NAPPA</t>
  </si>
  <si>
    <t>ALG 6009</t>
  </si>
  <si>
    <t>K3546</t>
  </si>
  <si>
    <t>ALG 6015</t>
  </si>
  <si>
    <t>K6015</t>
  </si>
  <si>
    <t>ALG 6020</t>
  </si>
  <si>
    <t>K6020</t>
  </si>
  <si>
    <t>ALG 6024</t>
  </si>
  <si>
    <t>K6024</t>
  </si>
  <si>
    <t>ALG 6029</t>
  </si>
  <si>
    <t>K6029</t>
  </si>
  <si>
    <t>ALG 6028</t>
  </si>
  <si>
    <t>K6028</t>
  </si>
  <si>
    <t>ALG 6030</t>
  </si>
  <si>
    <t>K6030</t>
  </si>
  <si>
    <t>ALG 6031</t>
  </si>
  <si>
    <t>K6031</t>
  </si>
  <si>
    <t>ALG 6032</t>
  </si>
  <si>
    <t>K6032</t>
  </si>
  <si>
    <t>ALG 9067</t>
  </si>
  <si>
    <t>K9067</t>
  </si>
  <si>
    <t>ALG 9068</t>
  </si>
  <si>
    <t>K9068</t>
  </si>
  <si>
    <t>ALG 9072</t>
  </si>
  <si>
    <t>K9072</t>
  </si>
  <si>
    <t>ALG 9073</t>
  </si>
  <si>
    <t>K9073</t>
  </si>
  <si>
    <t>ALG 5838</t>
  </si>
  <si>
    <t>K5838</t>
  </si>
  <si>
    <t>ALG 5841</t>
  </si>
  <si>
    <t>K5841</t>
  </si>
  <si>
    <t>ALG 5835</t>
  </si>
  <si>
    <t>K5835</t>
  </si>
  <si>
    <t>ALG 5837</t>
  </si>
  <si>
    <t>K5837</t>
  </si>
  <si>
    <t>ALG 5839</t>
  </si>
  <si>
    <t>K5839</t>
  </si>
  <si>
    <t>ALG 6012</t>
  </si>
  <si>
    <t>K3483</t>
  </si>
  <si>
    <t>K6012</t>
  </si>
  <si>
    <t>ALG 6039</t>
  </si>
  <si>
    <t>K6039</t>
  </si>
  <si>
    <t>ALG 9053</t>
  </si>
  <si>
    <t>K9053</t>
  </si>
  <si>
    <t>ALG 9060</t>
  </si>
  <si>
    <t>K9060</t>
  </si>
  <si>
    <t>ALG 9061</t>
  </si>
  <si>
    <t>K9061</t>
  </si>
  <si>
    <t>ALG 9064</t>
  </si>
  <si>
    <t>K9064</t>
  </si>
  <si>
    <t>ALG 9069</t>
  </si>
  <si>
    <t>K9069</t>
  </si>
  <si>
    <t>ALG 9070</t>
  </si>
  <si>
    <t>K9070</t>
  </si>
  <si>
    <t>ALG 9075</t>
  </si>
  <si>
    <t>K9075</t>
  </si>
  <si>
    <t>ALG 9076</t>
  </si>
  <si>
    <t>K9076</t>
  </si>
  <si>
    <t>ALG 9077</t>
  </si>
  <si>
    <t>K9077</t>
  </si>
  <si>
    <t>ALG 9074</t>
  </si>
  <si>
    <t>K9074</t>
  </si>
  <si>
    <t>ALG 9078</t>
  </si>
  <si>
    <t>K9078</t>
  </si>
  <si>
    <t>ALG 9031</t>
  </si>
  <si>
    <t>K9031</t>
  </si>
  <si>
    <t>ALG 9038</t>
  </si>
  <si>
    <t>K9038</t>
  </si>
  <si>
    <t>ALG 6035</t>
  </si>
  <si>
    <t>K6035</t>
  </si>
  <si>
    <t>ALG 6036</t>
  </si>
  <si>
    <t>K6036</t>
  </si>
  <si>
    <t>ALG 6033</t>
  </si>
  <si>
    <t>K6033</t>
  </si>
  <si>
    <t>ALG 6034</t>
  </si>
  <si>
    <t>K6034</t>
  </si>
  <si>
    <t>ALG 6038</t>
  </si>
  <si>
    <t>K6038</t>
  </si>
  <si>
    <t>ALG 6040</t>
  </si>
  <si>
    <t>K6040</t>
  </si>
  <si>
    <t>ALG 6043</t>
  </si>
  <si>
    <t>K6043</t>
  </si>
  <si>
    <t>ALG 6044</t>
  </si>
  <si>
    <t>K6044</t>
  </si>
  <si>
    <t>ALG 3515</t>
  </si>
  <si>
    <t>K3515</t>
  </si>
  <si>
    <t>ALG 6027</t>
  </si>
  <si>
    <t>K6027</t>
  </si>
  <si>
    <t>ALG 1093</t>
  </si>
  <si>
    <t>K1093</t>
  </si>
  <si>
    <t>ALG 6037</t>
  </si>
  <si>
    <t>K6037</t>
  </si>
  <si>
    <t>ALG 9083</t>
  </si>
  <si>
    <t>K9083</t>
  </si>
  <si>
    <t>ALG 9084</t>
  </si>
  <si>
    <t>K9084</t>
  </si>
  <si>
    <t>ALG 9085</t>
  </si>
  <si>
    <t>K9085</t>
  </si>
  <si>
    <t>ALG 9091</t>
  </si>
  <si>
    <t>K9091</t>
  </si>
  <si>
    <t>ALG 9092</t>
  </si>
  <si>
    <t>K9092</t>
  </si>
  <si>
    <t>ALG 9096</t>
  </si>
  <si>
    <t>K9096</t>
  </si>
  <si>
    <t>ALG 9097</t>
  </si>
  <si>
    <t>K9097</t>
  </si>
  <si>
    <t>ALG 9079</t>
  </si>
  <si>
    <t>K9079</t>
  </si>
  <si>
    <t>ALG 9080</t>
  </si>
  <si>
    <t>K9080</t>
  </si>
  <si>
    <t>ALG 9081</t>
  </si>
  <si>
    <t>K9081</t>
  </si>
  <si>
    <t>ALG 9086</t>
  </si>
  <si>
    <t>K9086</t>
  </si>
  <si>
    <t>ALG 9087</t>
  </si>
  <si>
    <t>K9087</t>
  </si>
  <si>
    <t>ALG 9088</t>
  </si>
  <si>
    <t>K9088</t>
  </si>
  <si>
    <t>ALG 9093</t>
  </si>
  <si>
    <t>K9093</t>
  </si>
  <si>
    <t>ALG 9094</t>
  </si>
  <si>
    <t>K9094</t>
  </si>
  <si>
    <t>ALG 9049</t>
  </si>
  <si>
    <t>ALG 9090</t>
  </si>
  <si>
    <t>K9090</t>
  </si>
  <si>
    <t>ALG  9062</t>
  </si>
  <si>
    <t>K9062</t>
  </si>
  <si>
    <t>ALG 9065</t>
  </si>
  <si>
    <t>K9065</t>
  </si>
  <si>
    <t xml:space="preserve">ALG 9082 </t>
  </si>
  <si>
    <t>K9082</t>
  </si>
  <si>
    <t>ALG 9089</t>
  </si>
  <si>
    <t>K9089</t>
  </si>
  <si>
    <t>ALG 9100</t>
  </si>
  <si>
    <t>K9100</t>
  </si>
  <si>
    <t>ALG  1782</t>
  </si>
  <si>
    <t>K1782</t>
  </si>
  <si>
    <t>ALG 1787</t>
  </si>
  <si>
    <t>K1787</t>
  </si>
  <si>
    <t>ALG 1788</t>
  </si>
  <si>
    <t>K1788</t>
  </si>
  <si>
    <t>ALG 1783</t>
  </si>
  <si>
    <t>K1783</t>
  </si>
  <si>
    <t>ALG  1784</t>
  </si>
  <si>
    <t>K1784</t>
  </si>
  <si>
    <t>ALG 1786</t>
  </si>
  <si>
    <t>K1786</t>
  </si>
  <si>
    <t>ALG 1785</t>
  </si>
  <si>
    <t>K1785</t>
  </si>
  <si>
    <t>ALG 5828</t>
  </si>
  <si>
    <t>K5828</t>
  </si>
  <si>
    <t>ALG 5831</t>
  </si>
  <si>
    <t>K5831</t>
  </si>
  <si>
    <t>ALG  5844</t>
  </si>
  <si>
    <t>K5844</t>
  </si>
  <si>
    <t>ALG 5842</t>
  </si>
  <si>
    <t>K5842</t>
  </si>
  <si>
    <t>ALG 5846</t>
  </si>
  <si>
    <t>K5846</t>
  </si>
  <si>
    <t>ALG 6046</t>
  </si>
  <si>
    <t>K6046</t>
  </si>
  <si>
    <t>ALG 6052</t>
  </si>
  <si>
    <t>K6052</t>
  </si>
  <si>
    <t>ALG 6056</t>
  </si>
  <si>
    <t>K6056</t>
  </si>
  <si>
    <t>ALG 6047</t>
  </si>
  <si>
    <t>K6047</t>
  </si>
  <si>
    <t>ALG 6048</t>
  </si>
  <si>
    <t>K6048</t>
  </si>
  <si>
    <t>ALG 6053</t>
  </si>
  <si>
    <t>K6053</t>
  </si>
  <si>
    <t>ALG 6054</t>
  </si>
  <si>
    <t>K6054</t>
  </si>
  <si>
    <t>ALG 6041</t>
  </si>
  <si>
    <t>K6041</t>
  </si>
  <si>
    <t>ALG 6049</t>
  </si>
  <si>
    <t>K6049</t>
  </si>
  <si>
    <t>ALG 6050</t>
  </si>
  <si>
    <t>K6050</t>
  </si>
  <si>
    <t>ALG 6059</t>
  </si>
  <si>
    <t>K6059</t>
  </si>
  <si>
    <t>ALG 6060</t>
  </si>
  <si>
    <t>K6060</t>
  </si>
  <si>
    <t>ALG 6067</t>
  </si>
  <si>
    <t>K6058</t>
  </si>
  <si>
    <t>ALG 6057</t>
  </si>
  <si>
    <t>K6057</t>
  </si>
  <si>
    <t>ALG 6058</t>
  </si>
  <si>
    <t>ALG 9071</t>
  </si>
  <si>
    <t>K9071</t>
  </si>
  <si>
    <t>K5812</t>
  </si>
  <si>
    <t>K5817</t>
  </si>
  <si>
    <t>ALG 5840</t>
  </si>
  <si>
    <t>K5840</t>
  </si>
  <si>
    <t>ALG 5853</t>
  </si>
  <si>
    <t>K5853</t>
  </si>
  <si>
    <t>ALG 5850</t>
  </si>
  <si>
    <t>K5850</t>
  </si>
  <si>
    <t>ALG 5854</t>
  </si>
  <si>
    <t>K5854</t>
  </si>
  <si>
    <t>ALG 5855</t>
  </si>
  <si>
    <t>K5855</t>
  </si>
  <si>
    <t>ALG 6042</t>
  </si>
  <si>
    <t>K6042</t>
  </si>
  <si>
    <t>ALG 9101</t>
  </si>
  <si>
    <t>K9101</t>
  </si>
  <si>
    <t>ALG 1791</t>
  </si>
  <si>
    <t>K1791</t>
  </si>
  <si>
    <t>ALG 9095</t>
  </si>
  <si>
    <t>K9095</t>
  </si>
  <si>
    <t>ALG 9098</t>
  </si>
  <si>
    <t>K9098</t>
  </si>
  <si>
    <t>ALG 9099</t>
  </si>
  <si>
    <t>K9099</t>
  </si>
  <si>
    <t>ALG 9103</t>
  </si>
  <si>
    <t>K9103</t>
  </si>
  <si>
    <t>ALG  9104</t>
  </si>
  <si>
    <t>K9104</t>
  </si>
  <si>
    <t>ALG 9110</t>
  </si>
  <si>
    <t>K9110</t>
  </si>
  <si>
    <t>ALG 9108</t>
  </si>
  <si>
    <t>K9108</t>
  </si>
  <si>
    <t>ALG 9109</t>
  </si>
  <si>
    <t>K9109</t>
  </si>
  <si>
    <t>ALG 9105</t>
  </si>
  <si>
    <t>K9105</t>
  </si>
  <si>
    <t>ALG  9107</t>
  </si>
  <si>
    <t>K9107</t>
  </si>
  <si>
    <t>ALG  9111</t>
  </si>
  <si>
    <t>K9111</t>
  </si>
  <si>
    <t>ALG 9119</t>
  </si>
  <si>
    <t>K9119</t>
  </si>
  <si>
    <t>ALG 9116</t>
  </si>
  <si>
    <t>K9116</t>
  </si>
  <si>
    <t>ALG 9123</t>
  </si>
  <si>
    <t>K9123</t>
  </si>
  <si>
    <t>ALG 9128</t>
  </si>
  <si>
    <t>K9128</t>
  </si>
  <si>
    <t>ALG 9118</t>
  </si>
  <si>
    <t>K9118</t>
  </si>
  <si>
    <t>ALG 9121</t>
  </si>
  <si>
    <t>K9121</t>
  </si>
  <si>
    <t>ALG 9122</t>
  </si>
  <si>
    <t>K9122</t>
  </si>
  <si>
    <t>ALG 9125</t>
  </si>
  <si>
    <t>K9125</t>
  </si>
  <si>
    <t>ALG 9126</t>
  </si>
  <si>
    <t>K9126</t>
  </si>
  <si>
    <t>ALG 9102</t>
  </si>
  <si>
    <t>K9102</t>
  </si>
  <si>
    <t>ALG 9106</t>
  </si>
  <si>
    <t>K9106</t>
  </si>
  <si>
    <t>ALG  9117</t>
  </si>
  <si>
    <t>K9117</t>
  </si>
  <si>
    <t>ALG 1793</t>
  </si>
  <si>
    <t>K1793</t>
  </si>
  <si>
    <t>ALG 5849</t>
  </si>
  <si>
    <t>K5849</t>
  </si>
  <si>
    <t>ALG 5851</t>
  </si>
  <si>
    <t>K5851</t>
  </si>
  <si>
    <t>ALG 5852</t>
  </si>
  <si>
    <t>K5852</t>
  </si>
  <si>
    <t>ALG 5858</t>
  </si>
  <si>
    <t>K5858</t>
  </si>
  <si>
    <t>ALG 5856</t>
  </si>
  <si>
    <t>K5856</t>
  </si>
  <si>
    <t>ALG 5860</t>
  </si>
  <si>
    <t>K5860</t>
  </si>
  <si>
    <t>ALG 5861</t>
  </si>
  <si>
    <t>K5861</t>
  </si>
  <si>
    <t>K5847</t>
  </si>
  <si>
    <t>ALG 5847</t>
  </si>
  <si>
    <t>K5843</t>
  </si>
  <si>
    <t>ALG 5843</t>
  </si>
  <si>
    <t>K6067</t>
  </si>
  <si>
    <t>ALG 6074</t>
  </si>
  <si>
    <t>K6074</t>
  </si>
  <si>
    <t>ALG 6076</t>
  </si>
  <si>
    <t>K6076</t>
  </si>
  <si>
    <t>ALG 6062</t>
  </si>
  <si>
    <t>K6062</t>
  </si>
  <si>
    <t>ALG 6063</t>
  </si>
  <si>
    <t>K6063</t>
  </si>
  <si>
    <t>ALG 6066</t>
  </si>
  <si>
    <t>K6066</t>
  </si>
  <si>
    <t>ALG 9120</t>
  </si>
  <si>
    <t>K9120</t>
  </si>
  <si>
    <t>ALG 9129</t>
  </si>
  <si>
    <t>K9129</t>
  </si>
  <si>
    <t>ALG 9130</t>
  </si>
  <si>
    <t>K9130</t>
  </si>
  <si>
    <t>ALG 9136</t>
  </si>
  <si>
    <t>K9136</t>
  </si>
  <si>
    <t>ALG 9142</t>
  </si>
  <si>
    <t>K9142</t>
  </si>
  <si>
    <t>ALG 9151</t>
  </si>
  <si>
    <t>K9151</t>
  </si>
  <si>
    <t>ALG 9158</t>
  </si>
  <si>
    <t>K9158</t>
  </si>
  <si>
    <t>ALG 9159</t>
  </si>
  <si>
    <t>K9159</t>
  </si>
  <si>
    <t>ALG 9160</t>
  </si>
  <si>
    <t>K9160</t>
  </si>
  <si>
    <t>ALG 9165</t>
  </si>
  <si>
    <t>K9165</t>
  </si>
  <si>
    <t>ALG 9132</t>
  </si>
  <si>
    <t>K9132</t>
  </si>
  <si>
    <t>ALG 9133</t>
  </si>
  <si>
    <t>K9133</t>
  </si>
  <si>
    <t>ALG 9134</t>
  </si>
  <si>
    <t>K9134</t>
  </si>
  <si>
    <t>ALG 9138</t>
  </si>
  <si>
    <t>K9138</t>
  </si>
  <si>
    <t>ALG 9139</t>
  </si>
  <si>
    <t>K9139</t>
  </si>
  <si>
    <t>ALG 9140</t>
  </si>
  <si>
    <t>K9140</t>
  </si>
  <si>
    <t>ALG 9141</t>
  </si>
  <si>
    <t>K9141</t>
  </si>
  <si>
    <t>ALG 9145</t>
  </si>
  <si>
    <t>K9145</t>
  </si>
  <si>
    <t>ALG 9146</t>
  </si>
  <si>
    <t>K9146</t>
  </si>
  <si>
    <t>ALG 9148</t>
  </si>
  <si>
    <t>K9148</t>
  </si>
  <si>
    <t>ALG 9163</t>
  </si>
  <si>
    <t>K9163</t>
  </si>
  <si>
    <t>ALG 9124</t>
  </si>
  <si>
    <t>K9124</t>
  </si>
  <si>
    <t>ALG 9131</t>
  </si>
  <si>
    <t>K9131</t>
  </si>
  <si>
    <t>ALG 9137</t>
  </si>
  <si>
    <t>ALG 9143</t>
  </si>
  <si>
    <t>K9143</t>
  </si>
  <si>
    <t>ALG 9144</t>
  </si>
  <si>
    <t>K9144</t>
  </si>
  <si>
    <t>ALG 9161</t>
  </si>
  <si>
    <t>K9161</t>
  </si>
  <si>
    <t>ALG 9127</t>
  </si>
  <si>
    <t>K9127</t>
  </si>
  <si>
    <t>ALG 9135</t>
  </si>
  <si>
    <t>K9135</t>
  </si>
  <si>
    <t>ALG  9147</t>
  </si>
  <si>
    <t>K9147</t>
  </si>
  <si>
    <t>ALG 9044</t>
  </si>
  <si>
    <t>K9044</t>
  </si>
  <si>
    <t>ALG  9055</t>
  </si>
  <si>
    <t>K9055</t>
  </si>
  <si>
    <t>ALG  9056</t>
  </si>
  <si>
    <t>K9056</t>
  </si>
  <si>
    <t>ALG  9066</t>
  </si>
  <si>
    <t>K9066</t>
  </si>
  <si>
    <t>ALG  1792</t>
  </si>
  <si>
    <t>K1792</t>
  </si>
  <si>
    <t>ALG 5859</t>
  </si>
  <si>
    <t>K5859</t>
  </si>
  <si>
    <t>ALG 6077</t>
  </si>
  <si>
    <t>K6077</t>
  </si>
  <si>
    <t>ALG 6079</t>
  </si>
  <si>
    <t>K6079</t>
  </si>
  <si>
    <t>ALG 6080</t>
  </si>
  <si>
    <t>K6080</t>
  </si>
  <si>
    <t>ALG 6083</t>
  </si>
  <si>
    <t>K6083</t>
  </si>
  <si>
    <t>ALG 6084</t>
  </si>
  <si>
    <t>K6084</t>
  </si>
  <si>
    <t>ALG 6090</t>
  </si>
  <si>
    <t>K6090</t>
  </si>
  <si>
    <t>ALG 6075</t>
  </si>
  <si>
    <t>K6075</t>
  </si>
  <si>
    <t>ALG 6082</t>
  </si>
  <si>
    <t>k6082</t>
  </si>
  <si>
    <t>ALG 6092</t>
  </si>
  <si>
    <t>K6092</t>
  </si>
  <si>
    <t>ALG 6051</t>
  </si>
  <si>
    <t>K6051</t>
  </si>
  <si>
    <t>ALG 6061</t>
  </si>
  <si>
    <t>K6061</t>
  </si>
  <si>
    <t>ALG 6091</t>
  </si>
  <si>
    <t>K6091</t>
  </si>
  <si>
    <t>ALG 6069</t>
  </si>
  <si>
    <t>K6069</t>
  </si>
  <si>
    <t>ALG 6070</t>
  </si>
  <si>
    <t>K6070</t>
  </si>
  <si>
    <t>ALG 9030</t>
  </si>
  <si>
    <t>K9030</t>
  </si>
  <si>
    <t>ALG 8993</t>
  </si>
  <si>
    <t>K8893</t>
  </si>
  <si>
    <t>CONCILIATION LV5 NAPPA</t>
  </si>
  <si>
    <t>ALG 3585</t>
  </si>
  <si>
    <t>K3585</t>
  </si>
  <si>
    <t>ALG 9175</t>
  </si>
  <si>
    <t>K1226</t>
  </si>
  <si>
    <t>K1052</t>
  </si>
  <si>
    <t>ALG 8893</t>
  </si>
  <si>
    <t>ALG 6064</t>
  </si>
  <si>
    <t>K6064</t>
  </si>
  <si>
    <t>ALG 6065</t>
  </si>
  <si>
    <t>K6065</t>
  </si>
  <si>
    <t>ALG 9174</t>
  </si>
  <si>
    <t>K9174</t>
  </si>
  <si>
    <t>ALG 9176</t>
  </si>
  <si>
    <t>K9176</t>
  </si>
  <si>
    <t>ALG 9150</t>
  </si>
  <si>
    <t>K9150</t>
  </si>
  <si>
    <t>ALG 9164</t>
  </si>
  <si>
    <t>K9164</t>
  </si>
  <si>
    <t>ALG 9167</t>
  </si>
  <si>
    <t>K9167</t>
  </si>
  <si>
    <t>ALG 9168</t>
  </si>
  <si>
    <t>K9168</t>
  </si>
  <si>
    <t>ALG 9169</t>
  </si>
  <si>
    <t>K9169</t>
  </si>
  <si>
    <t>ALG 9172</t>
  </si>
  <si>
    <t>K9172</t>
  </si>
  <si>
    <t>ALG 9173</t>
  </si>
  <si>
    <t>K9173</t>
  </si>
  <si>
    <t>ALG 9181</t>
  </si>
  <si>
    <t>K9181</t>
  </si>
  <si>
    <t>ALG 9182</t>
  </si>
  <si>
    <t>K9182</t>
  </si>
  <si>
    <t>ALG 9162</t>
  </si>
  <si>
    <t>K9162</t>
  </si>
  <si>
    <t>ALG 9166</t>
  </si>
  <si>
    <t>K9166</t>
  </si>
  <si>
    <t>ALG 9178</t>
  </si>
  <si>
    <t>K9178</t>
  </si>
  <si>
    <t>ALG 9179</t>
  </si>
  <si>
    <t>K9179</t>
  </si>
  <si>
    <t>ALG 9180</t>
  </si>
  <si>
    <t>K9180</t>
  </si>
  <si>
    <t>ALG 9170</t>
  </si>
  <si>
    <t>K9170</t>
  </si>
  <si>
    <t>ALG 9171</t>
  </si>
  <si>
    <t>K9171</t>
  </si>
  <si>
    <t>ALG 1789</t>
  </si>
  <si>
    <t>K1789</t>
  </si>
  <si>
    <t>ALG 1790</t>
  </si>
  <si>
    <t>K1790</t>
  </si>
  <si>
    <t>ALG 1796</t>
  </si>
  <si>
    <t>K1796</t>
  </si>
  <si>
    <t>ALG 1794</t>
  </si>
  <si>
    <t>K1794</t>
  </si>
  <si>
    <t>ALG 5862</t>
  </si>
  <si>
    <t>K5862</t>
  </si>
  <si>
    <t>ALG 5866</t>
  </si>
  <si>
    <t>K5866</t>
  </si>
  <si>
    <t>ALG 5869</t>
  </si>
  <si>
    <t>K5869</t>
  </si>
  <si>
    <t>ALG 5848</t>
  </si>
  <si>
    <t>K5848</t>
  </si>
  <si>
    <t>ALG 6093</t>
  </si>
  <si>
    <t>K6093</t>
  </si>
  <si>
    <t>ALG 6094</t>
  </si>
  <si>
    <t>ALG 9177</t>
  </si>
  <si>
    <t>K9177</t>
  </si>
  <si>
    <t>ALG  9184</t>
  </si>
  <si>
    <t>K9184</t>
  </si>
  <si>
    <t>ALG 5863</t>
  </si>
  <si>
    <t>K5863</t>
  </si>
  <si>
    <t>ALG 6078</t>
  </si>
  <si>
    <t>K6078</t>
  </si>
  <si>
    <t>ALG 6081</t>
  </si>
  <si>
    <t>K6081</t>
  </si>
  <si>
    <t>ALG 9201</t>
  </si>
  <si>
    <t>K9201</t>
  </si>
  <si>
    <t>ALG 9202</t>
  </si>
  <si>
    <t>K9202</t>
  </si>
  <si>
    <t>ALG 9203</t>
  </si>
  <si>
    <t>K9203</t>
  </si>
  <si>
    <t>ALG 9204</t>
  </si>
  <si>
    <t>K9204</t>
  </si>
  <si>
    <t>ALG 9209</t>
  </si>
  <si>
    <t>K9209</t>
  </si>
  <si>
    <t>ALG 9210</t>
  </si>
  <si>
    <t>K9210</t>
  </si>
  <si>
    <t>ALG 9211</t>
  </si>
  <si>
    <t>K9211</t>
  </si>
  <si>
    <t>ALG 9220</t>
  </si>
  <si>
    <t>K9220</t>
  </si>
  <si>
    <t>ALG 9232</t>
  </si>
  <si>
    <t>K9232</t>
  </si>
  <si>
    <t>ALG 9189</t>
  </si>
  <si>
    <t>K9189</t>
  </si>
  <si>
    <t>ALG 9190</t>
  </si>
  <si>
    <t>K9190</t>
  </si>
  <si>
    <t>ALG 9192</t>
  </si>
  <si>
    <t>K9192</t>
  </si>
  <si>
    <t>ALG 9197</t>
  </si>
  <si>
    <t>K9197</t>
  </si>
  <si>
    <t>ALG 9198</t>
  </si>
  <si>
    <t>K9198</t>
  </si>
  <si>
    <t>ALG 9200</t>
  </si>
  <si>
    <t>K9200</t>
  </si>
  <si>
    <t>ALG 9205</t>
  </si>
  <si>
    <t>K9205</t>
  </si>
  <si>
    <t>ALG 9206</t>
  </si>
  <si>
    <t>K9206</t>
  </si>
  <si>
    <t>ALG 9208</t>
  </si>
  <si>
    <t>K9208</t>
  </si>
  <si>
    <t>ALG 9212</t>
  </si>
  <si>
    <t>K9212</t>
  </si>
  <si>
    <t>k9212</t>
  </si>
  <si>
    <t>ALG 9213</t>
  </si>
  <si>
    <t>K9213</t>
  </si>
  <si>
    <t>ALG 9215</t>
  </si>
  <si>
    <t>K9215</t>
  </si>
  <si>
    <t>ALG 9221</t>
  </si>
  <si>
    <t>K9221</t>
  </si>
  <si>
    <t>ALG 9224</t>
  </si>
  <si>
    <t>K9224</t>
  </si>
  <si>
    <t>K9137</t>
  </si>
  <si>
    <t>ALG 9188</t>
  </si>
  <si>
    <t>K9188</t>
  </si>
  <si>
    <t>ALG 9193</t>
  </si>
  <si>
    <t>K9193</t>
  </si>
  <si>
    <t>ALG 9183</t>
  </si>
  <si>
    <t>K9183</t>
  </si>
  <si>
    <t>ALG  9191</t>
  </si>
  <si>
    <t>K9191</t>
  </si>
  <si>
    <t>ALG 9207</t>
  </si>
  <si>
    <t>K9207</t>
  </si>
  <si>
    <t>ALG 9214</t>
  </si>
  <si>
    <t>K9214</t>
  </si>
  <si>
    <t>ALG 9185</t>
  </si>
  <si>
    <t>K9185</t>
  </si>
  <si>
    <t>ALG 9149</t>
  </si>
  <si>
    <t>K9149</t>
  </si>
  <si>
    <t>ALG 9186</t>
  </si>
  <si>
    <t>K9186</t>
  </si>
  <si>
    <t>ALG 1798</t>
  </si>
  <si>
    <t>K1798</t>
  </si>
  <si>
    <t>ALG 1797</t>
  </si>
  <si>
    <t>K1797</t>
  </si>
  <si>
    <t>ALG 1799</t>
  </si>
  <si>
    <t>K1799</t>
  </si>
  <si>
    <t>ALG 1801</t>
  </si>
  <si>
    <t>K1801</t>
  </si>
  <si>
    <t>ALG 5867</t>
  </si>
  <si>
    <t>K5867</t>
  </si>
  <si>
    <t>ALG 5868</t>
  </si>
  <si>
    <t>K5868</t>
  </si>
  <si>
    <t>ALG 5872</t>
  </si>
  <si>
    <t>K5872</t>
  </si>
  <si>
    <t>ALG 5870</t>
  </si>
  <si>
    <t>K5870</t>
  </si>
  <si>
    <t>ALG 5877</t>
  </si>
  <si>
    <t>K5877</t>
  </si>
  <si>
    <t>ALG 5864</t>
  </si>
  <si>
    <t>K5864</t>
  </si>
  <si>
    <t>ALG 5871</t>
  </si>
  <si>
    <t>K5871</t>
  </si>
  <si>
    <t>ALG 5857</t>
  </si>
  <si>
    <t>K5857</t>
  </si>
  <si>
    <t>ALG 6097</t>
  </si>
  <si>
    <t>K6097</t>
  </si>
  <si>
    <t>ALG 6104</t>
  </si>
  <si>
    <t>K6104</t>
  </si>
  <si>
    <t>ALG 6096</t>
  </si>
  <si>
    <t>K6096</t>
  </si>
  <si>
    <t>ALG 6108</t>
  </si>
  <si>
    <t>K6108</t>
  </si>
  <si>
    <t>ALG 6109</t>
  </si>
  <si>
    <t>K6109</t>
  </si>
  <si>
    <t>ALG 6110</t>
  </si>
  <si>
    <t>K6110</t>
  </si>
  <si>
    <t>ALG 1098</t>
  </si>
  <si>
    <t>K1098</t>
  </si>
  <si>
    <t>ALG 6098</t>
  </si>
  <si>
    <t>K6098</t>
  </si>
  <si>
    <t>ALG 6085</t>
  </si>
  <si>
    <t>K6085</t>
  </si>
  <si>
    <t>ALG 6095</t>
  </si>
  <si>
    <t>K6095</t>
  </si>
  <si>
    <t>K6094</t>
  </si>
  <si>
    <t>ALG 6068</t>
  </si>
  <si>
    <t>K6068</t>
  </si>
  <si>
    <t>ALG 9233</t>
  </si>
  <si>
    <t>K9233</t>
  </si>
  <si>
    <t>ALG 9234</t>
  </si>
  <si>
    <t>K9234</t>
  </si>
  <si>
    <t>ALG 9243</t>
  </si>
  <si>
    <t>K9243</t>
  </si>
  <si>
    <t>ALG 9244</t>
  </si>
  <si>
    <t>K9244</t>
  </si>
  <si>
    <t>ALG 9245</t>
  </si>
  <si>
    <t>K9245</t>
  </si>
  <si>
    <t>K9545</t>
  </si>
  <si>
    <t>ALG 9250</t>
  </si>
  <si>
    <t>K9250</t>
  </si>
  <si>
    <t>ALG 9251</t>
  </si>
  <si>
    <t>K9251</t>
  </si>
  <si>
    <t>ALG 9223</t>
  </si>
  <si>
    <t>K9223</t>
  </si>
  <si>
    <t>ALG 9225</t>
  </si>
  <si>
    <t>K9225</t>
  </si>
  <si>
    <t>ALG 9226</t>
  </si>
  <si>
    <t>K9226</t>
  </si>
  <si>
    <t>ALG 9227</t>
  </si>
  <si>
    <t>K9227</t>
  </si>
  <si>
    <t>ALG 9235</t>
  </si>
  <si>
    <t>K9235</t>
  </si>
  <si>
    <t>ALG 9236</t>
  </si>
  <si>
    <t>ALG 9237</t>
  </si>
  <si>
    <t>K9237</t>
  </si>
  <si>
    <t>ALG 9238</t>
  </si>
  <si>
    <t>K9238</t>
  </si>
  <si>
    <t>ALG 9239</t>
  </si>
  <si>
    <t>K9239</t>
  </si>
  <si>
    <t>ALG 9240</t>
  </si>
  <si>
    <t>K9240</t>
  </si>
  <si>
    <t>ALG 9242</t>
  </si>
  <si>
    <t>K9242</t>
  </si>
  <si>
    <t>ALG 9246</t>
  </si>
  <si>
    <t>K9246</t>
  </si>
  <si>
    <t>ALG 9222</t>
  </si>
  <si>
    <t>K9222</t>
  </si>
  <si>
    <t>ALG 9228</t>
  </si>
  <si>
    <t>K9228</t>
  </si>
  <si>
    <t>ALG 9229</t>
  </si>
  <si>
    <t>K9229</t>
  </si>
  <si>
    <t>ALG 9241</t>
  </si>
  <si>
    <t>K9241</t>
  </si>
  <si>
    <t>ALG 9247</t>
  </si>
  <si>
    <t>K9247</t>
  </si>
  <si>
    <t>ALG 9187</t>
  </si>
  <si>
    <t>K9187</t>
  </si>
  <si>
    <t>ALG 1804</t>
  </si>
  <si>
    <t>K1804</t>
  </si>
  <si>
    <t>ALG 1806</t>
  </si>
  <si>
    <t>K1806</t>
  </si>
  <si>
    <t>ALG 1800</t>
  </si>
  <si>
    <t>K1800</t>
  </si>
  <si>
    <t>ALG 5880</t>
  </si>
  <si>
    <t>K5880</t>
  </si>
  <si>
    <t>ALG 5874</t>
  </si>
  <si>
    <t>K5874</t>
  </si>
  <si>
    <t>ALG 5876</t>
  </si>
  <si>
    <t>K5876</t>
  </si>
  <si>
    <t>ALG 5879</t>
  </si>
  <si>
    <t>K5879</t>
  </si>
  <si>
    <t>ALG 5865</t>
  </si>
  <si>
    <t>K5865</t>
  </si>
  <si>
    <t>ALG 6103</t>
  </si>
  <si>
    <t>K6103</t>
  </si>
  <si>
    <t>ALG 6105</t>
  </si>
  <si>
    <t>K6105</t>
  </si>
  <si>
    <t>ALG 6114</t>
  </si>
  <si>
    <t>K6114</t>
  </si>
  <si>
    <t>ALG 6115</t>
  </si>
  <si>
    <t>K6115</t>
  </si>
  <si>
    <t>ALG 6116</t>
  </si>
  <si>
    <t>K6116</t>
  </si>
  <si>
    <t>ALG 6117</t>
  </si>
  <si>
    <t>K6117</t>
  </si>
  <si>
    <t>ALG 6123</t>
  </si>
  <si>
    <t>K6123</t>
  </si>
  <si>
    <t>ALG 6124</t>
  </si>
  <si>
    <t>K6124</t>
  </si>
  <si>
    <t>ALG 6125</t>
  </si>
  <si>
    <t>K6125</t>
  </si>
  <si>
    <t>ALG 6106</t>
  </si>
  <si>
    <t>K6106</t>
  </si>
  <si>
    <t>ALG 6120</t>
  </si>
  <si>
    <t>K6120</t>
  </si>
  <si>
    <t>ALG 6121</t>
  </si>
  <si>
    <t>K6121</t>
  </si>
  <si>
    <t>ALG 6119</t>
  </si>
  <si>
    <t>K6119</t>
  </si>
  <si>
    <t>ALG 1723</t>
  </si>
  <si>
    <t>K1723</t>
  </si>
  <si>
    <t>ALG 1488</t>
  </si>
  <si>
    <t>K1488</t>
  </si>
  <si>
    <t>ALG 9256</t>
  </si>
  <si>
    <t>K9256</t>
  </si>
  <si>
    <t>ALG 9257</t>
  </si>
  <si>
    <t>K9257</t>
  </si>
  <si>
    <t>ALG 9258</t>
  </si>
  <si>
    <t>K9258</t>
  </si>
  <si>
    <t>ALG 9248</t>
  </si>
  <si>
    <t>K9248</t>
  </si>
  <si>
    <t>ALG 9249</t>
  </si>
  <si>
    <t>K9249</t>
  </si>
  <si>
    <t>ALG 9252</t>
  </si>
  <si>
    <t>K9252</t>
  </si>
  <si>
    <t>ALG 9259</t>
  </si>
  <si>
    <t>K9259</t>
  </si>
  <si>
    <t>ALG  9262</t>
  </si>
  <si>
    <t>K9262</t>
  </si>
  <si>
    <t>ALG 9195</t>
  </si>
  <si>
    <t>K9195</t>
  </si>
  <si>
    <t>ALG 9196</t>
  </si>
  <si>
    <t>K9196</t>
  </si>
  <si>
    <t>ALG 9253</t>
  </si>
  <si>
    <t>K9253</t>
  </si>
  <si>
    <t>ALG 9260</t>
  </si>
  <si>
    <t>K9260</t>
  </si>
  <si>
    <t>ALG 9261</t>
  </si>
  <si>
    <t>K9261</t>
  </si>
  <si>
    <t>ALG 9199</t>
  </si>
  <si>
    <t>K9199</t>
  </si>
  <si>
    <t>ALG 1803</t>
  </si>
  <si>
    <t>K1803</t>
  </si>
  <si>
    <t>ALG 1805</t>
  </si>
  <si>
    <t>K1805</t>
  </si>
  <si>
    <t>ALG 1808</t>
  </si>
  <si>
    <t>K1808</t>
  </si>
  <si>
    <t>ALG 6126</t>
  </si>
  <si>
    <t>K6126</t>
  </si>
  <si>
    <t>ALG 6127</t>
  </si>
  <si>
    <t>K6127</t>
  </si>
  <si>
    <t>ALG 6118</t>
  </si>
  <si>
    <t>K6118</t>
  </si>
  <si>
    <t>ALG 1726</t>
  </si>
  <si>
    <t>K1726</t>
  </si>
  <si>
    <t>ALG 1727</t>
  </si>
  <si>
    <t>K1727</t>
  </si>
  <si>
    <t>ALG 9263</t>
  </si>
  <si>
    <t>K9263</t>
  </si>
  <si>
    <t>ALG 9264</t>
  </si>
  <si>
    <t>K9264</t>
  </si>
  <si>
    <t>ALG 9265</t>
  </si>
  <si>
    <t>K9265</t>
  </si>
  <si>
    <t>ALG 9269</t>
  </si>
  <si>
    <t>K9269</t>
  </si>
  <si>
    <t>ALG 9270</t>
  </si>
  <si>
    <t>K9270</t>
  </si>
  <si>
    <t>ALG 9272</t>
  </si>
  <si>
    <t>K9272</t>
  </si>
  <si>
    <t>ALG 9280</t>
  </si>
  <si>
    <t>K9280</t>
  </si>
  <si>
    <t>ALG 9281</t>
  </si>
  <si>
    <t>ALG 9282</t>
  </si>
  <si>
    <t>ALG 9284</t>
  </si>
  <si>
    <t>K9284</t>
  </si>
  <si>
    <t>ALG  9254</t>
  </si>
  <si>
    <t>K9254</t>
  </si>
  <si>
    <t>ALG 9266</t>
  </si>
  <si>
    <t>K9266</t>
  </si>
  <si>
    <t>ALG 9267</t>
  </si>
  <si>
    <t>K9267</t>
  </si>
  <si>
    <t>ALG 9268</t>
  </si>
  <si>
    <t>K9268</t>
  </si>
  <si>
    <t>ALG 9273</t>
  </si>
  <si>
    <t>K9273</t>
  </si>
  <si>
    <t>ALG 9230</t>
  </si>
  <si>
    <t>K9230</t>
  </si>
  <si>
    <t>ALG 1802</t>
  </si>
  <si>
    <t>K1802</t>
  </si>
  <si>
    <t>ALG 1809</t>
  </si>
  <si>
    <t>K1809</t>
  </si>
  <si>
    <t>k1809</t>
  </si>
  <si>
    <t>ALG 1810</t>
  </si>
  <si>
    <t>k1810</t>
  </si>
  <si>
    <t>ALG 5873</t>
  </si>
  <si>
    <t>K5873</t>
  </si>
  <si>
    <t>ALG 6129</t>
  </si>
  <si>
    <t>K6129</t>
  </si>
  <si>
    <t>ALG 6136</t>
  </si>
  <si>
    <t>K6136</t>
  </si>
  <si>
    <t>K9281</t>
  </si>
  <si>
    <t>ALG 9285</t>
  </si>
  <si>
    <t>K9285</t>
  </si>
  <si>
    <t>K9282</t>
  </si>
  <si>
    <t>ALG 9287</t>
  </si>
  <si>
    <t>K9287</t>
  </si>
  <si>
    <t>ALG 9288</t>
  </si>
  <si>
    <t>K9288</t>
  </si>
  <si>
    <t>ALG 9292</t>
  </si>
  <si>
    <t>K9292</t>
  </si>
  <si>
    <t>ALG 9295</t>
  </si>
  <si>
    <t>K9295</t>
  </si>
  <si>
    <t>ALG 9296</t>
  </si>
  <si>
    <t>K9296</t>
  </si>
  <si>
    <t>ALG 9297</t>
  </si>
  <si>
    <t>K9297</t>
  </si>
  <si>
    <t>ALG 9271</t>
  </si>
  <si>
    <t>K9271</t>
  </si>
  <si>
    <t>ALG 9286</t>
  </si>
  <si>
    <t>K9286</t>
  </si>
  <si>
    <t>ALG 9289</t>
  </si>
  <si>
    <t>K9289</t>
  </si>
  <si>
    <t>ALG 9302</t>
  </si>
  <si>
    <t>K9302</t>
  </si>
  <si>
    <t>ALG 9274</t>
  </si>
  <si>
    <t>K9274</t>
  </si>
  <si>
    <t>ALG 9283</t>
  </si>
  <si>
    <t>K9283</t>
  </si>
  <si>
    <t>ALG 9301</t>
  </si>
  <si>
    <t>K9301</t>
  </si>
  <si>
    <t>ALG 9290</t>
  </si>
  <si>
    <t>K9290</t>
  </si>
  <si>
    <t>ALG 9291</t>
  </si>
  <si>
    <t>K9291</t>
  </si>
  <si>
    <t>ALG 1813</t>
  </si>
  <si>
    <t>K1813</t>
  </si>
  <si>
    <t>ALG 6128</t>
  </si>
  <si>
    <t>K6128</t>
  </si>
  <si>
    <t>ALG 6130</t>
  </si>
  <si>
    <t>K6130</t>
  </si>
  <si>
    <t>ALG 6131</t>
  </si>
  <si>
    <t>K6131</t>
  </si>
  <si>
    <t>ALG 6122</t>
  </si>
  <si>
    <t>K6122</t>
  </si>
  <si>
    <t>ALG 6132</t>
  </si>
  <si>
    <t>K6132</t>
  </si>
  <si>
    <t>ALG 6045</t>
  </si>
  <si>
    <t>K6045</t>
  </si>
  <si>
    <t>ALG 6141</t>
  </si>
  <si>
    <t>K6141</t>
  </si>
  <si>
    <t>ALG 6107</t>
  </si>
  <si>
    <t>K6107</t>
  </si>
  <si>
    <t>ALG 6142</t>
  </si>
  <si>
    <t>K6142</t>
  </si>
  <si>
    <t>ALG 9298</t>
  </si>
  <si>
    <t>K9298</t>
  </si>
  <si>
    <t>ALG 9299</t>
  </si>
  <si>
    <t>K9299</t>
  </si>
  <si>
    <t>ALG 9300</t>
  </si>
  <si>
    <t>K9300</t>
  </si>
  <si>
    <t>ALG 9306</t>
  </si>
  <si>
    <t>K9306</t>
  </si>
  <si>
    <t>ALG 9307</t>
  </si>
  <si>
    <t>K9307</t>
  </si>
  <si>
    <t>ALG  9310</t>
  </si>
  <si>
    <t>K9310</t>
  </si>
  <si>
    <t>ALG  9314</t>
  </si>
  <si>
    <t>K9314</t>
  </si>
  <si>
    <t>ALG 9304</t>
  </si>
  <si>
    <t>K9304</t>
  </si>
  <si>
    <t>ALG 9311</t>
  </si>
  <si>
    <t>K9311</t>
  </si>
  <si>
    <t>ALG 9317</t>
  </si>
  <si>
    <t>K93171</t>
  </si>
  <si>
    <t>ALG 9308</t>
  </si>
  <si>
    <t>K9308</t>
  </si>
  <si>
    <t>ALG 9316</t>
  </si>
  <si>
    <t>K9316</t>
  </si>
  <si>
    <t>ALG 9293</t>
  </si>
  <si>
    <t>K9293</t>
  </si>
  <si>
    <t>ALG 9303</t>
  </si>
  <si>
    <t>ALG 9312</t>
  </si>
  <si>
    <t>K9312</t>
  </si>
  <si>
    <t>ALG 9313</t>
  </si>
  <si>
    <t>K9313</t>
  </si>
  <si>
    <t>ALG 9294</t>
  </si>
  <si>
    <t>K9294</t>
  </si>
  <si>
    <t>ALG 9309</t>
  </si>
  <si>
    <t>K9309</t>
  </si>
  <si>
    <t>ALG 1814</t>
  </si>
  <si>
    <t>K1814</t>
  </si>
  <si>
    <t>ALG 1816</t>
  </si>
  <si>
    <t>K1816</t>
  </si>
  <si>
    <t>ALG 1811</t>
  </si>
  <si>
    <t>K1811</t>
  </si>
  <si>
    <t>ALG 1818</t>
  </si>
  <si>
    <t>K1818</t>
  </si>
  <si>
    <t>ALG 1807</t>
  </si>
  <si>
    <t>K1807</t>
  </si>
  <si>
    <t>ALG 9315</t>
  </si>
  <si>
    <t>K9315</t>
  </si>
  <si>
    <t>ALG 9318</t>
  </si>
  <si>
    <t>K9318</t>
  </si>
  <si>
    <t>ALG 9319</t>
  </si>
  <si>
    <t>K9319</t>
  </si>
  <si>
    <t>ALG 9305</t>
  </si>
  <si>
    <t>K9305</t>
  </si>
  <si>
    <t>ALG 9320</t>
  </si>
  <si>
    <t>K9320</t>
  </si>
  <si>
    <t>ALG 9329</t>
  </si>
  <si>
    <t>K9329</t>
  </si>
  <si>
    <t>ALG 9330</t>
  </si>
  <si>
    <t>K9330</t>
  </si>
  <si>
    <t>ALG 9331</t>
  </si>
  <si>
    <t>K9331</t>
  </si>
  <si>
    <t>ALG 9328</t>
  </si>
  <si>
    <t>K9328</t>
  </si>
  <si>
    <t>ALG 9343</t>
  </si>
  <si>
    <t>K9343</t>
  </si>
  <si>
    <t>ALG 9344</t>
  </si>
  <si>
    <t>K9344</t>
  </si>
  <si>
    <t>ALG 9345</t>
  </si>
  <si>
    <t>K9345</t>
  </si>
  <si>
    <t>ALG 9255</t>
  </si>
  <si>
    <t>K9255</t>
  </si>
  <si>
    <t>ALG 9321</t>
  </si>
  <si>
    <t>K9321</t>
  </si>
  <si>
    <t>ALG 9332</t>
  </si>
  <si>
    <t>K9332</t>
  </si>
  <si>
    <t>ALG 1815</t>
  </si>
  <si>
    <t>K1815</t>
  </si>
  <si>
    <t>ALG 1817</t>
  </si>
  <si>
    <t>K1817</t>
  </si>
  <si>
    <t>ALG 1812</t>
  </si>
  <si>
    <t>K1812</t>
  </si>
  <si>
    <t>ALG 5881</t>
  </si>
  <si>
    <t>K5881</t>
  </si>
  <si>
    <t>ALG 5885</t>
  </si>
  <si>
    <t>K5885</t>
  </si>
  <si>
    <t>ALG 5883</t>
  </si>
  <si>
    <t>K5883</t>
  </si>
  <si>
    <t>ALG 5884</t>
  </si>
  <si>
    <t>K5884</t>
  </si>
  <si>
    <t>ALG 5886</t>
  </si>
  <si>
    <t>K5886</t>
  </si>
  <si>
    <t>ALG 5887</t>
  </si>
  <si>
    <t>K5887</t>
  </si>
  <si>
    <t>ALG 5875</t>
  </si>
  <si>
    <t>K5875</t>
  </si>
  <si>
    <t>ALG 5878</t>
  </si>
  <si>
    <t>K5878</t>
  </si>
  <si>
    <t>ALG 6137</t>
  </si>
  <si>
    <t>K6137</t>
  </si>
  <si>
    <t>ALG 6138</t>
  </si>
  <si>
    <t>K6138</t>
  </si>
  <si>
    <t>ALG 6139</t>
  </si>
  <si>
    <t>K6139</t>
  </si>
  <si>
    <t>ALG 6146</t>
  </si>
  <si>
    <t>K6146</t>
  </si>
  <si>
    <t>ALG 6148</t>
  </si>
  <si>
    <t>K6148</t>
  </si>
  <si>
    <t>ALG 6149</t>
  </si>
  <si>
    <t>K6149</t>
  </si>
  <si>
    <t>ALG 6164</t>
  </si>
  <si>
    <t>K6164</t>
  </si>
  <si>
    <t>ALG 6140</t>
  </si>
  <si>
    <t>K6140</t>
  </si>
  <si>
    <t>ALG 6145</t>
  </si>
  <si>
    <t>K6145</t>
  </si>
  <si>
    <t>ALG 6150</t>
  </si>
  <si>
    <t>K6150</t>
  </si>
  <si>
    <t>ALG 6144</t>
  </si>
  <si>
    <t>K6144</t>
  </si>
  <si>
    <t>ALG 6154</t>
  </si>
  <si>
    <t>K6154</t>
  </si>
  <si>
    <t>ALG 6156</t>
  </si>
  <si>
    <t>K6156</t>
  </si>
  <si>
    <t>ALG 6157</t>
  </si>
  <si>
    <t>K6157</t>
  </si>
  <si>
    <t>ALG 6167</t>
  </si>
  <si>
    <t>K6167</t>
  </si>
  <si>
    <t>ALG 6111</t>
  </si>
  <si>
    <t>K6111</t>
  </si>
  <si>
    <t>ALG 6112</t>
  </si>
  <si>
    <t>K6112</t>
  </si>
  <si>
    <t>ALG 6143</t>
  </si>
  <si>
    <t>K6143</t>
  </si>
  <si>
    <t>ALG 6155</t>
  </si>
  <si>
    <t>K6155</t>
  </si>
  <si>
    <t>ALG 6158</t>
  </si>
  <si>
    <t>K6158</t>
  </si>
  <si>
    <t>ALG 6165</t>
  </si>
  <si>
    <t>K6165</t>
  </si>
  <si>
    <t>ALG 6166</t>
  </si>
  <si>
    <t>K6166</t>
  </si>
  <si>
    <t>ALG 1722</t>
  </si>
  <si>
    <t>K1722</t>
  </si>
  <si>
    <t>ALG 9342</t>
  </si>
  <si>
    <t>K9342</t>
  </si>
  <si>
    <t>ALG 9364</t>
  </si>
  <si>
    <t>K9364</t>
  </si>
  <si>
    <t>ALG 9365</t>
  </si>
  <si>
    <t>K9365</t>
  </si>
  <si>
    <t>ALG 9368</t>
  </si>
  <si>
    <t>K9368</t>
  </si>
  <si>
    <t>ALG 9346</t>
  </si>
  <si>
    <t>K9346</t>
  </si>
  <si>
    <t>ALG 5889</t>
  </si>
  <si>
    <t>K5889</t>
  </si>
  <si>
    <t>ALG 5890</t>
  </si>
  <si>
    <t>K5890</t>
  </si>
  <si>
    <t>ALG 9326</t>
  </si>
  <si>
    <t>K9326</t>
  </si>
  <si>
    <t>ALG 9327</t>
  </si>
  <si>
    <t>K9327</t>
  </si>
  <si>
    <t>ALG 9336</t>
  </si>
  <si>
    <t>K9336</t>
  </si>
  <si>
    <t>ALG 9337</t>
  </si>
  <si>
    <t>K9337</t>
  </si>
  <si>
    <t>ALG 9338</t>
  </si>
  <si>
    <t>K9338</t>
  </si>
  <si>
    <t>ALG 9347</t>
  </si>
  <si>
    <t>K9347</t>
  </si>
  <si>
    <t>ALG 9348</t>
  </si>
  <si>
    <t>K9348</t>
  </si>
  <si>
    <t>ALG 9349</t>
  </si>
  <si>
    <t>K9349</t>
  </si>
  <si>
    <t>ALG 9351</t>
  </si>
  <si>
    <t>K9351</t>
  </si>
  <si>
    <t>ALG 9354</t>
  </si>
  <si>
    <t>K9354</t>
  </si>
  <si>
    <t>ALG 9355</t>
  </si>
  <si>
    <t>K9355</t>
  </si>
  <si>
    <t>ALG 9356</t>
  </si>
  <si>
    <t>K9356</t>
  </si>
  <si>
    <t>ALG 9362</t>
  </si>
  <si>
    <t>K9362</t>
  </si>
  <si>
    <t>ALG 9363</t>
  </si>
  <si>
    <t>K9363</t>
  </si>
  <si>
    <t>ALG 9370</t>
  </si>
  <si>
    <t>K9370</t>
  </si>
  <si>
    <t>ALG 9333</t>
  </si>
  <si>
    <t>K9333</t>
  </si>
  <si>
    <t>ALG 9334</t>
  </si>
  <si>
    <t>K9334</t>
  </si>
  <si>
    <t>ALG 9339</t>
  </si>
  <si>
    <t>K9339</t>
  </si>
  <si>
    <t>ALG 9340</t>
  </si>
  <si>
    <t>K9340</t>
  </si>
  <si>
    <t>ALG 9352</t>
  </si>
  <si>
    <t>K9352</t>
  </si>
  <si>
    <t>ALG 9353</t>
  </si>
  <si>
    <t>K9353</t>
  </si>
  <si>
    <t>ALG 9357</t>
  </si>
  <si>
    <t>K9357</t>
  </si>
  <si>
    <t>ALG 9358</t>
  </si>
  <si>
    <t>K9358</t>
  </si>
  <si>
    <t>ALG 9361</t>
  </si>
  <si>
    <t>K9361</t>
  </si>
  <si>
    <t>ALG 9366</t>
  </si>
  <si>
    <t>K9366</t>
  </si>
  <si>
    <t>ALG 9374</t>
  </si>
  <si>
    <t>K9374</t>
  </si>
  <si>
    <t>ALG 9376</t>
  </si>
  <si>
    <t>K9376</t>
  </si>
  <si>
    <t>ALG 9369</t>
  </si>
  <si>
    <t>K9369</t>
  </si>
  <si>
    <t>ALG 9350</t>
  </si>
  <si>
    <t>K9350</t>
  </si>
  <si>
    <t>ALG 9359</t>
  </si>
  <si>
    <t>K9359</t>
  </si>
  <si>
    <t>ALG 9360</t>
  </si>
  <si>
    <t>K9360</t>
  </si>
  <si>
    <t>ALG 9367</t>
  </si>
  <si>
    <t>K9367</t>
  </si>
  <si>
    <t>ALG 9375</t>
  </si>
  <si>
    <t>K9375</t>
  </si>
  <si>
    <t>ALG 9377</t>
  </si>
  <si>
    <t>K9377</t>
  </si>
  <si>
    <t>ALG 1819</t>
  </si>
  <si>
    <t>K1819</t>
  </si>
  <si>
    <t>ALG 1823</t>
  </si>
  <si>
    <t>K1823</t>
  </si>
  <si>
    <t>ALF 1822</t>
  </si>
  <si>
    <t>K1822</t>
  </si>
  <si>
    <t>ALG 5888</t>
  </si>
  <si>
    <t>K5888</t>
  </si>
  <si>
    <t>ALG 5891</t>
  </si>
  <si>
    <t>K5891</t>
  </si>
  <si>
    <t>ALG 5892</t>
  </si>
  <si>
    <t>K5892</t>
  </si>
  <si>
    <t>ALG 5882</t>
  </si>
  <si>
    <t>K5882</t>
  </si>
  <si>
    <t>K5898</t>
  </si>
  <si>
    <t>K5899</t>
  </si>
  <si>
    <t>ALG 6170</t>
  </si>
  <si>
    <t>K6170</t>
  </si>
  <si>
    <t>ALG 6172</t>
  </si>
  <si>
    <t>K6172</t>
  </si>
  <si>
    <t>ALG 6176</t>
  </si>
  <si>
    <t>K6176</t>
  </si>
  <si>
    <t>ALG 6178</t>
  </si>
  <si>
    <t>K6178</t>
  </si>
  <si>
    <t>ALG  6168</t>
  </si>
  <si>
    <t>K6168</t>
  </si>
  <si>
    <t>ALG 6169</t>
  </si>
  <si>
    <t>K6169</t>
  </si>
  <si>
    <t>ALG 6174</t>
  </si>
  <si>
    <t>K6174</t>
  </si>
  <si>
    <t>ALG 6177</t>
  </si>
  <si>
    <t>K6177</t>
  </si>
  <si>
    <t>ALG 6180</t>
  </si>
  <si>
    <t>K6180</t>
  </si>
  <si>
    <t>ALG 6181</t>
  </si>
  <si>
    <t>K6181</t>
  </si>
  <si>
    <t>ALG 6171</t>
  </si>
  <si>
    <t>K6171</t>
  </si>
  <si>
    <t>ALG 6175</t>
  </si>
  <si>
    <t>K6175</t>
  </si>
  <si>
    <t>ALG 9371</t>
  </si>
  <si>
    <t>K9371</t>
  </si>
  <si>
    <t>ALG 9372</t>
  </si>
  <si>
    <t>K9372</t>
  </si>
  <si>
    <t>ALG 9373</t>
  </si>
  <si>
    <t>K9373</t>
  </si>
  <si>
    <t>ALG 9382</t>
  </si>
  <si>
    <t>K9382</t>
  </si>
  <si>
    <t>ALG 9384</t>
  </si>
  <si>
    <t>K9384</t>
  </si>
  <si>
    <t>ALG 9390</t>
  </si>
  <si>
    <t>K9390</t>
  </si>
  <si>
    <t>ALG 9397</t>
  </si>
  <si>
    <t>K9397</t>
  </si>
  <si>
    <t>ALG 9398</t>
  </si>
  <si>
    <t>K9398</t>
  </si>
  <si>
    <t>ALG 9403</t>
  </si>
  <si>
    <t>K9403</t>
  </si>
  <si>
    <t>ALG 9404</t>
  </si>
  <si>
    <t>K9404</t>
  </si>
  <si>
    <t>ALG 9407</t>
  </si>
  <si>
    <t>K9407</t>
  </si>
  <si>
    <t>ALG 9408</t>
  </si>
  <si>
    <t>K9408</t>
  </si>
  <si>
    <t>ALG 9413</t>
  </si>
  <si>
    <t>K9413</t>
  </si>
  <si>
    <t>ALG 9414</t>
  </si>
  <si>
    <t>K9414</t>
  </si>
  <si>
    <t>ALG 9415</t>
  </si>
  <si>
    <t>K9415</t>
  </si>
  <si>
    <t>ALG 9421</t>
  </si>
  <si>
    <t>K9421</t>
  </si>
  <si>
    <t>ALG 9422</t>
  </si>
  <si>
    <t>K9422</t>
  </si>
  <si>
    <t>ALG 9379</t>
  </si>
  <si>
    <t>K9379</t>
  </si>
  <si>
    <t>ALG 9381</t>
  </si>
  <si>
    <t>K9381</t>
  </si>
  <si>
    <t>ALG 9383</t>
  </si>
  <si>
    <t>K9383</t>
  </si>
  <si>
    <t>ALG 9385</t>
  </si>
  <si>
    <t>K9385</t>
  </si>
  <si>
    <t>ALG 9388</t>
  </si>
  <si>
    <t>K9388</t>
  </si>
  <si>
    <t>ALG 9392</t>
  </si>
  <si>
    <t>K9392</t>
  </si>
  <si>
    <t>ALG 9399</t>
  </si>
  <si>
    <t>K9399</t>
  </si>
  <si>
    <t>ALG 9400</t>
  </si>
  <si>
    <t>K9400</t>
  </si>
  <si>
    <t>ALG 9402</t>
  </si>
  <si>
    <t>K9402</t>
  </si>
  <si>
    <t>ALG 9405</t>
  </si>
  <si>
    <t>K9405</t>
  </si>
  <si>
    <t>ALG 9417</t>
  </si>
  <si>
    <t>K9417</t>
  </si>
  <si>
    <t>ALG 9418</t>
  </si>
  <si>
    <t>K9418</t>
  </si>
  <si>
    <t>K9818</t>
  </si>
  <si>
    <t>ALG 9423</t>
  </si>
  <si>
    <t>K9423</t>
  </si>
  <si>
    <t>ALG 9429</t>
  </si>
  <si>
    <t>K9429</t>
  </si>
  <si>
    <t>ALG 9378</t>
  </si>
  <si>
    <t>K9378</t>
  </si>
  <si>
    <t>ALG 9387</t>
  </si>
  <si>
    <t>K9387</t>
  </si>
  <si>
    <t>ALG 9391</t>
  </si>
  <si>
    <t>K9391</t>
  </si>
  <si>
    <t>ALG 9416</t>
  </si>
  <si>
    <t>K9416</t>
  </si>
  <si>
    <t>ALG 9386</t>
  </si>
  <si>
    <t>K9386</t>
  </si>
  <si>
    <t>ALG 9393</t>
  </si>
  <si>
    <t>K9393</t>
  </si>
  <si>
    <t>ALG 9401</t>
  </si>
  <si>
    <t>K9401</t>
  </si>
  <si>
    <t>ALG 9341</t>
  </si>
  <si>
    <t>K9341</t>
  </si>
  <si>
    <t>ALG 9231</t>
  </si>
  <si>
    <t>K9231</t>
  </si>
  <si>
    <t>ALG 9335</t>
  </si>
  <si>
    <t>ALG 9396</t>
  </si>
  <si>
    <t>K9396</t>
  </si>
  <si>
    <t>ALG  1821</t>
  </si>
  <si>
    <t>K1821</t>
  </si>
  <si>
    <t>ALG 1824</t>
  </si>
  <si>
    <t>K1824</t>
  </si>
  <si>
    <t>ALG 1825</t>
  </si>
  <si>
    <t>K1825</t>
  </si>
  <si>
    <t>ALG 1827</t>
  </si>
  <si>
    <t>K1827</t>
  </si>
  <si>
    <t>ALG 1829</t>
  </si>
  <si>
    <t>K1829</t>
  </si>
  <si>
    <t>ALG 1831</t>
  </si>
  <si>
    <t>K1831</t>
  </si>
  <si>
    <t>ALG 1832</t>
  </si>
  <si>
    <t>K1832</t>
  </si>
  <si>
    <t>ALG 1828</t>
  </si>
  <si>
    <t>K1828</t>
  </si>
  <si>
    <t>ALG 1833</t>
  </si>
  <si>
    <t>K1833</t>
  </si>
  <si>
    <t>ALG 1826</t>
  </si>
  <si>
    <t>K1826</t>
  </si>
  <si>
    <t>ALG 1830</t>
  </si>
  <si>
    <t>K1830</t>
  </si>
  <si>
    <t>ALG 1835</t>
  </si>
  <si>
    <t>K1835</t>
  </si>
  <si>
    <t>ALG 5896</t>
  </si>
  <si>
    <t>K5896</t>
  </si>
  <si>
    <t>ALG 5897</t>
  </si>
  <si>
    <t>K5897</t>
  </si>
  <si>
    <t>ALG 5904</t>
  </si>
  <si>
    <t>K5904</t>
  </si>
  <si>
    <t>ALG 5905</t>
  </si>
  <si>
    <t>K5905</t>
  </si>
  <si>
    <t>ALG 5906</t>
  </si>
  <si>
    <t>K5906</t>
  </si>
  <si>
    <t>ALG 5912</t>
  </si>
  <si>
    <t>K5912</t>
  </si>
  <si>
    <t>ALG 5913</t>
  </si>
  <si>
    <t>K5913</t>
  </si>
  <si>
    <t>ALG 5893</t>
  </si>
  <si>
    <t>K5893</t>
  </si>
  <si>
    <t>ALG 5894</t>
  </si>
  <si>
    <t>K5894</t>
  </si>
  <si>
    <t>ALG 5895</t>
  </si>
  <si>
    <t>K5895</t>
  </si>
  <si>
    <t>ALG 5900</t>
  </si>
  <si>
    <t>K5900</t>
  </si>
  <si>
    <t>ALG 5901</t>
  </si>
  <si>
    <t>K5901</t>
  </si>
  <si>
    <t>ALG 5908</t>
  </si>
  <si>
    <t>K5908</t>
  </si>
  <si>
    <t>ALG 5909</t>
  </si>
  <si>
    <t>K5909</t>
  </si>
  <si>
    <t>ALG 5910</t>
  </si>
  <si>
    <t>K5910</t>
  </si>
  <si>
    <t>ALG 5914</t>
  </si>
  <si>
    <t>K5914</t>
  </si>
  <si>
    <t>ALG 5916</t>
  </si>
  <si>
    <t>K5916</t>
  </si>
  <si>
    <t>ALG 5917</t>
  </si>
  <si>
    <t>K5917</t>
  </si>
  <si>
    <t>ALG 5918</t>
  </si>
  <si>
    <t>K5918</t>
  </si>
  <si>
    <t>ALG 5902</t>
  </si>
  <si>
    <t>K5902</t>
  </si>
  <si>
    <t>ALG 5903</t>
  </si>
  <si>
    <t>K5903</t>
  </si>
  <si>
    <t>ALG 5911</t>
  </si>
  <si>
    <t>K5911</t>
  </si>
  <si>
    <t>ALG  5915</t>
  </si>
  <si>
    <t>K5915</t>
  </si>
  <si>
    <t>ALG 5922</t>
  </si>
  <si>
    <t>K5922</t>
  </si>
  <si>
    <t>ALG 6179</t>
  </si>
  <si>
    <t>K6179</t>
  </si>
  <si>
    <t>ALG 6185</t>
  </si>
  <si>
    <t>K6185</t>
  </si>
  <si>
    <t>ALG 6188</t>
  </si>
  <si>
    <t>K6188</t>
  </si>
  <si>
    <t>ALG 6189</t>
  </si>
  <si>
    <t>K6189</t>
  </si>
  <si>
    <t>ALG 6192</t>
  </si>
  <si>
    <t>K6192</t>
  </si>
  <si>
    <t>ALG 6193</t>
  </si>
  <si>
    <t>K6193</t>
  </si>
  <si>
    <t>ALG 6201</t>
  </si>
  <si>
    <t>K6201</t>
  </si>
  <si>
    <t>ALG 6203</t>
  </si>
  <si>
    <t>K6203</t>
  </si>
  <si>
    <t>ALG 6204</t>
  </si>
  <si>
    <t>K6204</t>
  </si>
  <si>
    <t>ALG 6173</t>
  </si>
  <si>
    <t>K6173</t>
  </si>
  <si>
    <t>ALG 6186</t>
  </si>
  <si>
    <t>K6186</t>
  </si>
  <si>
    <t>ALG 6190</t>
  </si>
  <si>
    <t>K6190</t>
  </si>
  <si>
    <t>ALG 6194</t>
  </si>
  <si>
    <t>K6194</t>
  </si>
  <si>
    <t>ALG 6197</t>
  </si>
  <si>
    <t>K6197</t>
  </si>
  <si>
    <t>ALG 6205</t>
  </si>
  <si>
    <t>K6205</t>
  </si>
  <si>
    <t>ALG 6206</t>
  </si>
  <si>
    <t>K6206</t>
  </si>
  <si>
    <t>ALG 6147</t>
  </si>
  <si>
    <t>K6147</t>
  </si>
  <si>
    <t>ALG  6151</t>
  </si>
  <si>
    <t>K6151</t>
  </si>
  <si>
    <t>ALG 6182</t>
  </si>
  <si>
    <t>K6182</t>
  </si>
  <si>
    <t>ALG 6202</t>
  </si>
  <si>
    <t>K6202</t>
  </si>
  <si>
    <t>ALG 6183</t>
  </si>
  <si>
    <t>K6183</t>
  </si>
  <si>
    <t>ALG 6184</t>
  </si>
  <si>
    <t>K6184</t>
  </si>
  <si>
    <t>ALG 6187</t>
  </si>
  <si>
    <t>K6187</t>
  </si>
  <si>
    <t>ALG 6001</t>
  </si>
  <si>
    <t>K6001</t>
  </si>
  <si>
    <t>ALG 6003</t>
  </si>
  <si>
    <t>K6003</t>
  </si>
  <si>
    <t>K3458</t>
  </si>
  <si>
    <t>K3448</t>
  </si>
  <si>
    <t>ALG 9419</t>
  </si>
  <si>
    <t>K9419</t>
  </si>
  <si>
    <t>K9335</t>
  </si>
  <si>
    <t>ALG 9428</t>
  </si>
  <si>
    <t>K9828</t>
  </si>
  <si>
    <t>K9428</t>
  </si>
  <si>
    <t>ALG 9432</t>
  </si>
  <si>
    <t>K9432</t>
  </si>
  <si>
    <t>ALG 9433</t>
  </si>
  <si>
    <t>K9433</t>
  </si>
  <si>
    <t>ALG 9441</t>
  </si>
  <si>
    <t>K9441</t>
  </si>
  <si>
    <t>ALG 9442</t>
  </si>
  <si>
    <t>K9442</t>
  </si>
  <si>
    <t>ALG 9449</t>
  </si>
  <si>
    <t>ALG 9406</t>
  </si>
  <si>
    <t>K9406</t>
  </si>
  <si>
    <t>ALG 9430</t>
  </si>
  <si>
    <t>K9430</t>
  </si>
  <si>
    <t>ALG 9436</t>
  </si>
  <si>
    <t>K9436</t>
  </si>
  <si>
    <t>ALG 9440</t>
  </si>
  <si>
    <t>K9440</t>
  </si>
  <si>
    <t>ALG 9444</t>
  </si>
  <si>
    <t>K9444</t>
  </si>
  <si>
    <t>ALG 9451</t>
  </si>
  <si>
    <t>K9451</t>
  </si>
  <si>
    <t>ALG 9452</t>
  </si>
  <si>
    <t>K9452</t>
  </si>
  <si>
    <t>ALG 9434</t>
  </si>
  <si>
    <t>K9434</t>
  </si>
  <si>
    <t>ALG 9435</t>
  </si>
  <si>
    <t>K9435</t>
  </si>
  <si>
    <t>ALG 9443</t>
  </si>
  <si>
    <t>K9443</t>
  </si>
  <si>
    <t>ALG 9460</t>
  </si>
  <si>
    <t>K9460</t>
  </si>
  <si>
    <t>ALG 9420</t>
  </si>
  <si>
    <t>K9420</t>
  </si>
  <si>
    <t>ALG 9424</t>
  </si>
  <si>
    <t>K9424</t>
  </si>
  <si>
    <t>ALG 9425</t>
  </si>
  <si>
    <t>K9425</t>
  </si>
  <si>
    <t>ALG 9431</t>
  </si>
  <si>
    <t>K9431</t>
  </si>
  <si>
    <t>ALG 9437</t>
  </si>
  <si>
    <t>K9437</t>
  </si>
  <si>
    <t>ALG 9445</t>
  </si>
  <si>
    <t>K9445</t>
  </si>
  <si>
    <t>ALG 9380</t>
  </si>
  <si>
    <t>K9380</t>
  </si>
  <si>
    <t>ALG 9395</t>
  </si>
  <si>
    <t>K9395</t>
  </si>
  <si>
    <t>ALG 9438</t>
  </si>
  <si>
    <t>K9438</t>
  </si>
  <si>
    <t>ALG 9439</t>
  </si>
  <si>
    <t>K9439</t>
  </si>
  <si>
    <t>ALG 9455</t>
  </si>
  <si>
    <t>K9455</t>
  </si>
  <si>
    <t>ALG 9456</t>
  </si>
  <si>
    <t>K9456</t>
  </si>
  <si>
    <t>ALG 9389</t>
  </si>
  <si>
    <t>K9389</t>
  </si>
  <si>
    <t>ALG 9466</t>
  </si>
  <si>
    <t>K9466</t>
  </si>
  <si>
    <t>CONCILIATION CAPRI GREY SA5 NAPPA</t>
  </si>
  <si>
    <t>ALG 1834</t>
  </si>
  <si>
    <t>K1834</t>
  </si>
  <si>
    <t>ALG 1837</t>
  </si>
  <si>
    <t>K1837</t>
  </si>
  <si>
    <t>ALG 1839</t>
  </si>
  <si>
    <t>K1839</t>
  </si>
  <si>
    <t>ALG 1836</t>
  </si>
  <si>
    <t>K1836</t>
  </si>
  <si>
    <t>ALG 1841</t>
  </si>
  <si>
    <t>K1841</t>
  </si>
  <si>
    <t>ALG 5919</t>
  </si>
  <si>
    <t>K5919</t>
  </si>
  <si>
    <t>ALG 5920</t>
  </si>
  <si>
    <t>K5960</t>
  </si>
  <si>
    <t>ALG 5921</t>
  </si>
  <si>
    <t>K5921</t>
  </si>
  <si>
    <t>ALG 5926</t>
  </si>
  <si>
    <t>K5926</t>
  </si>
  <si>
    <t>ALG 6211</t>
  </si>
  <si>
    <t>K6211</t>
  </si>
  <si>
    <t>ALG 6212</t>
  </si>
  <si>
    <t>K6212</t>
  </si>
  <si>
    <t>ALG 6216</t>
  </si>
  <si>
    <t>K6216</t>
  </si>
  <si>
    <t>ALG 6207</t>
  </si>
  <si>
    <t>K6207</t>
  </si>
  <si>
    <t>ALG 6208</t>
  </si>
  <si>
    <t>K6208</t>
  </si>
  <si>
    <t>ALG 6219</t>
  </si>
  <si>
    <t>K6219</t>
  </si>
  <si>
    <t>ALG 6209</t>
  </si>
  <si>
    <t>K6209</t>
  </si>
  <si>
    <t>ALG 6217</t>
  </si>
  <si>
    <t>K6217</t>
  </si>
  <si>
    <t>ALG 6218</t>
  </si>
  <si>
    <t>K6218</t>
  </si>
  <si>
    <t>ALG 6191</t>
  </si>
  <si>
    <t>K6191</t>
  </si>
  <si>
    <t>K9449</t>
  </si>
  <si>
    <t>ALG 9450</t>
  </si>
  <si>
    <t>K9450</t>
  </si>
  <si>
    <t>ALG 9477</t>
  </si>
  <si>
    <t>K9477</t>
  </si>
  <si>
    <t>ALG 6195</t>
  </si>
  <si>
    <t>K6195</t>
  </si>
  <si>
    <t>ALG 6196</t>
  </si>
  <si>
    <t>K6196</t>
  </si>
  <si>
    <t>ALG 9458</t>
  </si>
  <si>
    <t>K9458</t>
  </si>
  <si>
    <t>ALG 9459</t>
  </si>
  <si>
    <t>K9459</t>
  </si>
  <si>
    <t>ALG 9464</t>
  </si>
  <si>
    <t>K9464</t>
  </si>
  <si>
    <t>ALG 9472</t>
  </si>
  <si>
    <t>K9472</t>
  </si>
  <si>
    <t>ALG 9473</t>
  </si>
  <si>
    <t>K9473</t>
  </si>
  <si>
    <t>ALG 9478</t>
  </si>
  <si>
    <t>K9478</t>
  </si>
  <si>
    <t>ALG 9479</t>
  </si>
  <si>
    <t>K9479</t>
  </si>
  <si>
    <t>ALG 9482</t>
  </si>
  <si>
    <t>K9482</t>
  </si>
  <si>
    <t>ALG 9483</t>
  </si>
  <si>
    <t>K9483</t>
  </si>
  <si>
    <t>ALG 9484</t>
  </si>
  <si>
    <t>K9484</t>
  </si>
  <si>
    <t>ALG 9485</t>
  </si>
  <si>
    <t>K9485</t>
  </si>
  <si>
    <t>ALG 9493</t>
  </si>
  <si>
    <t>K9493</t>
  </si>
  <si>
    <t>ALG 9494</t>
  </si>
  <si>
    <t>K9494</t>
  </si>
  <si>
    <t>ALG 9500</t>
  </si>
  <si>
    <t>K9500</t>
  </si>
  <si>
    <t>ALG 9504</t>
  </si>
  <si>
    <t>K9504</t>
  </si>
  <si>
    <t>ALG 9505</t>
  </si>
  <si>
    <t>K9505</t>
  </si>
  <si>
    <t>ALG 9506</t>
  </si>
  <si>
    <t>K9506</t>
  </si>
  <si>
    <t>ALG 9453</t>
  </si>
  <si>
    <t>K9453</t>
  </si>
  <si>
    <t>ALG 9461</t>
  </si>
  <si>
    <t>K9461</t>
  </si>
  <si>
    <t>ALG 9465</t>
  </si>
  <si>
    <t>K9465</t>
  </si>
  <si>
    <t>ALG 9468</t>
  </si>
  <si>
    <t>K9468</t>
  </si>
  <si>
    <t>ALG 9469</t>
  </si>
  <si>
    <t>K9469</t>
  </si>
  <si>
    <t>ALG 9470</t>
  </si>
  <si>
    <t>K9470</t>
  </si>
  <si>
    <t>ALG 9471</t>
  </si>
  <si>
    <t>K9471</t>
  </si>
  <si>
    <t>ALG 9480</t>
  </si>
  <si>
    <t>K9480</t>
  </si>
  <si>
    <t>ALG 9487</t>
  </si>
  <si>
    <t>K9487</t>
  </si>
  <si>
    <t>ALG 9488</t>
  </si>
  <si>
    <t>K9488</t>
  </si>
  <si>
    <t>ALG 9490</t>
  </si>
  <si>
    <t>K9490</t>
  </si>
  <si>
    <t>ALG 9497</t>
  </si>
  <si>
    <t>K9497</t>
  </si>
  <si>
    <t>ALG 9499</t>
  </si>
  <si>
    <t>K9499</t>
  </si>
  <si>
    <t>ALG 9503</t>
  </si>
  <si>
    <t>K9503</t>
  </si>
  <si>
    <t>ALG 9510</t>
  </si>
  <si>
    <t>K9510</t>
  </si>
  <si>
    <t>ALG 9511</t>
  </si>
  <si>
    <t>K9511</t>
  </si>
  <si>
    <t>ALG 9512</t>
  </si>
  <si>
    <t>K9512</t>
  </si>
  <si>
    <t>ALG 9476</t>
  </si>
  <si>
    <t>K9476</t>
  </si>
  <si>
    <t>ALG 9467</t>
  </si>
  <si>
    <t>K9467</t>
  </si>
  <si>
    <t>ALG 9492</t>
  </si>
  <si>
    <t>K9492</t>
  </si>
  <si>
    <t>ALG 9495</t>
  </si>
  <si>
    <t>K9495</t>
  </si>
  <si>
    <t>ALG 9502</t>
  </si>
  <si>
    <t>K9502</t>
  </si>
  <si>
    <t>ALG 9454</t>
  </si>
  <si>
    <t>K9454</t>
  </si>
  <si>
    <t>ALG 9462</t>
  </si>
  <si>
    <t>K9462</t>
  </si>
  <si>
    <t>ALG 9481</t>
  </si>
  <si>
    <t>K9481</t>
  </si>
  <si>
    <t>ALG 9489</t>
  </si>
  <si>
    <t>K9489</t>
  </si>
  <si>
    <t>ALG 9457</t>
  </si>
  <si>
    <t>K9457</t>
  </si>
  <si>
    <t>ALG 9475</t>
  </si>
  <si>
    <t>K9475</t>
  </si>
  <si>
    <t>ALG 9474</t>
  </si>
  <si>
    <t>K9474</t>
  </si>
  <si>
    <t>ALG 9486</t>
  </si>
  <si>
    <t>K9486</t>
  </si>
  <si>
    <t>ALG 9496</t>
  </si>
  <si>
    <t>K9496</t>
  </si>
  <si>
    <t>ALG 9501</t>
  </si>
  <si>
    <t>K9501</t>
  </si>
  <si>
    <t>ALG 9508</t>
  </si>
  <si>
    <t>K9508</t>
  </si>
  <si>
    <t>ALG 9509</t>
  </si>
  <si>
    <t>K9509</t>
  </si>
  <si>
    <t>ALG 1838</t>
  </si>
  <si>
    <t>K1838</t>
  </si>
  <si>
    <t>ALG 1843</t>
  </si>
  <si>
    <t>K1843</t>
  </si>
  <si>
    <t>ALG 1847</t>
  </si>
  <si>
    <t>K1847</t>
  </si>
  <si>
    <t>ALG 1840</t>
  </si>
  <si>
    <t>K1840</t>
  </si>
  <si>
    <t>ALG 1845</t>
  </si>
  <si>
    <t>K1845</t>
  </si>
  <si>
    <t>ALG 1848</t>
  </si>
  <si>
    <t>K1848</t>
  </si>
  <si>
    <t>ALG 1844</t>
  </si>
  <si>
    <t>K1844</t>
  </si>
  <si>
    <t>ALG 5924</t>
  </si>
  <si>
    <t>K5924</t>
  </si>
  <si>
    <t>ALG 5925</t>
  </si>
  <si>
    <t>K5925</t>
  </si>
  <si>
    <t>ALG 5929</t>
  </si>
  <si>
    <t>K5929</t>
  </si>
  <si>
    <t>ALG 5923</t>
  </si>
  <si>
    <t>K5923</t>
  </si>
  <si>
    <t>ALG 5927</t>
  </si>
  <si>
    <t>K5927</t>
  </si>
  <si>
    <t>ALG 5928</t>
  </si>
  <si>
    <t>K5928</t>
  </si>
  <si>
    <t>ALG 5931</t>
  </si>
  <si>
    <t>K5931</t>
  </si>
  <si>
    <t>ALG 5932</t>
  </si>
  <si>
    <t>K5932</t>
  </si>
  <si>
    <t>ALG 5933</t>
  </si>
  <si>
    <t>K5933</t>
  </si>
  <si>
    <t>ALG 5936</t>
  </si>
  <si>
    <t>K5936</t>
  </si>
  <si>
    <t>ALG 6220</t>
  </si>
  <si>
    <t>K6220</t>
  </si>
  <si>
    <t>ALG 6225</t>
  </si>
  <si>
    <t>K6225</t>
  </si>
  <si>
    <t>ALG 6228</t>
  </si>
  <si>
    <t>K6228</t>
  </si>
  <si>
    <t>ALG 6229</t>
  </si>
  <si>
    <t>K6229</t>
  </si>
  <si>
    <t>ALG 6234</t>
  </si>
  <si>
    <t>K6234</t>
  </si>
  <si>
    <t>ALG 6235</t>
  </si>
  <si>
    <t>K6235</t>
  </si>
  <si>
    <t>ALG 6239</t>
  </si>
  <si>
    <t>K6239</t>
  </si>
  <si>
    <t>ALG 6243</t>
  </si>
  <si>
    <t>K6243</t>
  </si>
  <si>
    <t>ALG 6222</t>
  </si>
  <si>
    <t>K6222</t>
  </si>
  <si>
    <t>ALG 6223</t>
  </si>
  <si>
    <t>K6223</t>
  </si>
  <si>
    <t>ALG 6226</t>
  </si>
  <si>
    <t>K6226</t>
  </si>
  <si>
    <t>ALG 6230</t>
  </si>
  <si>
    <t>K6230</t>
  </si>
  <si>
    <t>ALG 6232</t>
  </si>
  <si>
    <t>K6232</t>
  </si>
  <si>
    <t>ALG 6237</t>
  </si>
  <si>
    <t>K6237</t>
  </si>
  <si>
    <t>ALG 6233</t>
  </si>
  <si>
    <t>K6233</t>
  </si>
  <si>
    <t>ALG 6210</t>
  </si>
  <si>
    <t>K6210</t>
  </si>
  <si>
    <t>ALG 6221</t>
  </si>
  <si>
    <t>K6221</t>
  </si>
  <si>
    <t>ALG 6224</t>
  </si>
  <si>
    <t>K6224</t>
  </si>
  <si>
    <t>ALG 9517</t>
  </si>
  <si>
    <t>K9517</t>
  </si>
  <si>
    <t>ALG 9518</t>
  </si>
  <si>
    <t>K9518</t>
  </si>
  <si>
    <t>ALG 9524</t>
  </si>
  <si>
    <t>K9524</t>
  </si>
  <si>
    <t>ALG 9525</t>
  </si>
  <si>
    <t>K9525</t>
  </si>
  <si>
    <t>ALG 9530</t>
  </si>
  <si>
    <t>K9530</t>
  </si>
  <si>
    <t>ALG 9535</t>
  </si>
  <si>
    <t>K9535</t>
  </si>
  <si>
    <t>ALG 9536</t>
  </si>
  <si>
    <t>K9536</t>
  </si>
  <si>
    <t>ALG 9540</t>
  </si>
  <si>
    <t>K9540</t>
  </si>
  <si>
    <t>ALG 9544</t>
  </si>
  <si>
    <t>K9544</t>
  </si>
  <si>
    <t>ALG 9550</t>
  </si>
  <si>
    <t>K9550</t>
  </si>
  <si>
    <t>ALG 9551</t>
  </si>
  <si>
    <t>K9551</t>
  </si>
  <si>
    <t>ALG 9522</t>
  </si>
  <si>
    <t>K9522</t>
  </si>
  <si>
    <t>ALG 9523</t>
  </si>
  <si>
    <t>K9523</t>
  </si>
  <si>
    <t>ALG 9533</t>
  </si>
  <si>
    <t>K9533</t>
  </si>
  <si>
    <t>ALG 9534</t>
  </si>
  <si>
    <t>K9534</t>
  </si>
  <si>
    <t>ALG 9539</t>
  </si>
  <si>
    <t>K9539</t>
  </si>
  <si>
    <t>ALG 9542</t>
  </si>
  <si>
    <t>K9542</t>
  </si>
  <si>
    <t>ALG 9543</t>
  </si>
  <si>
    <t>K9543</t>
  </si>
  <si>
    <t>ALG 9547</t>
  </si>
  <si>
    <t>K9547</t>
  </si>
  <si>
    <t>ALG 9548</t>
  </si>
  <si>
    <t>K9548</t>
  </si>
  <si>
    <t>ALG 9555</t>
  </si>
  <si>
    <t>K9555</t>
  </si>
  <si>
    <t>ALG 9556</t>
  </si>
  <si>
    <t>K9556</t>
  </si>
  <si>
    <t>ALG 9507</t>
  </si>
  <si>
    <t>K9507</t>
  </si>
  <si>
    <t>ALG 9531</t>
  </si>
  <si>
    <t>K9531</t>
  </si>
  <si>
    <t>ALG 9537</t>
  </si>
  <si>
    <t>K9537</t>
  </si>
  <si>
    <t>ALG 9541</t>
  </si>
  <si>
    <t>K9541</t>
  </si>
  <si>
    <t>ALG 9545</t>
  </si>
  <si>
    <t>ALG 9498</t>
  </si>
  <si>
    <t>K9498</t>
  </si>
  <si>
    <t>ALG 9514</t>
  </si>
  <si>
    <t>K9514</t>
  </si>
  <si>
    <t>ALG 9515</t>
  </si>
  <si>
    <t>K9515</t>
  </si>
  <si>
    <t>ALG 9516</t>
  </si>
  <si>
    <t>K9516</t>
  </si>
  <si>
    <t>ALG 9520</t>
  </si>
  <si>
    <t>K9520</t>
  </si>
  <si>
    <t>ALG 9549</t>
  </si>
  <si>
    <t>K9549</t>
  </si>
  <si>
    <t>ALG 9491</t>
  </si>
  <si>
    <t>K9491</t>
  </si>
  <si>
    <t>ALG 9519</t>
  </si>
  <si>
    <t>K9519</t>
  </si>
  <si>
    <t>ALG 9532</t>
  </si>
  <si>
    <t>K9532</t>
  </si>
  <si>
    <t>ALG 9538</t>
  </si>
  <si>
    <t>K9538</t>
  </si>
  <si>
    <t>ALG 9546</t>
  </si>
  <si>
    <t>K9546</t>
  </si>
  <si>
    <t>ALG 1846</t>
  </si>
  <si>
    <t>K1846</t>
  </si>
  <si>
    <t>ALG 1852</t>
  </si>
  <si>
    <t>K1852</t>
  </si>
  <si>
    <t>ALG 1853</t>
  </si>
  <si>
    <t>K1853</t>
  </si>
  <si>
    <t>ALG 1849</t>
  </si>
  <si>
    <t>K1849</t>
  </si>
  <si>
    <t>ALG 1851</t>
  </si>
  <si>
    <t>K1851</t>
  </si>
  <si>
    <t>ALG  5940</t>
  </si>
  <si>
    <t>K5940</t>
  </si>
  <si>
    <t>ALG 5930</t>
  </si>
  <si>
    <t>K5930</t>
  </si>
  <si>
    <t>ALG 5934</t>
  </si>
  <si>
    <t>K5934</t>
  </si>
  <si>
    <t>ALG 5935</t>
  </si>
  <si>
    <t>ALG 5939</t>
  </si>
  <si>
    <t>K5939</t>
  </si>
  <si>
    <t>ALG 5941</t>
  </si>
  <si>
    <t>K5941</t>
  </si>
  <si>
    <t>ALG  6245</t>
  </si>
  <si>
    <t>K6245</t>
  </si>
  <si>
    <t>ALG 6250</t>
  </si>
  <si>
    <t>K6250</t>
  </si>
  <si>
    <t>ALG 6251</t>
  </si>
  <si>
    <t>K6251</t>
  </si>
  <si>
    <t>ALG 6255</t>
  </si>
  <si>
    <t>K6255</t>
  </si>
  <si>
    <t>ALG 6256</t>
  </si>
  <si>
    <t>K6256</t>
  </si>
  <si>
    <t>ALG 6259</t>
  </si>
  <si>
    <t>K6259</t>
  </si>
  <si>
    <t>ALG 6236</t>
  </si>
  <si>
    <t>K9236</t>
  </si>
  <si>
    <t>ALG 6240</t>
  </si>
  <si>
    <t>K6240</t>
  </si>
  <si>
    <t>ALG 6254</t>
  </si>
  <si>
    <t>K6254</t>
  </si>
  <si>
    <t>ALG 6257</t>
  </si>
  <si>
    <t>K6257</t>
  </si>
  <si>
    <t>ALG 6241</t>
  </si>
  <si>
    <t>K6241</t>
  </si>
  <si>
    <t>k6241</t>
  </si>
  <si>
    <t>ALG 6252</t>
  </si>
  <si>
    <t>K6252</t>
  </si>
  <si>
    <t>ALG 6258</t>
  </si>
  <si>
    <t>K6258</t>
  </si>
  <si>
    <t>ALG 6253</t>
  </si>
  <si>
    <t>K6253</t>
  </si>
  <si>
    <t>ALG 6263</t>
  </si>
  <si>
    <t>K6263</t>
  </si>
  <si>
    <t>ALG 9552</t>
  </si>
  <si>
    <t>K9552</t>
  </si>
  <si>
    <t>ALG 9559</t>
  </si>
  <si>
    <t>K9559</t>
  </si>
  <si>
    <t>ALG 9560</t>
  </si>
  <si>
    <t>K9560</t>
  </si>
  <si>
    <t>ALG 9566</t>
  </si>
  <si>
    <t>K9566</t>
  </si>
  <si>
    <t>ALG 9567</t>
  </si>
  <si>
    <t>K9567</t>
  </si>
  <si>
    <t>ALG 9569</t>
  </si>
  <si>
    <t>K9569</t>
  </si>
  <si>
    <t>ALG 9576</t>
  </si>
  <si>
    <t>K9576</t>
  </si>
  <si>
    <t>ALG 9583</t>
  </si>
  <si>
    <t>K9583</t>
  </si>
  <si>
    <t>ALG 9591</t>
  </si>
  <si>
    <t>K9591</t>
  </si>
  <si>
    <t>ALG 9594</t>
  </si>
  <si>
    <t>K9594</t>
  </si>
  <si>
    <t>ALG 9557</t>
  </si>
  <si>
    <t>K9557</t>
  </si>
  <si>
    <t>ALG 9558</t>
  </si>
  <si>
    <t>K9558</t>
  </si>
  <si>
    <t>ALG 9563</t>
  </si>
  <si>
    <t>K9563</t>
  </si>
  <si>
    <t>ALG 9564</t>
  </si>
  <si>
    <t>K9564</t>
  </si>
  <si>
    <t>ALG 9565</t>
  </si>
  <si>
    <t>K9565</t>
  </si>
  <si>
    <t>ALG 9571</t>
  </si>
  <si>
    <t>K9571</t>
  </si>
  <si>
    <t>ALG 9572</t>
  </si>
  <si>
    <t>K9572</t>
  </si>
  <si>
    <t>ALG 9573</t>
  </si>
  <si>
    <t>K9573</t>
  </si>
  <si>
    <t>ALG 9574</t>
  </si>
  <si>
    <t>K9574</t>
  </si>
  <si>
    <t>ALG 9575</t>
  </si>
  <si>
    <t>k9575</t>
  </si>
  <si>
    <t>ALG 9577</t>
  </si>
  <si>
    <t>K9577</t>
  </si>
  <si>
    <t>ALG 9578</t>
  </si>
  <si>
    <t>K9578</t>
  </si>
  <si>
    <t>ALG 9580</t>
  </si>
  <si>
    <t>K9580</t>
  </si>
  <si>
    <t>ALG 9581</t>
  </si>
  <si>
    <t>K9581</t>
  </si>
  <si>
    <t>ALG 9584</t>
  </si>
  <si>
    <t>K9584</t>
  </si>
  <si>
    <t>ALG 9592</t>
  </si>
  <si>
    <t>K9592</t>
  </si>
  <si>
    <t>ALG 9553</t>
  </si>
  <si>
    <t>K9553</t>
  </si>
  <si>
    <t>ALG 9568</t>
  </si>
  <si>
    <t>K9568</t>
  </si>
  <si>
    <t>ALG 9582</t>
  </si>
  <si>
    <t>K9582</t>
  </si>
  <si>
    <t>ALG 9585</t>
  </si>
  <si>
    <t>K9585</t>
  </si>
  <si>
    <t>ALG 9593</t>
  </si>
  <si>
    <t>K9593</t>
  </si>
  <si>
    <t>ALG 9513</t>
  </si>
  <si>
    <t>K9513</t>
  </si>
  <si>
    <t>ALG 9426</t>
  </si>
  <si>
    <t>K9426</t>
  </si>
  <si>
    <t>ALG 9427</t>
  </si>
  <si>
    <t>K9427</t>
  </si>
  <si>
    <t>ALG 9597</t>
  </si>
  <si>
    <t>K9597</t>
  </si>
  <si>
    <t>ALG 9598</t>
  </si>
  <si>
    <t>K9598</t>
  </si>
  <si>
    <t>ALG 1858</t>
  </si>
  <si>
    <t>K1858</t>
  </si>
  <si>
    <t>ALG 1842</t>
  </si>
  <si>
    <t>K1842</t>
  </si>
  <si>
    <t>K1861</t>
  </si>
  <si>
    <t>ALG 1861</t>
  </si>
  <si>
    <t>K1857</t>
  </si>
  <si>
    <t>ALG  1857</t>
  </si>
  <si>
    <t>K1854</t>
  </si>
  <si>
    <t>ALG  1854</t>
  </si>
  <si>
    <t>ALG 1855</t>
  </si>
  <si>
    <t>K1855</t>
  </si>
  <si>
    <t>ALG 1860</t>
  </si>
  <si>
    <t>K1860</t>
  </si>
  <si>
    <t>ALG 6265</t>
  </si>
  <si>
    <t>K6265</t>
  </si>
  <si>
    <t>ALG 6268</t>
  </si>
  <si>
    <t>K6268</t>
  </si>
  <si>
    <t>ALG 6269</t>
  </si>
  <si>
    <t>K6269</t>
  </si>
  <si>
    <t>ALG 6275</t>
  </si>
  <si>
    <t>K6275</t>
  </si>
  <si>
    <t>ALG 6261</t>
  </si>
  <si>
    <t>K6261</t>
  </si>
  <si>
    <t>ALG 6262</t>
  </si>
  <si>
    <t>K6262</t>
  </si>
  <si>
    <t>ALG 6266</t>
  </si>
  <si>
    <t>K6266</t>
  </si>
  <si>
    <t>ALG  6260</t>
  </si>
  <si>
    <t>K6260</t>
  </si>
  <si>
    <t>ALG 6227</t>
  </si>
  <si>
    <t>K6227</t>
  </si>
  <si>
    <t>ALG 6231</t>
  </si>
  <si>
    <t>K6231</t>
  </si>
  <si>
    <t>ALG  9521</t>
  </si>
  <si>
    <t>K9521</t>
  </si>
  <si>
    <t>ALG 9463</t>
  </si>
  <si>
    <t>K9463</t>
  </si>
  <si>
    <t>ALG 9599</t>
  </si>
  <si>
    <t>K9599</t>
  </si>
  <si>
    <t>ALG 9606</t>
  </si>
  <si>
    <t>K9606</t>
  </si>
  <si>
    <t>ALG 9614</t>
  </si>
  <si>
    <t>K9614</t>
  </si>
  <si>
    <t>ALG 9615</t>
  </si>
  <si>
    <t>K9615</t>
  </si>
  <si>
    <t>ALG 9616</t>
  </si>
  <si>
    <t>K9616</t>
  </si>
  <si>
    <t>ALG 9629</t>
  </si>
  <si>
    <t>K9629</t>
  </si>
  <si>
    <t>ALG 9631</t>
  </si>
  <si>
    <t>K9631</t>
  </si>
  <si>
    <t>ALG 9632</t>
  </si>
  <si>
    <t>K9632</t>
  </si>
  <si>
    <t>ALG 9633</t>
  </si>
  <si>
    <t>K96331</t>
  </si>
  <si>
    <t>ALG 9638</t>
  </si>
  <si>
    <t>K9638</t>
  </si>
  <si>
    <t>ALG 9639</t>
  </si>
  <si>
    <t>K9639</t>
  </si>
  <si>
    <t>ALG 9640</t>
  </si>
  <si>
    <t>K9640</t>
  </si>
  <si>
    <t>ALG 9647</t>
  </si>
  <si>
    <t>K9647</t>
  </si>
  <si>
    <t>ALG 9648</t>
  </si>
  <si>
    <t>K9648</t>
  </si>
  <si>
    <t>ALG 9657</t>
  </si>
  <si>
    <t>K9657</t>
  </si>
  <si>
    <t>ALG 9658</t>
  </si>
  <si>
    <t>K9658</t>
  </si>
  <si>
    <t>ALG 9659</t>
  </si>
  <si>
    <t>K9659</t>
  </si>
  <si>
    <t>ALG 9579</t>
  </si>
  <si>
    <t>K9579</t>
  </si>
  <si>
    <t>ALG 9595</t>
  </si>
  <si>
    <t>K9595</t>
  </si>
  <si>
    <t>ALG 9596</t>
  </si>
  <si>
    <t>K9596</t>
  </si>
  <si>
    <t>ALG 9600</t>
  </si>
  <si>
    <t>K9600</t>
  </si>
  <si>
    <t>ALG 9601</t>
  </si>
  <si>
    <t>K9601</t>
  </si>
  <si>
    <t>ALG 9602</t>
  </si>
  <si>
    <t>K9602</t>
  </si>
  <si>
    <t>ALG 9604</t>
  </si>
  <si>
    <t>K9604</t>
  </si>
  <si>
    <t>ALG 9605</t>
  </si>
  <si>
    <t>K9605</t>
  </si>
  <si>
    <t>ALG 9609</t>
  </si>
  <si>
    <t>K9609</t>
  </si>
  <si>
    <t>ALG 9610</t>
  </si>
  <si>
    <t>K9610</t>
  </si>
  <si>
    <t>ALG 9611</t>
  </si>
  <si>
    <t>K9611</t>
  </si>
  <si>
    <t>ALG 9617</t>
  </si>
  <si>
    <t>K9617</t>
  </si>
  <si>
    <t>ALG 9618</t>
  </si>
  <si>
    <t>K9618</t>
  </si>
  <si>
    <t>ALG 9621</t>
  </si>
  <si>
    <t>K9621</t>
  </si>
  <si>
    <t>ALG 9624</t>
  </si>
  <si>
    <t>K9624</t>
  </si>
  <si>
    <t>ALG 9628</t>
  </si>
  <si>
    <t>K9628</t>
  </si>
  <si>
    <t>ALG 9635</t>
  </si>
  <si>
    <t>K9635</t>
  </si>
  <si>
    <t>ALG 9636</t>
  </si>
  <si>
    <t>K9636</t>
  </si>
  <si>
    <t>ALG 9641</t>
  </si>
  <si>
    <t>K9641</t>
  </si>
  <si>
    <t>ALG 9642</t>
  </si>
  <si>
    <t>K9642</t>
  </si>
  <si>
    <t>ALG 9643</t>
  </si>
  <si>
    <t>K9643</t>
  </si>
  <si>
    <t>ALG 9649</t>
  </si>
  <si>
    <t>K9649</t>
  </si>
  <si>
    <t>ALG 9554</t>
  </si>
  <si>
    <t>K9554</t>
  </si>
  <si>
    <t>ALG 9561</t>
  </si>
  <si>
    <t>K9561</t>
  </si>
  <si>
    <t>ALG 9608</t>
  </si>
  <si>
    <t>K9608</t>
  </si>
  <si>
    <t>ALG 9625</t>
  </si>
  <si>
    <t>K9625</t>
  </si>
  <si>
    <t>ALG 9626</t>
  </si>
  <si>
    <t>K9626</t>
  </si>
  <si>
    <t>ALG 9630</t>
  </si>
  <si>
    <t>K9630</t>
  </si>
  <si>
    <t>ALG 9634</t>
  </si>
  <si>
    <t>K9634</t>
  </si>
  <si>
    <t>ALG 9603</t>
  </si>
  <si>
    <t>K9603</t>
  </si>
  <si>
    <t>ALG  9612</t>
  </si>
  <si>
    <t>K9612</t>
  </si>
  <si>
    <t>ALG  9619</t>
  </si>
  <si>
    <t>K9619</t>
  </si>
  <si>
    <t>ALG 9627</t>
  </si>
  <si>
    <t>K9627</t>
  </si>
  <si>
    <t>ALG 9607</t>
  </si>
  <si>
    <t>K9607</t>
  </si>
  <si>
    <t>ALG 9613</t>
  </si>
  <si>
    <t>K9613</t>
  </si>
  <si>
    <t>ALG 9620</t>
  </si>
  <si>
    <t>K9620</t>
  </si>
  <si>
    <t>ALG 9623</t>
  </si>
  <si>
    <t>K9623</t>
  </si>
  <si>
    <t>ALG 9637</t>
  </si>
  <si>
    <t>K9637</t>
  </si>
  <si>
    <t>ALG 1859</t>
  </si>
  <si>
    <t>K1859</t>
  </si>
  <si>
    <t>ALG 1862</t>
  </si>
  <si>
    <t>K1862</t>
  </si>
  <si>
    <t>ALG 1869</t>
  </si>
  <si>
    <t>K1869</t>
  </si>
  <si>
    <t>ALG 1873</t>
  </si>
  <si>
    <t>K1873</t>
  </si>
  <si>
    <t>ALG 1856</t>
  </si>
  <si>
    <t>K1856</t>
  </si>
  <si>
    <t>ALG  1866</t>
  </si>
  <si>
    <t>K1866</t>
  </si>
  <si>
    <t>ALG 1867</t>
  </si>
  <si>
    <t>K1867</t>
  </si>
  <si>
    <t>ALG 1863</t>
  </si>
  <si>
    <t>K1863</t>
  </si>
  <si>
    <t>ALG 1864</t>
  </si>
  <si>
    <t>K1864</t>
  </si>
  <si>
    <t>ALG 1865</t>
  </si>
  <si>
    <t>K1865</t>
  </si>
  <si>
    <t>ALG 1868</t>
  </si>
  <si>
    <t>K1868</t>
  </si>
  <si>
    <t>ALG  1870</t>
  </si>
  <si>
    <t>K1870</t>
  </si>
  <si>
    <t>ALG 5944</t>
  </si>
  <si>
    <t>K5944</t>
  </si>
  <si>
    <t>ALG 5942</t>
  </si>
  <si>
    <t>K5942</t>
  </si>
  <si>
    <t>ALG 5943</t>
  </si>
  <si>
    <t>K5943</t>
  </si>
  <si>
    <t>K5935</t>
  </si>
  <si>
    <t>ALG 5937</t>
  </si>
  <si>
    <t>ALG 5938</t>
  </si>
  <si>
    <t>ALG 6276</t>
  </si>
  <si>
    <t>K6276</t>
  </si>
  <si>
    <t>ALG 6277</t>
  </si>
  <si>
    <t>K6277</t>
  </si>
  <si>
    <t>ALG 6278</t>
  </si>
  <si>
    <t>K6278</t>
  </si>
  <si>
    <t>ALG 6267</t>
  </si>
  <si>
    <t>K6267</t>
  </si>
  <si>
    <t>ALG 6281</t>
  </si>
  <si>
    <t>K6281</t>
  </si>
  <si>
    <t>ALG 6282</t>
  </si>
  <si>
    <t>K6282</t>
  </si>
  <si>
    <t>ALG 6283</t>
  </si>
  <si>
    <t>K6283</t>
  </si>
  <si>
    <t>ALG 6264</t>
  </si>
  <si>
    <t>K6264</t>
  </si>
  <si>
    <t>ALG 6238</t>
  </si>
  <si>
    <t>K6238</t>
  </si>
  <si>
    <t>CONCILIATION TX7 GLOBAL BLACK MCKINLEY</t>
  </si>
  <si>
    <t>ALG 1290</t>
  </si>
  <si>
    <t>K12901</t>
  </si>
  <si>
    <t>ALG 5907</t>
  </si>
  <si>
    <t>K5907</t>
  </si>
  <si>
    <t>ALG 3002</t>
  </si>
  <si>
    <t>K3002</t>
  </si>
  <si>
    <t>ALG 3003</t>
  </si>
  <si>
    <t>K3003</t>
  </si>
  <si>
    <t>ALG 3483</t>
  </si>
  <si>
    <t>ALG 3004</t>
  </si>
  <si>
    <t>K3004</t>
  </si>
  <si>
    <t>ALG 3005</t>
  </si>
  <si>
    <t>K3005</t>
  </si>
  <si>
    <t>ALG 3008</t>
  </si>
  <si>
    <t>K3008</t>
  </si>
  <si>
    <t>ALG 3010</t>
  </si>
  <si>
    <t>K3010</t>
  </si>
  <si>
    <t>ALG 3012</t>
  </si>
  <si>
    <t>K3012</t>
  </si>
  <si>
    <t>CONCILIATION STT HERITAGE TAN MCKINLEY</t>
  </si>
  <si>
    <t>ALG 3001</t>
  </si>
  <si>
    <t>K1289</t>
  </si>
  <si>
    <t>ALG 3006</t>
  </si>
  <si>
    <t>K3006</t>
  </si>
  <si>
    <t>ALG 3007</t>
  </si>
  <si>
    <t>K3007</t>
  </si>
  <si>
    <t>ALG 3009</t>
  </si>
  <si>
    <t>K3009</t>
  </si>
  <si>
    <t>ALG 3011</t>
  </si>
  <si>
    <t>K3011</t>
  </si>
  <si>
    <t>ALG 9660</t>
  </si>
  <si>
    <t>K9660</t>
  </si>
  <si>
    <t>ALG 9661</t>
  </si>
  <si>
    <t>K9661</t>
  </si>
  <si>
    <t>ALG 9665</t>
  </si>
  <si>
    <t>K9665</t>
  </si>
  <si>
    <t>ALG 9667</t>
  </si>
  <si>
    <t>K9667</t>
  </si>
  <si>
    <t>ALG 9668</t>
  </si>
  <si>
    <t>K9668</t>
  </si>
  <si>
    <t>ALG 9669</t>
  </si>
  <si>
    <t>K9669</t>
  </si>
  <si>
    <t>ALG 9670</t>
  </si>
  <si>
    <t>K9670</t>
  </si>
  <si>
    <t>ALG 9671</t>
  </si>
  <si>
    <t>K9671</t>
  </si>
  <si>
    <t>ALG 9673</t>
  </si>
  <si>
    <t>K9673</t>
  </si>
  <si>
    <t>ALG 9674</t>
  </si>
  <si>
    <t>K9674</t>
  </si>
  <si>
    <t>ALG 9683</t>
  </si>
  <si>
    <t>K9683</t>
  </si>
  <si>
    <t>ALG 9688</t>
  </si>
  <si>
    <t>K9688</t>
  </si>
  <si>
    <t>ALG 9689</t>
  </si>
  <si>
    <t>K9689</t>
  </si>
  <si>
    <t>ALG 9645</t>
  </si>
  <si>
    <t>K9645</t>
  </si>
  <si>
    <t>ALG 9650</t>
  </si>
  <si>
    <t>K9650</t>
  </si>
  <si>
    <t>ALG 9652</t>
  </si>
  <si>
    <t>K9652</t>
  </si>
  <si>
    <t>ALG 9656</t>
  </si>
  <si>
    <t>K9656</t>
  </si>
  <si>
    <t>ALG 9662</t>
  </si>
  <si>
    <t>K9662</t>
  </si>
  <si>
    <t>ALG 9663</t>
  </si>
  <si>
    <t>K9663</t>
  </si>
  <si>
    <t>ALG 9666</t>
  </si>
  <si>
    <t>K9666</t>
  </si>
  <si>
    <t>ALG 9676</t>
  </si>
  <si>
    <t>K9676</t>
  </si>
  <si>
    <t>ALG 9685</t>
  </si>
  <si>
    <t>K9685</t>
  </si>
  <si>
    <t>ALG 9686</t>
  </si>
  <si>
    <t>K9686</t>
  </si>
  <si>
    <t>ALG 9691</t>
  </si>
  <si>
    <t>K9691</t>
  </si>
  <si>
    <t>ALG 9654</t>
  </si>
  <si>
    <t>K9654</t>
  </si>
  <si>
    <t>ALG 9655</t>
  </si>
  <si>
    <t>K9655</t>
  </si>
  <si>
    <t>ALG 9672</t>
  </si>
  <si>
    <t>K9672</t>
  </si>
  <si>
    <t>ALG 9675</t>
  </si>
  <si>
    <t>K9675</t>
  </si>
  <si>
    <t>ALG 9644</t>
  </si>
  <si>
    <t>K9644</t>
  </si>
  <si>
    <t>ALG  9651</t>
  </si>
  <si>
    <t>K9651</t>
  </si>
  <si>
    <t>ALG 9653</t>
  </si>
  <si>
    <t>K9653</t>
  </si>
  <si>
    <t>ALG 9562</t>
  </si>
  <si>
    <t>K9562</t>
  </si>
  <si>
    <t>ALG 9570</t>
  </si>
  <si>
    <t>K9570</t>
  </si>
  <si>
    <t>ALG 1872</t>
  </si>
  <si>
    <t>K1872</t>
  </si>
  <si>
    <t>ALG 1871</t>
  </si>
  <si>
    <t>K1871</t>
  </si>
  <si>
    <t>ALG 1875</t>
  </si>
  <si>
    <t>K1875</t>
  </si>
  <si>
    <t>ALG 1874</t>
  </si>
  <si>
    <t>K1874</t>
  </si>
  <si>
    <t>ALG 5947</t>
  </si>
  <si>
    <t>K5947</t>
  </si>
  <si>
    <t>ALG 5950</t>
  </si>
  <si>
    <t>K5950</t>
  </si>
  <si>
    <t>ALG 5945</t>
  </si>
  <si>
    <t>K5945</t>
  </si>
  <si>
    <t>ALG 5946</t>
  </si>
  <si>
    <t>K5946</t>
  </si>
  <si>
    <t>ALG 5952</t>
  </si>
  <si>
    <t>K5952</t>
  </si>
  <si>
    <t>ALG 5956</t>
  </si>
  <si>
    <t>K5956</t>
  </si>
  <si>
    <t>ALG 5898</t>
  </si>
  <si>
    <t>ALG 5899</t>
  </si>
  <si>
    <t>ALG 5948</t>
  </si>
  <si>
    <t>K5948</t>
  </si>
  <si>
    <t>ALG 5949</t>
  </si>
  <si>
    <t>K5949</t>
  </si>
  <si>
    <t>ALG 5951</t>
  </si>
  <si>
    <t>K5951</t>
  </si>
  <si>
    <t>ALG 5953</t>
  </si>
  <si>
    <t>K5953</t>
  </si>
  <si>
    <t>ALG 5954</t>
  </si>
  <si>
    <t>K5954</t>
  </si>
  <si>
    <t>ALG 6279</t>
  </si>
  <si>
    <t>K6279</t>
  </si>
  <si>
    <t>ALG 6301</t>
  </si>
  <si>
    <t>K6301</t>
  </si>
  <si>
    <t>ALG 6302</t>
  </si>
  <si>
    <t>K6302</t>
  </si>
  <si>
    <t>ALG 6286</t>
  </si>
  <si>
    <t>K6286</t>
  </si>
  <si>
    <t>ALG 6287</t>
  </si>
  <si>
    <t>K6287</t>
  </si>
  <si>
    <t>ALG 6289</t>
  </si>
  <si>
    <t>K6289</t>
  </si>
  <si>
    <t>ALG 6284</t>
  </si>
  <si>
    <t>K6284</t>
  </si>
  <si>
    <t>ALG 6288</t>
  </si>
  <si>
    <t>K6288</t>
  </si>
  <si>
    <t>ALG 6290</t>
  </si>
  <si>
    <t>K6290</t>
  </si>
  <si>
    <t>ALG 6280</t>
  </si>
  <si>
    <t>K6280</t>
  </si>
  <si>
    <t>ALG 6242</t>
  </si>
  <si>
    <t>K6242</t>
  </si>
  <si>
    <t>ALG 6244</t>
  </si>
  <si>
    <t>K6244</t>
  </si>
  <si>
    <t>ALG 6285</t>
  </si>
  <si>
    <t>K6285</t>
  </si>
  <si>
    <t>ALG 3014</t>
  </si>
  <si>
    <t>K3014</t>
  </si>
  <si>
    <t>ALG 3015</t>
  </si>
  <si>
    <t>K3015</t>
  </si>
  <si>
    <t>ALG 3016</t>
  </si>
  <si>
    <t>K3016</t>
  </si>
  <si>
    <t>ALG 3017</t>
  </si>
  <si>
    <t>K3017</t>
  </si>
  <si>
    <t>ALG 3013</t>
  </si>
  <si>
    <t>K3013</t>
  </si>
  <si>
    <t>ALG 9693</t>
  </si>
  <si>
    <t>K9693</t>
  </si>
  <si>
    <t>ALG 9694</t>
  </si>
  <si>
    <t>K9694</t>
  </si>
  <si>
    <t>ALG 9695</t>
  </si>
  <si>
    <t>K9695</t>
  </si>
  <si>
    <t>ALG 9705</t>
  </si>
  <si>
    <t>K9705</t>
  </si>
  <si>
    <t>ALG 9706</t>
  </si>
  <si>
    <t>K9706</t>
  </si>
  <si>
    <t>ALG 9707</t>
  </si>
  <si>
    <t>K9707</t>
  </si>
  <si>
    <t>ALG 9708</t>
  </si>
  <si>
    <t>K9708</t>
  </si>
  <si>
    <t>ALG 9718</t>
  </si>
  <si>
    <t>K9718</t>
  </si>
  <si>
    <t>ALG 9692</t>
  </si>
  <si>
    <t>K9692</t>
  </si>
  <si>
    <t>ALG 9698</t>
  </si>
  <si>
    <t>K9698</t>
  </si>
  <si>
    <t>ALG 9700</t>
  </si>
  <si>
    <t>K9700</t>
  </si>
  <si>
    <t>ALG 9701</t>
  </si>
  <si>
    <t>K9701</t>
  </si>
  <si>
    <t>ALG 9702</t>
  </si>
  <si>
    <t>K9702</t>
  </si>
  <si>
    <t>ALG 9684</t>
  </si>
  <si>
    <t>K9684</t>
  </si>
  <si>
    <t>ALG 9687</t>
  </si>
  <si>
    <t>K9687</t>
  </si>
  <si>
    <t>ALG 9699</t>
  </si>
  <si>
    <t>K9699</t>
  </si>
  <si>
    <t>ALG 9697</t>
  </si>
  <si>
    <t>K9697</t>
  </si>
  <si>
    <t>ALG 1880</t>
  </si>
  <si>
    <t>K1880</t>
  </si>
  <si>
    <t>ALG 1881</t>
  </si>
  <si>
    <t>K1881</t>
  </si>
  <si>
    <t>ALG 1885</t>
  </si>
  <si>
    <t>K1885</t>
  </si>
  <si>
    <t>ALG 1876</t>
  </si>
  <si>
    <t>K1876</t>
  </si>
  <si>
    <t>ALG 1883</t>
  </si>
  <si>
    <t>K1883</t>
  </si>
  <si>
    <t>ALG 5959</t>
  </si>
  <si>
    <t>K5959</t>
  </si>
  <si>
    <t>ALG 5955</t>
  </si>
  <si>
    <t>K5955</t>
  </si>
  <si>
    <t>ALG 5957</t>
  </si>
  <si>
    <t>K5957</t>
  </si>
  <si>
    <t>ALG 5960</t>
  </si>
  <si>
    <t>ALG 5962</t>
  </si>
  <si>
    <t>K5962</t>
  </si>
  <si>
    <t>ALG 5964</t>
  </si>
  <si>
    <t>K5964</t>
  </si>
  <si>
    <t>ALG 5965</t>
  </si>
  <si>
    <t>K5965</t>
  </si>
  <si>
    <t>ALG 5958</t>
  </si>
  <si>
    <t>K5958</t>
  </si>
  <si>
    <t>ALG 5963</t>
  </si>
  <si>
    <t>K5963</t>
  </si>
  <si>
    <t>ALG 6303</t>
  </si>
  <si>
    <t>K6303</t>
  </si>
  <si>
    <t>ALG 6304</t>
  </si>
  <si>
    <t>K6304</t>
  </si>
  <si>
    <t>ALG 6309</t>
  </si>
  <si>
    <t>K6309</t>
  </si>
  <si>
    <t>ALG 6310</t>
  </si>
  <si>
    <t>K6310</t>
  </si>
  <si>
    <t>ALG 6297</t>
  </si>
  <si>
    <t>K6297</t>
  </si>
  <si>
    <t>ALG 6298</t>
  </si>
  <si>
    <t>K6298</t>
  </si>
  <si>
    <t>ALG 6306</t>
  </si>
  <si>
    <t>K6306</t>
  </si>
  <si>
    <t>ALG 6307</t>
  </si>
  <si>
    <t>K6307</t>
  </si>
  <si>
    <t>ALG 6311</t>
  </si>
  <si>
    <t>K6311</t>
  </si>
  <si>
    <t>ALG 6312</t>
  </si>
  <si>
    <t>K6312</t>
  </si>
  <si>
    <t>ALG 6308</t>
  </si>
  <si>
    <t>K6308</t>
  </si>
  <si>
    <t>ALG 3018</t>
  </si>
  <si>
    <t>K3018</t>
  </si>
  <si>
    <t>ALG 3019</t>
  </si>
  <si>
    <t>K3019</t>
  </si>
  <si>
    <t>ALG 3021</t>
  </si>
  <si>
    <t>K3021</t>
  </si>
  <si>
    <t>ALG 3023</t>
  </si>
  <si>
    <t>K3023</t>
  </si>
  <si>
    <t>ALG 9710</t>
  </si>
  <si>
    <t>K9710</t>
  </si>
  <si>
    <t>ALG 9711</t>
  </si>
  <si>
    <t>K9711</t>
  </si>
  <si>
    <t>ALG 9712</t>
  </si>
  <si>
    <t>K9712</t>
  </si>
  <si>
    <t>ALG 9719</t>
  </si>
  <si>
    <t>K9719</t>
  </si>
  <si>
    <t>ALG 9720</t>
  </si>
  <si>
    <t>K9720</t>
  </si>
  <si>
    <t>ALG 9727</t>
  </si>
  <si>
    <t>K9727</t>
  </si>
  <si>
    <t>ALG 9733</t>
  </si>
  <si>
    <t>K9733</t>
  </si>
  <si>
    <t>ALG 9734</t>
  </si>
  <si>
    <t>K9734</t>
  </si>
  <si>
    <t>ALG 9744</t>
  </si>
  <si>
    <t>K9744</t>
  </si>
  <si>
    <t>ALG 9750</t>
  </si>
  <si>
    <t>K9750</t>
  </si>
  <si>
    <t>ALG 9703</t>
  </si>
  <si>
    <t>K9703</t>
  </si>
  <si>
    <t>ALG 9704</t>
  </si>
  <si>
    <t>K9704</t>
  </si>
  <si>
    <t>ALG 9715</t>
  </si>
  <si>
    <t>K9715</t>
  </si>
  <si>
    <t>ALG 9717</t>
  </si>
  <si>
    <t>K9716</t>
  </si>
  <si>
    <t>ALG 9722</t>
  </si>
  <si>
    <t>K9717</t>
  </si>
  <si>
    <t>ALG 9723</t>
  </si>
  <si>
    <t>ALG 9725</t>
  </si>
  <si>
    <t>K9725</t>
  </si>
  <si>
    <t>ALG 9726</t>
  </si>
  <si>
    <t>K9726</t>
  </si>
  <si>
    <t>ALG 9729</t>
  </si>
  <si>
    <t>K9729</t>
  </si>
  <si>
    <t>ALG 9730</t>
  </si>
  <si>
    <t>K9730</t>
  </si>
  <si>
    <t>ALG 9732</t>
  </si>
  <si>
    <t>K9732</t>
  </si>
  <si>
    <t>ALG 9736</t>
  </si>
  <si>
    <t>K9736</t>
  </si>
  <si>
    <t>ALG 9738</t>
  </si>
  <si>
    <t>K9738</t>
  </si>
  <si>
    <t>ALG 9746</t>
  </si>
  <si>
    <t>K9746</t>
  </si>
  <si>
    <t>ALG 9690</t>
  </si>
  <si>
    <t>K9690</t>
  </si>
  <si>
    <t>ALG 9696</t>
  </si>
  <si>
    <t>K9696</t>
  </si>
  <si>
    <t>ALG 9713</t>
  </si>
  <si>
    <t>K9713</t>
  </si>
  <si>
    <t>ALG 9721</t>
  </si>
  <si>
    <t>K9721</t>
  </si>
  <si>
    <t>ALG 9728</t>
  </si>
  <si>
    <t>K9728</t>
  </si>
  <si>
    <t>ALG 9716</t>
  </si>
  <si>
    <t>ALG 9724</t>
  </si>
  <si>
    <t>K9724</t>
  </si>
  <si>
    <t>ALG 9731</t>
  </si>
  <si>
    <t>K9731</t>
  </si>
  <si>
    <t>ALG 9737</t>
  </si>
  <si>
    <t>K9737</t>
  </si>
  <si>
    <t>ALG 9709</t>
  </si>
  <si>
    <t>K9709</t>
  </si>
  <si>
    <t>ALG 9622</t>
  </si>
  <si>
    <t>K9622</t>
  </si>
  <si>
    <t>ALG 1882</t>
  </si>
  <si>
    <t>K1882</t>
  </si>
  <si>
    <t>ALG 1886</t>
  </si>
  <si>
    <t>K1886</t>
  </si>
  <si>
    <t>ALG 1888</t>
  </si>
  <si>
    <t>K1888</t>
  </si>
  <si>
    <t>ALG 1889</t>
  </si>
  <si>
    <t>K1889</t>
  </si>
  <si>
    <t>ALG 1887</t>
  </si>
  <si>
    <t>K1887</t>
  </si>
  <si>
    <t>ALG 1890</t>
  </si>
  <si>
    <t>K1890</t>
  </si>
  <si>
    <t>ALG 1878</t>
  </si>
  <si>
    <t>K1878</t>
  </si>
  <si>
    <t>ALG 1879</t>
  </si>
  <si>
    <t>K1879</t>
  </si>
  <si>
    <t>ALG 1884</t>
  </si>
  <si>
    <t>K1884</t>
  </si>
  <si>
    <t>ALG 5961</t>
  </si>
  <si>
    <t>K5961</t>
  </si>
  <si>
    <t>ALG 5971</t>
  </si>
  <si>
    <t>K5971</t>
  </si>
  <si>
    <t>ALG 5967</t>
  </si>
  <si>
    <t>K5967</t>
  </si>
  <si>
    <t>ALG 5968</t>
  </si>
  <si>
    <t>K5968</t>
  </si>
  <si>
    <t>ALG 5969</t>
  </si>
  <si>
    <t>K5969</t>
  </si>
  <si>
    <t>ALG 5966</t>
  </si>
  <si>
    <t>K5966</t>
  </si>
  <si>
    <t>ALG 5970</t>
  </si>
  <si>
    <t>K5970</t>
  </si>
  <si>
    <t>ALG 5973</t>
  </si>
  <si>
    <t>K5973</t>
  </si>
  <si>
    <t>ALG 5976</t>
  </si>
  <si>
    <t>K5976</t>
  </si>
  <si>
    <t>ALG 6314</t>
  </si>
  <si>
    <t>K6314</t>
  </si>
  <si>
    <t>ALG 6316</t>
  </si>
  <si>
    <t>K63161</t>
  </si>
  <si>
    <t>ALG 6318</t>
  </si>
  <si>
    <t>K6318</t>
  </si>
  <si>
    <t>ALG 6319</t>
  </si>
  <si>
    <t>K6319</t>
  </si>
  <si>
    <t>ALG 6327</t>
  </si>
  <si>
    <t>K6327</t>
  </si>
  <si>
    <t>ALG 6334</t>
  </si>
  <si>
    <t>K6334</t>
  </si>
  <si>
    <t>ALG 6342</t>
  </si>
  <si>
    <t>K6342</t>
  </si>
  <si>
    <t>ALG 6296</t>
  </si>
  <si>
    <t>K6296</t>
  </si>
  <si>
    <t>ALG 6305</t>
  </si>
  <si>
    <t>K6305</t>
  </si>
  <si>
    <t>ALG 6315</t>
  </si>
  <si>
    <t>K6315</t>
  </si>
  <si>
    <t>ALG 6320</t>
  </si>
  <si>
    <t>K6320</t>
  </si>
  <si>
    <t>ALG 6317</t>
  </si>
  <si>
    <t>K6317</t>
  </si>
  <si>
    <t>ALG 6321</t>
  </si>
  <si>
    <t>K6321</t>
  </si>
  <si>
    <t>ALG 6326</t>
  </si>
  <si>
    <t>K6326</t>
  </si>
  <si>
    <t>ALG 6328</t>
  </si>
  <si>
    <t>K6328</t>
  </si>
  <si>
    <t>ALG 6329</t>
  </si>
  <si>
    <t>K6329</t>
  </si>
  <si>
    <t>ALG 6330</t>
  </si>
  <si>
    <t>K6330</t>
  </si>
  <si>
    <t>ALG 6300</t>
  </si>
  <si>
    <t>K6300</t>
  </si>
  <si>
    <t>ALG 6313</t>
  </si>
  <si>
    <t>K6313</t>
  </si>
  <si>
    <t>ALG 6322</t>
  </si>
  <si>
    <t>K6322</t>
  </si>
  <si>
    <t>ALG 6341</t>
  </si>
  <si>
    <t>K6341</t>
  </si>
  <si>
    <t>ALG 3025</t>
  </si>
  <si>
    <t>K3025</t>
  </si>
  <si>
    <t>ALG 3024</t>
  </si>
  <si>
    <t>K3024</t>
  </si>
  <si>
    <t>ALG 3026</t>
  </si>
  <si>
    <t>K3026</t>
  </si>
  <si>
    <t>ALG 3027</t>
  </si>
  <si>
    <t>K3027</t>
  </si>
  <si>
    <t>ALG 3028</t>
  </si>
  <si>
    <t>K3028</t>
  </si>
  <si>
    <t>ALG 3029</t>
  </si>
  <si>
    <t>K3029</t>
  </si>
  <si>
    <t>ALG 3030</t>
  </si>
  <si>
    <t>K3030</t>
  </si>
  <si>
    <t>ALG 3020</t>
  </si>
  <si>
    <t>K3020</t>
  </si>
  <si>
    <t>ALG 3022</t>
  </si>
  <si>
    <t>K3022</t>
  </si>
  <si>
    <t>ALG 3031</t>
  </si>
  <si>
    <t>K3031</t>
  </si>
  <si>
    <t>ALG 9751</t>
  </si>
  <si>
    <t>K9751</t>
  </si>
  <si>
    <t>ALG 9759</t>
  </si>
  <si>
    <t>K9759</t>
  </si>
  <si>
    <t>ALG 9764</t>
  </si>
  <si>
    <t>K9764</t>
  </si>
  <si>
    <t>ALG 9767</t>
  </si>
  <si>
    <t>K9767</t>
  </si>
  <si>
    <t>ALG 9747</t>
  </si>
  <si>
    <t>K9747</t>
  </si>
  <si>
    <t>ALG 9748</t>
  </si>
  <si>
    <t>K9748</t>
  </si>
  <si>
    <t>ALG 9755</t>
  </si>
  <si>
    <t>K9755</t>
  </si>
  <si>
    <t>ALG 9756</t>
  </si>
  <si>
    <t>K9756</t>
  </si>
  <si>
    <t>ALG 9757</t>
  </si>
  <si>
    <t>K9757</t>
  </si>
  <si>
    <t>ALG 9761</t>
  </si>
  <si>
    <t>K9761</t>
  </si>
  <si>
    <t>ALG 9762</t>
  </si>
  <si>
    <t>K9762</t>
  </si>
  <si>
    <t>ALG 9765</t>
  </si>
  <si>
    <t>K9765</t>
  </si>
  <si>
    <t>ALG 9766</t>
  </si>
  <si>
    <t>K9766</t>
  </si>
  <si>
    <t>ALG 9770</t>
  </si>
  <si>
    <t>K9770</t>
  </si>
  <si>
    <t>ALG 9777</t>
  </si>
  <si>
    <t>K9777</t>
  </si>
  <si>
    <t>ALG 9735</t>
  </si>
  <si>
    <t>K9735</t>
  </si>
  <si>
    <t>ALG 9745</t>
  </si>
  <si>
    <t>K9745</t>
  </si>
  <si>
    <t>ALG 9752</t>
  </si>
  <si>
    <t>K9752</t>
  </si>
  <si>
    <t>ALG 9753</t>
  </si>
  <si>
    <t>K9753</t>
  </si>
  <si>
    <t>ALG 9760</t>
  </si>
  <si>
    <t>K9760</t>
  </si>
  <si>
    <t>ALG 9769</t>
  </si>
  <si>
    <t>K9769</t>
  </si>
  <si>
    <t>ALG 9749</t>
  </si>
  <si>
    <t>K9749</t>
  </si>
  <si>
    <t>ALG 9771</t>
  </si>
  <si>
    <t>K9771</t>
  </si>
  <si>
    <t>ALG 1891</t>
  </si>
  <si>
    <t>K1891</t>
  </si>
  <si>
    <t>ALG 1893</t>
  </si>
  <si>
    <t>K1893</t>
  </si>
  <si>
    <t>ALG 5972</t>
  </si>
  <si>
    <t>K5972</t>
  </si>
  <si>
    <t>ALG 5974</t>
  </si>
  <si>
    <t>K5974</t>
  </si>
  <si>
    <t>ALG 5975</t>
  </si>
  <si>
    <t>K5975</t>
  </si>
  <si>
    <t>ALG 5980</t>
  </si>
  <si>
    <t>K5980</t>
  </si>
  <si>
    <t>ALG 5981</t>
  </si>
  <si>
    <t>K5981</t>
  </si>
  <si>
    <t>ALG 5982</t>
  </si>
  <si>
    <t>K5982</t>
  </si>
  <si>
    <t>ALG 5983</t>
  </si>
  <si>
    <t>ALG 5984</t>
  </si>
  <si>
    <t>K5984</t>
  </si>
  <si>
    <t>ALG 6335</t>
  </si>
  <si>
    <t>K6535</t>
  </si>
  <si>
    <t>ALG 6338</t>
  </si>
  <si>
    <t>K6538</t>
  </si>
  <si>
    <t>ALG 6339</t>
  </si>
  <si>
    <t>K6539</t>
  </si>
  <si>
    <t>ALG 6343</t>
  </si>
  <si>
    <t>K6343</t>
  </si>
  <si>
    <t>ALG 6350</t>
  </si>
  <si>
    <t>K6350</t>
  </si>
  <si>
    <t>ALG 6356</t>
  </si>
  <si>
    <t>K6356</t>
  </si>
  <si>
    <t>ALG 6357</t>
  </si>
  <si>
    <t>K6357</t>
  </si>
  <si>
    <t>ALG 6325</t>
  </si>
  <si>
    <t>K6325</t>
  </si>
  <si>
    <t>ALG 6336</t>
  </si>
  <si>
    <t>K6336</t>
  </si>
  <si>
    <t>ALG 6344</t>
  </si>
  <si>
    <t>K6344</t>
  </si>
  <si>
    <t>ALG 6351</t>
  </si>
  <si>
    <t>K6351</t>
  </si>
  <si>
    <t>ALG 6337</t>
  </si>
  <si>
    <t>K6337</t>
  </si>
  <si>
    <t>ALG 6340</t>
  </si>
  <si>
    <t>K6340</t>
  </si>
  <si>
    <t>ALG 6346</t>
  </si>
  <si>
    <t>K6346</t>
  </si>
  <si>
    <t>ALG 6352</t>
  </si>
  <si>
    <t>K6352</t>
  </si>
  <si>
    <t>ALG 6353</t>
  </si>
  <si>
    <t>K6353</t>
  </si>
  <si>
    <t>ALG 6354</t>
  </si>
  <si>
    <t>K6354</t>
  </si>
  <si>
    <t>ALG 6347</t>
  </si>
  <si>
    <t>K6347</t>
  </si>
  <si>
    <t>ALG 6345</t>
  </si>
  <si>
    <t>K6345</t>
  </si>
  <si>
    <t>ALG 6349</t>
  </si>
  <si>
    <t>K6349</t>
  </si>
  <si>
    <t>ALG 3032</t>
  </si>
  <si>
    <t>K3032</t>
  </si>
  <si>
    <t>ALG 3033</t>
  </si>
  <si>
    <t>K3033</t>
  </si>
  <si>
    <t>ALG 3034</t>
  </si>
  <si>
    <t>K3034</t>
  </si>
  <si>
    <t>ALG 3035</t>
  </si>
  <si>
    <t>K3035</t>
  </si>
  <si>
    <t>ALG 3037</t>
  </si>
  <si>
    <t>K3037</t>
  </si>
  <si>
    <t>ALG 3038</t>
  </si>
  <si>
    <t>K3038</t>
  </si>
  <si>
    <t>ALG 3036</t>
  </si>
  <si>
    <t>K3036</t>
  </si>
  <si>
    <t>ALG 9768</t>
  </si>
  <si>
    <t>K9768</t>
  </si>
  <si>
    <t>ALG 9773</t>
  </si>
  <si>
    <t>K9773</t>
  </si>
  <si>
    <t>ALG 9774</t>
  </si>
  <si>
    <t>K9774</t>
  </si>
  <si>
    <t>ALG 9775</t>
  </si>
  <si>
    <t>K9775</t>
  </si>
  <si>
    <t>ALG 9780</t>
  </si>
  <si>
    <t>K9780</t>
  </si>
  <si>
    <t>ALG 9783</t>
  </si>
  <si>
    <t>ALG 9784</t>
  </si>
  <si>
    <t>ALG 9785</t>
  </si>
  <si>
    <t>K9785</t>
  </si>
  <si>
    <t>ALG 9792</t>
  </si>
  <si>
    <t>K9792</t>
  </si>
  <si>
    <t>ALG 9796</t>
  </si>
  <si>
    <t>K9796</t>
  </si>
  <si>
    <t>ALG 9797</t>
  </si>
  <si>
    <t>K9797</t>
  </si>
  <si>
    <t>ALG 9798</t>
  </si>
  <si>
    <t>K9798</t>
  </si>
  <si>
    <t>ALG 9807</t>
  </si>
  <si>
    <t>K9807</t>
  </si>
  <si>
    <t>ALG 9808</t>
  </si>
  <si>
    <t>K9808</t>
  </si>
  <si>
    <t>ALG 9811</t>
  </si>
  <si>
    <t>K9811</t>
  </si>
  <si>
    <t>ALG 9814</t>
  </si>
  <si>
    <t>K9814</t>
  </si>
  <si>
    <t>ALG 9816</t>
  </si>
  <si>
    <t>K9816</t>
  </si>
  <si>
    <t>ALG 9822</t>
  </si>
  <si>
    <t>K9822</t>
  </si>
  <si>
    <t>ALG 9825</t>
  </si>
  <si>
    <t>K9825</t>
  </si>
  <si>
    <t>ALG 9826</t>
  </si>
  <si>
    <t>K9826</t>
  </si>
  <si>
    <t>ALG 9832</t>
  </si>
  <si>
    <t>K9832</t>
  </si>
  <si>
    <t>ALG 9772</t>
  </si>
  <si>
    <t>K9772</t>
  </si>
  <si>
    <t>ALG 9779</t>
  </si>
  <si>
    <t>K9779</t>
  </si>
  <si>
    <t>ALG 9781</t>
  </si>
  <si>
    <t>K9781</t>
  </si>
  <si>
    <t>ALG 9782</t>
  </si>
  <si>
    <t>K9782</t>
  </si>
  <si>
    <t>ALG 9787</t>
  </si>
  <si>
    <t>K9787</t>
  </si>
  <si>
    <t>ALG 9789</t>
  </si>
  <si>
    <t>K9789</t>
  </si>
  <si>
    <t>ALG 9790</t>
  </si>
  <si>
    <t>K9790</t>
  </si>
  <si>
    <t>ALG 9791</t>
  </si>
  <si>
    <t>K9791</t>
  </si>
  <si>
    <t>ALG 9794</t>
  </si>
  <si>
    <t>K9794</t>
  </si>
  <si>
    <t>ALG 9800</t>
  </si>
  <si>
    <t>K9800</t>
  </si>
  <si>
    <t>ALG 9801</t>
  </si>
  <si>
    <t>K9801</t>
  </si>
  <si>
    <t>ALG 9802</t>
  </si>
  <si>
    <t>K9802</t>
  </si>
  <si>
    <t>ALG 9803</t>
  </si>
  <si>
    <t>K9803</t>
  </si>
  <si>
    <t>ALG 9810</t>
  </si>
  <si>
    <t>K9810</t>
  </si>
  <si>
    <t>ALG 9815</t>
  </si>
  <si>
    <t>K9815</t>
  </si>
  <si>
    <t>ALG 9818</t>
  </si>
  <si>
    <t>ALG 9819</t>
  </si>
  <si>
    <t>K9819</t>
  </si>
  <si>
    <t>ALG 9821</t>
  </si>
  <si>
    <t>K9821</t>
  </si>
  <si>
    <t>ALG 9823</t>
  </si>
  <si>
    <t>K9823</t>
  </si>
  <si>
    <t>ALG 9776</t>
  </si>
  <si>
    <t>K9776</t>
  </si>
  <si>
    <t>ALG 9793</t>
  </si>
  <si>
    <t>K9793</t>
  </si>
  <si>
    <t>ALG 9809</t>
  </si>
  <si>
    <t>K9809</t>
  </si>
  <si>
    <t>ALG 9763</t>
  </si>
  <si>
    <t>K9763</t>
  </si>
  <si>
    <t>ALG 9778</t>
  </si>
  <si>
    <t>K9778</t>
  </si>
  <si>
    <t>ALG 9788</t>
  </si>
  <si>
    <t>K9788</t>
  </si>
  <si>
    <t>ALG 9795</t>
  </si>
  <si>
    <t>K9795</t>
  </si>
  <si>
    <t>ALG  9812</t>
  </si>
  <si>
    <t>K9812</t>
  </si>
  <si>
    <t>ALG 9820</t>
  </si>
  <si>
    <t>K9820</t>
  </si>
  <si>
    <t>ALG 9813</t>
  </si>
  <si>
    <t>K9813</t>
  </si>
  <si>
    <t>ALG 9664</t>
  </si>
  <si>
    <t>K9664</t>
  </si>
  <si>
    <t>ALG 9714</t>
  </si>
  <si>
    <t>K9714</t>
  </si>
  <si>
    <t>ALG 9754</t>
  </si>
  <si>
    <t>K9754</t>
  </si>
  <si>
    <t>ALG 9786</t>
  </si>
  <si>
    <t>K9786</t>
  </si>
  <si>
    <t>ALG 9799</t>
  </si>
  <si>
    <t>K9799</t>
  </si>
  <si>
    <t>ALG 1894</t>
  </si>
  <si>
    <t>K1894</t>
  </si>
  <si>
    <t>ALG 1895</t>
  </si>
  <si>
    <t>K1895</t>
  </si>
  <si>
    <t>ALG 1898</t>
  </si>
  <si>
    <t>K1898</t>
  </si>
  <si>
    <t>ALG 1892</t>
  </si>
  <si>
    <t>K1892</t>
  </si>
  <si>
    <t>ALG 1896</t>
  </si>
  <si>
    <t>K1896</t>
  </si>
  <si>
    <t>ALG 1897</t>
  </si>
  <si>
    <t>K1897</t>
  </si>
  <si>
    <t>ALG 1899</t>
  </si>
  <si>
    <t>K1899</t>
  </si>
  <si>
    <t>ALG 5977</t>
  </si>
  <si>
    <t>K5977</t>
  </si>
  <si>
    <t>ALG 5978</t>
  </si>
  <si>
    <t>K5978</t>
  </si>
  <si>
    <t>K5983</t>
  </si>
  <si>
    <t>ALG 5987</t>
  </si>
  <si>
    <t>K5987</t>
  </si>
  <si>
    <t>ALG 5990</t>
  </si>
  <si>
    <t>K5990</t>
  </si>
  <si>
    <t>ALG 5992</t>
  </si>
  <si>
    <t>K5992</t>
  </si>
  <si>
    <t>ALG 5979</t>
  </si>
  <si>
    <t>K5979</t>
  </si>
  <si>
    <t>ALG 5985</t>
  </si>
  <si>
    <t>K5985</t>
  </si>
  <si>
    <t>ALG 5986</t>
  </si>
  <si>
    <t>K5986</t>
  </si>
  <si>
    <t>ALG 5989</t>
  </si>
  <si>
    <t>K5989</t>
  </si>
  <si>
    <t>ALG 5993</t>
  </si>
  <si>
    <t>K5993</t>
  </si>
  <si>
    <t>ALG 5994</t>
  </si>
  <si>
    <t>K5994</t>
  </si>
  <si>
    <t>ALG 6369</t>
  </si>
  <si>
    <t>K6369</t>
  </si>
  <si>
    <t>ALG 6370</t>
  </si>
  <si>
    <t>K6370</t>
  </si>
  <si>
    <t>ALG 6371</t>
  </si>
  <si>
    <t>K6371</t>
  </si>
  <si>
    <t>ALG 6372</t>
  </si>
  <si>
    <t>K6372</t>
  </si>
  <si>
    <t>ALG 6380</t>
  </si>
  <si>
    <t>K6380</t>
  </si>
  <si>
    <t>K9783</t>
  </si>
  <si>
    <t>K9784</t>
  </si>
  <si>
    <t>ALG 6388</t>
  </si>
  <si>
    <t>K6388</t>
  </si>
  <si>
    <t>ALG 6389</t>
  </si>
  <si>
    <t>K6389</t>
  </si>
  <si>
    <t>ALG 6392</t>
  </si>
  <si>
    <t>K6392</t>
  </si>
  <si>
    <t>ALG 6358</t>
  </si>
  <si>
    <t>K6358</t>
  </si>
  <si>
    <t>ALG 6373</t>
  </si>
  <si>
    <t>K6373</t>
  </si>
  <si>
    <t>ALG 6378</t>
  </si>
  <si>
    <t>K6378</t>
  </si>
  <si>
    <t>ALG 6381</t>
  </si>
  <si>
    <t>K6381</t>
  </si>
  <si>
    <t>ALG 6397</t>
  </si>
  <si>
    <t>K6397</t>
  </si>
  <si>
    <t>ALG 6355</t>
  </si>
  <si>
    <t>K6355</t>
  </si>
  <si>
    <t>ALG 6359</t>
  </si>
  <si>
    <t>K6359</t>
  </si>
  <si>
    <t>ALG 6360</t>
  </si>
  <si>
    <t>K6360</t>
  </si>
  <si>
    <t>ALG 6361</t>
  </si>
  <si>
    <t>K6361</t>
  </si>
  <si>
    <t>ALG 6362</t>
  </si>
  <si>
    <t>K6362</t>
  </si>
  <si>
    <t>ALG 6363</t>
  </si>
  <si>
    <t>K6363</t>
  </si>
  <si>
    <t>ALG 6364</t>
  </si>
  <si>
    <t>K6364</t>
  </si>
  <si>
    <t>ALG 6365</t>
  </si>
  <si>
    <t>K6365</t>
  </si>
  <si>
    <t>ALG 6366</t>
  </si>
  <si>
    <t>K6366</t>
  </si>
  <si>
    <t>ALG 6374</t>
  </si>
  <si>
    <t>K6374</t>
  </si>
  <si>
    <t>ALG 6379</t>
  </si>
  <si>
    <t>K6379</t>
  </si>
  <si>
    <t>ALG 6382</t>
  </si>
  <si>
    <t>K6382</t>
  </si>
  <si>
    <t>ALG 6390</t>
  </si>
  <si>
    <t>K6390</t>
  </si>
  <si>
    <t>ALG 6376</t>
  </si>
  <si>
    <t>K6376</t>
  </si>
  <si>
    <t>ALG 6398</t>
  </si>
  <si>
    <t>K6398</t>
  </si>
  <si>
    <t>ALG 6367</t>
  </si>
  <si>
    <t>K6367</t>
  </si>
  <si>
    <t>ALG 6368</t>
  </si>
  <si>
    <t>K6368</t>
  </si>
  <si>
    <t>ALG 6375</t>
  </si>
  <si>
    <t>K6375</t>
  </si>
  <si>
    <t>ALG 6383</t>
  </si>
  <si>
    <t>K6383</t>
  </si>
  <si>
    <t>ALG 3039</t>
  </si>
  <si>
    <t>K3039</t>
  </si>
  <si>
    <t>ALG 3040</t>
  </si>
  <si>
    <t>K3040</t>
  </si>
  <si>
    <t>ALG 3042</t>
  </si>
  <si>
    <t>K3042</t>
  </si>
  <si>
    <t>ALG 3043</t>
  </si>
  <si>
    <t>K3043</t>
  </si>
  <si>
    <t>ALG 3044</t>
  </si>
  <si>
    <t>K3044</t>
  </si>
  <si>
    <t>ALG 3045</t>
  </si>
  <si>
    <t>K3045</t>
  </si>
  <si>
    <t>ALG 3047</t>
  </si>
  <si>
    <t>K3047</t>
  </si>
  <si>
    <t>ALG 3050</t>
  </si>
  <si>
    <t>K3050</t>
  </si>
  <si>
    <t>ALG 3051</t>
  </si>
  <si>
    <t>K3051</t>
  </si>
  <si>
    <t>ALG 3052</t>
  </si>
  <si>
    <t>K3052</t>
  </si>
  <si>
    <t>ALG 3056</t>
  </si>
  <si>
    <t>K3056</t>
  </si>
  <si>
    <t>ALG 3041</t>
  </si>
  <si>
    <t>K3041</t>
  </si>
  <si>
    <t>ALG 3046</t>
  </si>
  <si>
    <t>K3046</t>
  </si>
  <si>
    <t>ALG 3048</t>
  </si>
  <si>
    <t>K3048</t>
  </si>
  <si>
    <t>ALG 3049</t>
  </si>
  <si>
    <t>K3049</t>
  </si>
  <si>
    <t>ALG 9833</t>
  </si>
  <si>
    <t>K9833</t>
  </si>
  <si>
    <t>ALG 9834</t>
  </si>
  <si>
    <t>K9834</t>
  </si>
  <si>
    <t>ALG 9843</t>
  </si>
  <si>
    <t>K9843</t>
  </si>
  <si>
    <t>ALG 9851</t>
  </si>
  <si>
    <t>K9851</t>
  </si>
  <si>
    <t>ALG 9862</t>
  </si>
  <si>
    <t>K9862</t>
  </si>
  <si>
    <t>ALG 9868</t>
  </si>
  <si>
    <t>K9868</t>
  </si>
  <si>
    <t>ALG 9869</t>
  </si>
  <si>
    <t>K9869</t>
  </si>
  <si>
    <t>ALG 9870</t>
  </si>
  <si>
    <t>K9870</t>
  </si>
  <si>
    <t>ALG 9871</t>
  </si>
  <si>
    <t>K9871</t>
  </si>
  <si>
    <t>ALG 9879</t>
  </si>
  <si>
    <t>K9879</t>
  </si>
  <si>
    <t>ALG 9883</t>
  </si>
  <si>
    <t>K9883</t>
  </si>
  <si>
    <t>K9882</t>
  </si>
  <si>
    <t>ALG 9889</t>
  </si>
  <si>
    <t>K9889</t>
  </si>
  <si>
    <t>ALG 9824</t>
  </si>
  <si>
    <t>K9824</t>
  </si>
  <si>
    <t>ALG 9828</t>
  </si>
  <si>
    <t>ALG 9829</t>
  </si>
  <si>
    <t>K9829</t>
  </si>
  <si>
    <t>ALG 9831</t>
  </si>
  <si>
    <t>K9831</t>
  </si>
  <si>
    <t>ALG 9836</t>
  </si>
  <si>
    <t>K9836</t>
  </si>
  <si>
    <t>ALG 9837</t>
  </si>
  <si>
    <t>K9837</t>
  </si>
  <si>
    <t>ALG 9840</t>
  </si>
  <si>
    <t>K9840</t>
  </si>
  <si>
    <t>ALG 9842</t>
  </si>
  <si>
    <t>K9842</t>
  </si>
  <si>
    <t>ALG 9845</t>
  </si>
  <si>
    <t>K9845</t>
  </si>
  <si>
    <t>ALG 9846</t>
  </si>
  <si>
    <t>K9846</t>
  </si>
  <si>
    <t>ALG 9847</t>
  </si>
  <si>
    <t>K9847</t>
  </si>
  <si>
    <t>ALG 9848</t>
  </si>
  <si>
    <t>K9848</t>
  </si>
  <si>
    <t>ALG 9850</t>
  </si>
  <si>
    <t>K9850</t>
  </si>
  <si>
    <t>ALG  9853</t>
  </si>
  <si>
    <t>K9853</t>
  </si>
  <si>
    <t>ALG 9854</t>
  </si>
  <si>
    <t>K9854</t>
  </si>
  <si>
    <t>ALG 9855</t>
  </si>
  <si>
    <t>K9855</t>
  </si>
  <si>
    <t>ALG 9856</t>
  </si>
  <si>
    <t>K9856</t>
  </si>
  <si>
    <t>ALG 9859</t>
  </si>
  <si>
    <t>K9859</t>
  </si>
  <si>
    <t>ALG 9863</t>
  </si>
  <si>
    <t>K9863</t>
  </si>
  <si>
    <t>ALG  9867</t>
  </si>
  <si>
    <t>K9867</t>
  </si>
  <si>
    <t>ALG 9874</t>
  </si>
  <si>
    <t>K9874</t>
  </si>
  <si>
    <t>ALG 9875</t>
  </si>
  <si>
    <t>K9875</t>
  </si>
  <si>
    <t>ALG 9878</t>
  </si>
  <si>
    <t>K9878</t>
  </si>
  <si>
    <t>ALG 9880</t>
  </si>
  <si>
    <t>K9880</t>
  </si>
  <si>
    <t>ALG 9882</t>
  </si>
  <si>
    <t>ALG 9885</t>
  </si>
  <si>
    <t>K9885</t>
  </si>
  <si>
    <t>ALG 9887</t>
  </si>
  <si>
    <t>K9887</t>
  </si>
  <si>
    <t>ALG 9888</t>
  </si>
  <si>
    <t>K9888</t>
  </si>
  <si>
    <t>ALG 9891</t>
  </si>
  <si>
    <t>K9891</t>
  </si>
  <si>
    <t>ALG 9894</t>
  </si>
  <si>
    <t>K9894</t>
  </si>
  <si>
    <t>ALG 9902</t>
  </si>
  <si>
    <t>K9902</t>
  </si>
  <si>
    <t>ALG 9817</t>
  </si>
  <si>
    <t>K9817</t>
  </si>
  <si>
    <t>ALG 9827</t>
  </si>
  <si>
    <t>K9827</t>
  </si>
  <si>
    <t>ALG 9830</t>
  </si>
  <si>
    <t>K9830</t>
  </si>
  <si>
    <t>ALG 9835</t>
  </si>
  <si>
    <t>K9835</t>
  </si>
  <si>
    <t>ALG 9841</t>
  </si>
  <si>
    <t>K9841</t>
  </si>
  <si>
    <t>ALG 9844</t>
  </si>
  <si>
    <t>K9844</t>
  </si>
  <si>
    <t>ALG 9852</t>
  </si>
  <si>
    <t>K9852</t>
  </si>
  <si>
    <t>ALG 9872</t>
  </si>
  <si>
    <t>K9872</t>
  </si>
  <si>
    <t>ALG 9873</t>
  </si>
  <si>
    <t>K9873</t>
  </si>
  <si>
    <t>ALG 9884</t>
  </si>
  <si>
    <t>K9884</t>
  </si>
  <si>
    <t>ALG 9838</t>
  </si>
  <si>
    <t>K9838</t>
  </si>
  <si>
    <t>ALG 9857</t>
  </si>
  <si>
    <t>K9857</t>
  </si>
  <si>
    <t>ALG 9858</t>
  </si>
  <si>
    <t>K9858</t>
  </si>
  <si>
    <t>ALG 9864</t>
  </si>
  <si>
    <t>K9864</t>
  </si>
  <si>
    <t>ALG 9865</t>
  </si>
  <si>
    <t>K9865</t>
  </si>
  <si>
    <t>ALG 9876</t>
  </si>
  <si>
    <t>K9876</t>
  </si>
  <si>
    <t>ALG 9881</t>
  </si>
  <si>
    <t>K9881</t>
  </si>
  <si>
    <t>ALG 9886</t>
  </si>
  <si>
    <t>K9886</t>
  </si>
  <si>
    <t>ALG 9893</t>
  </si>
  <si>
    <t>K9893</t>
  </si>
  <si>
    <t>ALG 9839</t>
  </si>
  <si>
    <t>K9839</t>
  </si>
  <si>
    <t>ALG 9877</t>
  </si>
  <si>
    <t>K9877</t>
  </si>
  <si>
    <t>ALG 9866</t>
  </si>
  <si>
    <t>K9866</t>
  </si>
  <si>
    <t>ALG 1901</t>
  </si>
  <si>
    <t>K1901</t>
  </si>
  <si>
    <t>ALG 1904</t>
  </si>
  <si>
    <t>K1904</t>
  </si>
  <si>
    <t>ALG 1908</t>
  </si>
  <si>
    <t>K1908</t>
  </si>
  <si>
    <t>ALG 1911</t>
  </si>
  <si>
    <t>K1911</t>
  </si>
  <si>
    <t>ALG 1916</t>
  </si>
  <si>
    <t>ALG 1900</t>
  </si>
  <si>
    <t>K1900</t>
  </si>
  <si>
    <t>ALG 1906</t>
  </si>
  <si>
    <t>K1906</t>
  </si>
  <si>
    <t>ALG 1913</t>
  </si>
  <si>
    <t>K1913</t>
  </si>
  <si>
    <t>ALG 1902</t>
  </si>
  <si>
    <t>K1902</t>
  </si>
  <si>
    <t>ALG 1907</t>
  </si>
  <si>
    <t>K1907</t>
  </si>
  <si>
    <t>ALG 1909</t>
  </si>
  <si>
    <t>K1909</t>
  </si>
  <si>
    <t>ALG 1912</t>
  </si>
  <si>
    <t>K1912</t>
  </si>
  <si>
    <t>ALG 1903</t>
  </si>
  <si>
    <t>K1903</t>
  </si>
  <si>
    <t>ALG 1905</t>
  </si>
  <si>
    <t>K1905</t>
  </si>
  <si>
    <t>ALG 1910</t>
  </si>
  <si>
    <t>K1910</t>
  </si>
  <si>
    <t>ALG 5988</t>
  </si>
  <si>
    <t>K5988</t>
  </si>
  <si>
    <t>ALG 5999</t>
  </si>
  <si>
    <t>K5999</t>
  </si>
  <si>
    <t>ALG 6004D</t>
  </si>
  <si>
    <t>K6004D</t>
  </si>
  <si>
    <t>ALG 5991</t>
  </si>
  <si>
    <t>K5991</t>
  </si>
  <si>
    <t>ALG 6003D</t>
  </si>
  <si>
    <t>ALG 5995</t>
  </si>
  <si>
    <t>K5995</t>
  </si>
  <si>
    <t>ALG 5996</t>
  </si>
  <si>
    <t>K5996</t>
  </si>
  <si>
    <t>ALG 5997</t>
  </si>
  <si>
    <t>K5997</t>
  </si>
  <si>
    <t>ALG 6000D</t>
  </si>
  <si>
    <t>K6000</t>
  </si>
  <si>
    <t>ALG 6001D</t>
  </si>
  <si>
    <t>ALG 6002D</t>
  </si>
  <si>
    <t>ALG 6394</t>
  </si>
  <si>
    <t>K6394</t>
  </si>
  <si>
    <t>ALG 6395</t>
  </si>
  <si>
    <t>K6395</t>
  </si>
  <si>
    <t>ALG 6396</t>
  </si>
  <si>
    <t>K6396</t>
  </si>
  <si>
    <t>ALG 6399</t>
  </si>
  <si>
    <t>K6399</t>
  </si>
  <si>
    <t>ALG 6400</t>
  </si>
  <si>
    <t>K6400</t>
  </si>
  <si>
    <t>ALG 6402</t>
  </si>
  <si>
    <t>K6402</t>
  </si>
  <si>
    <t>ALG 6403</t>
  </si>
  <si>
    <t>K6403</t>
  </si>
  <si>
    <t>ALG 6405</t>
  </si>
  <si>
    <t>k6405</t>
  </si>
  <si>
    <t>ALG 6406</t>
  </si>
  <si>
    <t>K6406</t>
  </si>
  <si>
    <t>ALG 6408</t>
  </si>
  <si>
    <t>K6408</t>
  </si>
  <si>
    <t>ALG 6415</t>
  </si>
  <si>
    <t>K6415</t>
  </si>
  <si>
    <t>ALG 6416</t>
  </si>
  <si>
    <t>K6416</t>
  </si>
  <si>
    <t>ALG 6422</t>
  </si>
  <si>
    <t>K6422</t>
  </si>
  <si>
    <t>ALG 6425</t>
  </si>
  <si>
    <t>K6425</t>
  </si>
  <si>
    <t>ALG 6426</t>
  </si>
  <si>
    <t>K6426</t>
  </si>
  <si>
    <t>ALG 6429</t>
  </si>
  <si>
    <t>K6429</t>
  </si>
  <si>
    <t>ALG 6430</t>
  </si>
  <si>
    <t>K6430</t>
  </si>
  <si>
    <t>ALG 6417</t>
  </si>
  <si>
    <t>K6417</t>
  </si>
  <si>
    <t>ALG 6393</t>
  </si>
  <si>
    <t>k6393</t>
  </si>
  <si>
    <t>K6393</t>
  </si>
  <si>
    <t>ALG 6407</t>
  </si>
  <si>
    <t>K6407</t>
  </si>
  <si>
    <t>ALG 6409</t>
  </si>
  <si>
    <t>K6409</t>
  </si>
  <si>
    <t>ALG 6410</t>
  </si>
  <si>
    <t>K6410</t>
  </si>
  <si>
    <t>ALG 6418</t>
  </si>
  <si>
    <t>K6418</t>
  </si>
  <si>
    <t>ALG 6419</t>
  </si>
  <si>
    <t>K6419</t>
  </si>
  <si>
    <t>ALG 6420</t>
  </si>
  <si>
    <t>K6420</t>
  </si>
  <si>
    <t>ALG 6421</t>
  </si>
  <si>
    <t>K6421</t>
  </si>
  <si>
    <t>ALG 6423</t>
  </si>
  <si>
    <t>K6423</t>
  </si>
  <si>
    <t>ALG 6427</t>
  </si>
  <si>
    <t>K6427</t>
  </si>
  <si>
    <t>ALG 6434</t>
  </si>
  <si>
    <t>K6434</t>
  </si>
  <si>
    <t>ALG 6411</t>
  </si>
  <si>
    <t>K6411</t>
  </si>
  <si>
    <t>ALG 6436</t>
  </si>
  <si>
    <t>K6436</t>
  </si>
  <si>
    <t>ALG 6391</t>
  </si>
  <si>
    <t>K6391</t>
  </si>
  <si>
    <t>ALG 6401</t>
  </si>
  <si>
    <t>K6401</t>
  </si>
  <si>
    <t>ALG 6424</t>
  </si>
  <si>
    <t>K6424</t>
  </si>
  <si>
    <t>ALG 6428</t>
  </si>
  <si>
    <t>K6428</t>
  </si>
  <si>
    <t>ALG 3054</t>
  </si>
  <si>
    <t>K3054</t>
  </si>
  <si>
    <t>ALG 3055</t>
  </si>
  <si>
    <t>K3055</t>
  </si>
  <si>
    <t>ALG 3058</t>
  </si>
  <si>
    <t>K3058</t>
  </si>
  <si>
    <t>ALG 3059</t>
  </si>
  <si>
    <t>K3059</t>
  </si>
  <si>
    <t>ALG 3060</t>
  </si>
  <si>
    <t>K3060</t>
  </si>
  <si>
    <t>ALG 3061</t>
  </si>
  <si>
    <t>K3061</t>
  </si>
  <si>
    <t>ALG 3062</t>
  </si>
  <si>
    <t>K3062</t>
  </si>
  <si>
    <t>ALG 3063</t>
  </si>
  <si>
    <t>K3063</t>
  </si>
  <si>
    <t>ALG 3065</t>
  </si>
  <si>
    <t>K3065</t>
  </si>
  <si>
    <t>ALG 3066</t>
  </si>
  <si>
    <t>K3066</t>
  </si>
  <si>
    <t>ALG 3067</t>
  </si>
  <si>
    <t>K3067</t>
  </si>
  <si>
    <t>ALG 3068</t>
  </si>
  <si>
    <t>K3068</t>
  </si>
  <si>
    <t>ALG 3069</t>
  </si>
  <si>
    <t>K3069</t>
  </si>
  <si>
    <t>ALG 3071</t>
  </si>
  <si>
    <t>K3071</t>
  </si>
  <si>
    <t>ALG 3072</t>
  </si>
  <si>
    <t>K3072</t>
  </si>
  <si>
    <t>ALG 3073</t>
  </si>
  <si>
    <t>K3073</t>
  </si>
  <si>
    <t>ALG 3074</t>
  </si>
  <si>
    <t>K3074</t>
  </si>
  <si>
    <t>ALG 3075</t>
  </si>
  <si>
    <t>ALG 3076</t>
  </si>
  <si>
    <t>K3076</t>
  </si>
  <si>
    <t>ALG 3077</t>
  </si>
  <si>
    <t>K3077</t>
  </si>
  <si>
    <t>ALG 3079</t>
  </si>
  <si>
    <t>K3079</t>
  </si>
  <si>
    <t>ALG 3080</t>
  </si>
  <si>
    <t>K3080</t>
  </si>
  <si>
    <t>ALG 3081</t>
  </si>
  <si>
    <t>K3081</t>
  </si>
  <si>
    <t>ALG 3057</t>
  </si>
  <si>
    <t>K3057</t>
  </si>
  <si>
    <t>ALG 3053</t>
  </si>
  <si>
    <t>K3053</t>
  </si>
  <si>
    <t>ALG 3064</t>
  </si>
  <si>
    <t>K3064</t>
  </si>
  <si>
    <t>ALG 3070</t>
  </si>
  <si>
    <t>K3070</t>
  </si>
  <si>
    <t>K3075</t>
  </si>
  <si>
    <t>ALG 3078</t>
  </si>
  <si>
    <t>K3078</t>
  </si>
  <si>
    <t>ALG 3084</t>
  </si>
  <si>
    <t>K3084</t>
  </si>
  <si>
    <t>ALG 9898</t>
  </si>
  <si>
    <t>K9898</t>
  </si>
  <si>
    <t>ALG 9903</t>
  </si>
  <si>
    <t>K9903</t>
  </si>
  <si>
    <t>ALG 9904</t>
  </si>
  <si>
    <t>K9904</t>
  </si>
  <si>
    <t>ALG 9906</t>
  </si>
  <si>
    <t>K9906</t>
  </si>
  <si>
    <t>ALG 9907</t>
  </si>
  <si>
    <t>K9907</t>
  </si>
  <si>
    <t>ALG 9912</t>
  </si>
  <si>
    <t>K9912</t>
  </si>
  <si>
    <t>ALG 9913</t>
  </si>
  <si>
    <t>K9913</t>
  </si>
  <si>
    <t>ALG 9914</t>
  </si>
  <si>
    <t>K9914</t>
  </si>
  <si>
    <t>ALG 9892</t>
  </si>
  <si>
    <t>K9892</t>
  </si>
  <si>
    <t>ALG 9895</t>
  </si>
  <si>
    <t>K9895</t>
  </si>
  <si>
    <t>ALG 9896</t>
  </si>
  <si>
    <t>K9896</t>
  </si>
  <si>
    <t>ALG 9909</t>
  </si>
  <si>
    <t>K9909</t>
  </si>
  <si>
    <t>ALG 9915</t>
  </si>
  <si>
    <t>K9915</t>
  </si>
  <si>
    <t>ALG 9916</t>
  </si>
  <si>
    <t>K9916</t>
  </si>
  <si>
    <t>ALG 9918</t>
  </si>
  <si>
    <t>K9918</t>
  </si>
  <si>
    <t>ALG 9890</t>
  </si>
  <si>
    <t>K9890</t>
  </si>
  <si>
    <t>ALG 9899</t>
  </si>
  <si>
    <t>K9899</t>
  </si>
  <si>
    <t>ALG 9905</t>
  </si>
  <si>
    <t>K9905</t>
  </si>
  <si>
    <t>ALG 9908</t>
  </si>
  <si>
    <t>K9908</t>
  </si>
  <si>
    <t>ALG 9897</t>
  </si>
  <si>
    <t>K9897</t>
  </si>
  <si>
    <t>ALG 9900</t>
  </si>
  <si>
    <t>K9900</t>
  </si>
  <si>
    <t>ALG 9849</t>
  </si>
  <si>
    <t>K9849</t>
  </si>
  <si>
    <t>ALG 9901</t>
  </si>
  <si>
    <t>K9901</t>
  </si>
  <si>
    <t>ALG 9921</t>
  </si>
  <si>
    <t>K9921</t>
  </si>
  <si>
    <t>K1916</t>
  </si>
  <si>
    <t>ALG 1917</t>
  </si>
  <si>
    <t>K1917</t>
  </si>
  <si>
    <t>ALG 1918</t>
  </si>
  <si>
    <t>K1918</t>
  </si>
  <si>
    <t>ALG 1914</t>
  </si>
  <si>
    <t>K1914</t>
  </si>
  <si>
    <t>ALG 6432</t>
  </si>
  <si>
    <t>K6432</t>
  </si>
  <si>
    <t>ALG 6404</t>
  </si>
  <si>
    <t>K6404</t>
  </si>
  <si>
    <t>ALG 6431</t>
  </si>
  <si>
    <t>K6431</t>
  </si>
  <si>
    <t>ALG 6433</t>
  </si>
  <si>
    <t>K6433</t>
  </si>
  <si>
    <t>ALG 6437</t>
  </si>
  <si>
    <t>K6437</t>
  </si>
  <si>
    <t>ALG 3082</t>
  </si>
  <si>
    <t>K3082</t>
  </si>
  <si>
    <t>ALG 3085</t>
  </si>
  <si>
    <t>K3085</t>
  </si>
  <si>
    <t>ALG 3086</t>
  </si>
  <si>
    <t>K3086</t>
  </si>
  <si>
    <t>ALG 3087</t>
  </si>
  <si>
    <t>K3087</t>
  </si>
  <si>
    <t>ALG 3088</t>
  </si>
  <si>
    <t>K3088</t>
  </si>
  <si>
    <t>ALG 3090</t>
  </si>
  <si>
    <t>K3090</t>
  </si>
  <si>
    <t>ALG 3083</t>
  </si>
  <si>
    <t>K3083</t>
  </si>
  <si>
    <t>ALG 9922</t>
  </si>
  <si>
    <t>K9922</t>
  </si>
  <si>
    <t>ALG 9930</t>
  </si>
  <si>
    <t>K9930</t>
  </si>
  <si>
    <t>ALG 9934</t>
  </si>
  <si>
    <t>K9934</t>
  </si>
  <si>
    <t>ALG 9935</t>
  </si>
  <si>
    <t>K9935</t>
  </si>
  <si>
    <t>ALG 9936</t>
  </si>
  <si>
    <t>K9936</t>
  </si>
  <si>
    <t>ALG 9919</t>
  </si>
  <si>
    <t>K9919</t>
  </si>
  <si>
    <t>ALG 9920</t>
  </si>
  <si>
    <t>K9920</t>
  </si>
  <si>
    <t>ALG 9924</t>
  </si>
  <si>
    <t>K9924</t>
  </si>
  <si>
    <t>ALG 9927</t>
  </si>
  <si>
    <t>K9927</t>
  </si>
  <si>
    <t>ALG 9931</t>
  </si>
  <si>
    <t>K9931</t>
  </si>
  <si>
    <t>ALG 9932</t>
  </si>
  <si>
    <t>K9932</t>
  </si>
  <si>
    <t>ALG 9940</t>
  </si>
  <si>
    <t>K9940</t>
  </si>
  <si>
    <t>ALG 9941</t>
  </si>
  <si>
    <t>K9941</t>
  </si>
  <si>
    <t>ALG 9942</t>
  </si>
  <si>
    <t>K9942</t>
  </si>
  <si>
    <t>ALG 9943</t>
  </si>
  <si>
    <t>K9943</t>
  </si>
  <si>
    <t>ALG 9955</t>
  </si>
  <si>
    <t>K9955</t>
  </si>
  <si>
    <t>ALG 9925</t>
  </si>
  <si>
    <t>K9925</t>
  </si>
  <si>
    <t>ALG 9926</t>
  </si>
  <si>
    <t>K9926</t>
  </si>
  <si>
    <t>ALG 9948</t>
  </si>
  <si>
    <t>K9948</t>
  </si>
  <si>
    <t>ALG 9917</t>
  </si>
  <si>
    <t>K9917</t>
  </si>
  <si>
    <t>ALG 9928</t>
  </si>
  <si>
    <t>K9928</t>
  </si>
  <si>
    <t>ALG 9938</t>
  </si>
  <si>
    <t>K9938</t>
  </si>
  <si>
    <t>CONCILIATION NAPPA JRR RED NAPPA</t>
  </si>
  <si>
    <t>ALG 9939</t>
  </si>
  <si>
    <t>K9939</t>
  </si>
  <si>
    <t>ALG 9953</t>
  </si>
  <si>
    <t>K9953</t>
  </si>
  <si>
    <t>ALG 9929</t>
  </si>
  <si>
    <t>ALG 1915</t>
  </si>
  <si>
    <t>K1915</t>
  </si>
  <si>
    <t>ALG 6005D</t>
  </si>
  <si>
    <t>K6005</t>
  </si>
  <si>
    <t>ALG 6008D</t>
  </si>
  <si>
    <t>K6008</t>
  </si>
  <si>
    <t>ALG 5998</t>
  </si>
  <si>
    <t>K5998</t>
  </si>
  <si>
    <t>ALG 6009D</t>
  </si>
  <si>
    <t>K6009</t>
  </si>
  <si>
    <t>ALG 6011D</t>
  </si>
  <si>
    <t>K6011</t>
  </si>
  <si>
    <t>ALG 6007D</t>
  </si>
  <si>
    <t>K6007</t>
  </si>
  <si>
    <t>ALG 6442</t>
  </si>
  <si>
    <t>K6442</t>
  </si>
  <si>
    <t>ALG 6445</t>
  </si>
  <si>
    <t>K6445</t>
  </si>
  <si>
    <t>ALG 6447</t>
  </si>
  <si>
    <t>K6447</t>
  </si>
  <si>
    <t>ALG 6456</t>
  </si>
  <si>
    <t>K6456</t>
  </si>
  <si>
    <t>ALG 6458</t>
  </si>
  <si>
    <t>K6458</t>
  </si>
  <si>
    <t>ALG 6444</t>
  </si>
  <si>
    <t>K6444</t>
  </si>
  <si>
    <t>ALG 6439</t>
  </si>
  <si>
    <t>K6439</t>
  </si>
  <si>
    <t>ALG 6453</t>
  </si>
  <si>
    <t>K6453</t>
  </si>
  <si>
    <t>ALG 6454</t>
  </si>
  <si>
    <t>K6454</t>
  </si>
  <si>
    <t>ALG 6446</t>
  </si>
  <si>
    <t>K6446</t>
  </si>
  <si>
    <t>ALG 6435</t>
  </si>
  <si>
    <t>K6435</t>
  </si>
  <si>
    <t>ALG 6438</t>
  </si>
  <si>
    <t>K6438</t>
  </si>
  <si>
    <t>ALG 3091</t>
  </si>
  <si>
    <t>K3091</t>
  </si>
  <si>
    <t>ALG 3092</t>
  </si>
  <si>
    <t>K3092</t>
  </si>
  <si>
    <t>ALG 3093</t>
  </si>
  <si>
    <t>K3093</t>
  </si>
  <si>
    <t>ALG 3094</t>
  </si>
  <si>
    <t>K3094</t>
  </si>
  <si>
    <t>ALG 3095</t>
  </si>
  <si>
    <t>K3095</t>
  </si>
  <si>
    <t>ALG 3096</t>
  </si>
  <si>
    <t>K3096</t>
  </si>
  <si>
    <t>CONCILIATION PS4 SKI GREY NAPPA</t>
  </si>
  <si>
    <t>ALG 4000</t>
  </si>
  <si>
    <t>ALG 4001</t>
  </si>
  <si>
    <t>ALG 4003</t>
  </si>
  <si>
    <t>CONCILIATION NAPPA LAGUNA BLACK DX9</t>
  </si>
  <si>
    <t>ALG 4002</t>
  </si>
  <si>
    <t>ALG 9937</t>
  </si>
  <si>
    <t>K9937</t>
  </si>
  <si>
    <t>ALG 9944</t>
  </si>
  <si>
    <t>K9944</t>
  </si>
  <si>
    <t>ALG 9945</t>
  </si>
  <si>
    <t>K9945</t>
  </si>
  <si>
    <t>ALG 9954</t>
  </si>
  <si>
    <t>K9954</t>
  </si>
  <si>
    <t>ALG 9961</t>
  </si>
  <si>
    <t>K9961</t>
  </si>
  <si>
    <t>ALG 9971</t>
  </si>
  <si>
    <t>K9971</t>
  </si>
  <si>
    <t>ALG 9977</t>
  </si>
  <si>
    <t>K9977</t>
  </si>
  <si>
    <t>ALG 9946</t>
  </si>
  <si>
    <t>K9946</t>
  </si>
  <si>
    <t>ALG 9947</t>
  </si>
  <si>
    <t>K9947</t>
  </si>
  <si>
    <t>ALG 9949</t>
  </si>
  <si>
    <t>K9949</t>
  </si>
  <si>
    <t>ALG 9956</t>
  </si>
  <si>
    <t>K9956</t>
  </si>
  <si>
    <t>ALG 9957</t>
  </si>
  <si>
    <t>K9957</t>
  </si>
  <si>
    <t>ALG 9958</t>
  </si>
  <si>
    <t>K9958</t>
  </si>
  <si>
    <t>ALG 9959</t>
  </si>
  <si>
    <t>K9959</t>
  </si>
  <si>
    <t>ALG 9960</t>
  </si>
  <si>
    <t>K9960</t>
  </si>
  <si>
    <t>ALG 9962</t>
  </si>
  <si>
    <t>K9962</t>
  </si>
  <si>
    <t>ALG 9963</t>
  </si>
  <si>
    <t>K9963</t>
  </si>
  <si>
    <t>ALG 9965</t>
  </si>
  <si>
    <t>K9965</t>
  </si>
  <si>
    <t>ALG 9966</t>
  </si>
  <si>
    <t>K9966</t>
  </si>
  <si>
    <t>ALG 9950</t>
  </si>
  <si>
    <t>K9950</t>
  </si>
  <si>
    <t>ALG 9951</t>
  </si>
  <si>
    <t>K9951</t>
  </si>
  <si>
    <t>ALG 9983</t>
  </si>
  <si>
    <t>K9983</t>
  </si>
  <si>
    <t>ALG 9976</t>
  </si>
  <si>
    <t>K9976</t>
  </si>
  <si>
    <t>ALG 9984</t>
  </si>
  <si>
    <t>K9984</t>
  </si>
  <si>
    <t>ALG 1920</t>
  </si>
  <si>
    <t>K1920</t>
  </si>
  <si>
    <t>ALG 1919</t>
  </si>
  <si>
    <t>K1919</t>
  </si>
  <si>
    <t>ALG 1921</t>
  </si>
  <si>
    <t>ALG 1923</t>
  </si>
  <si>
    <t>K1923</t>
  </si>
  <si>
    <t>ALG 6459</t>
  </si>
  <si>
    <t>K6459</t>
  </si>
  <si>
    <t>ALG 6460</t>
  </si>
  <si>
    <t>K6460</t>
  </si>
  <si>
    <t>ALG 6462</t>
  </si>
  <si>
    <t>K6462</t>
  </si>
  <si>
    <t>ALG 6463</t>
  </si>
  <si>
    <t>K6463</t>
  </si>
  <si>
    <t>ALG 6467</t>
  </si>
  <si>
    <t>K6467</t>
  </si>
  <si>
    <t>ALG 6461</t>
  </si>
  <si>
    <t>K6461</t>
  </si>
  <si>
    <t>ALG 6452</t>
  </si>
  <si>
    <t>K6452</t>
  </si>
  <si>
    <t>ALG 6451</t>
  </si>
  <si>
    <t>K6451</t>
  </si>
  <si>
    <t>ALG 6455</t>
  </si>
  <si>
    <t>K6455</t>
  </si>
  <si>
    <t>ALG 3097</t>
  </si>
  <si>
    <t>K3097</t>
  </si>
  <si>
    <t>ALG 3098</t>
  </si>
  <si>
    <t>K3098</t>
  </si>
  <si>
    <t>ALG 3099</t>
  </si>
  <si>
    <t>K3099</t>
  </si>
  <si>
    <t>ALG 3101</t>
  </si>
  <si>
    <t>K3100</t>
  </si>
  <si>
    <t>ALG 3102</t>
  </si>
  <si>
    <t>K3102</t>
  </si>
  <si>
    <t>ALG 3103</t>
  </si>
  <si>
    <t>K3103</t>
  </si>
  <si>
    <t>ALG 3104</t>
  </si>
  <si>
    <t>K3104</t>
  </si>
  <si>
    <t>ALG 3107</t>
  </si>
  <si>
    <t>K3107</t>
  </si>
  <si>
    <t>ALG 3108</t>
  </si>
  <si>
    <t>K3108</t>
  </si>
  <si>
    <t>ALG 3089</t>
  </si>
  <si>
    <t>K3089</t>
  </si>
  <si>
    <t>ALG 3100</t>
  </si>
  <si>
    <t>ALG 6449</t>
  </si>
  <si>
    <t>K6449</t>
  </si>
  <si>
    <t>ALG 6450</t>
  </si>
  <si>
    <t>K6450</t>
  </si>
  <si>
    <t>ALG 6443</t>
  </si>
  <si>
    <t>K6443</t>
  </si>
  <si>
    <t>ALG 9978</t>
  </si>
  <si>
    <t>K9978</t>
  </si>
  <si>
    <t>ALG 9979</t>
  </si>
  <si>
    <t>K9979</t>
  </si>
  <si>
    <t>ALG 9985</t>
  </si>
  <si>
    <t>K9985</t>
  </si>
  <si>
    <t>ALG 9989</t>
  </si>
  <si>
    <t>K9989</t>
  </si>
  <si>
    <t>ALG 9964</t>
  </si>
  <si>
    <t>K9964</t>
  </si>
  <si>
    <t>ALG 9972</t>
  </si>
  <si>
    <t>K9972</t>
  </si>
  <si>
    <t>ALG 9975</t>
  </si>
  <si>
    <t>K9975</t>
  </si>
  <si>
    <t>ALG 9982</t>
  </si>
  <si>
    <t>K9982</t>
  </si>
  <si>
    <t>ALG 9988</t>
  </si>
  <si>
    <t>K9988</t>
  </si>
  <si>
    <t>ALG 9992</t>
  </si>
  <si>
    <t>K9992</t>
  </si>
  <si>
    <t>ALG 9993</t>
  </si>
  <si>
    <t>K9993</t>
  </si>
  <si>
    <t>ALG 9923</t>
  </si>
  <si>
    <t>K9923</t>
  </si>
  <si>
    <t>ALG 9967</t>
  </si>
  <si>
    <t>K9967</t>
  </si>
  <si>
    <t>ALG 9933</t>
  </si>
  <si>
    <t>K9933</t>
  </si>
  <si>
    <t>ALG 9974</t>
  </si>
  <si>
    <t>K9974</t>
  </si>
  <si>
    <t>ALG 9990</t>
  </si>
  <si>
    <t>K9990</t>
  </si>
  <si>
    <t>ALG 9991</t>
  </si>
  <si>
    <t>K9991</t>
  </si>
  <si>
    <t>ALG 9994</t>
  </si>
  <si>
    <t>K9994</t>
  </si>
  <si>
    <t>ALG 1924</t>
  </si>
  <si>
    <t>K1924</t>
  </si>
  <si>
    <t>ALG 6015D</t>
  </si>
  <si>
    <t>ALG 6016D</t>
  </si>
  <si>
    <t>ALG 6010D</t>
  </si>
  <si>
    <t>K6010</t>
  </si>
  <si>
    <t>ALG 6469</t>
  </si>
  <si>
    <t>K6469</t>
  </si>
  <si>
    <t>ALG 6470</t>
  </si>
  <si>
    <t>K6470</t>
  </si>
  <si>
    <t>ALG 9448</t>
  </si>
  <si>
    <t>K6448</t>
  </si>
  <si>
    <t>ALG 6464</t>
  </si>
  <si>
    <t>K6464</t>
  </si>
  <si>
    <t>ALG 6468</t>
  </si>
  <si>
    <t>K6468</t>
  </si>
  <si>
    <t>ALG 6471</t>
  </si>
  <si>
    <t>K6471</t>
  </si>
  <si>
    <t>ALG 6472</t>
  </si>
  <si>
    <t>K6472</t>
  </si>
  <si>
    <t>ALG 3109</t>
  </si>
  <si>
    <t>K3109</t>
  </si>
  <si>
    <t>ALG 3110</t>
  </si>
  <si>
    <t>K3110</t>
  </si>
  <si>
    <t>ALG 3115</t>
  </si>
  <si>
    <t>K3115</t>
  </si>
  <si>
    <t>ALG 3116</t>
  </si>
  <si>
    <t>K3116</t>
  </si>
  <si>
    <t>ALG 3118</t>
  </si>
  <si>
    <t>K3118</t>
  </si>
  <si>
    <t>ALG 3105</t>
  </si>
  <si>
    <t>K3105</t>
  </si>
  <si>
    <t>ALG 3112</t>
  </si>
  <si>
    <t>K3112</t>
  </si>
  <si>
    <t>ALG 3113</t>
  </si>
  <si>
    <t>K3113</t>
  </si>
  <si>
    <t>CONCILIATION VT9 DARK SADDLE TAN MCKINLEY</t>
  </si>
  <si>
    <t>K3106</t>
  </si>
  <si>
    <t>ALG 9996</t>
  </si>
  <si>
    <t>K9996</t>
  </si>
  <si>
    <t>ALG 9997</t>
  </si>
  <si>
    <t>K9997</t>
  </si>
  <si>
    <t>ALG 9995</t>
  </si>
  <si>
    <t>K9995</t>
  </si>
  <si>
    <t>ALG 10000</t>
  </si>
  <si>
    <t>K10000</t>
  </si>
  <si>
    <t>ALG 10013</t>
  </si>
  <si>
    <t>K10013</t>
  </si>
  <si>
    <t>ALG 10018</t>
  </si>
  <si>
    <t>K10018</t>
  </si>
  <si>
    <t>ALG 9973</t>
  </si>
  <si>
    <t>K9973</t>
  </si>
  <si>
    <t>ALG 9980</t>
  </si>
  <si>
    <t>K9980</t>
  </si>
  <si>
    <t>ALG 9981</t>
  </si>
  <si>
    <t>K9981</t>
  </si>
  <si>
    <t>ALG 9986</t>
  </si>
  <si>
    <t>K9986</t>
  </si>
  <si>
    <t>ALG 9987</t>
  </si>
  <si>
    <t>K9987</t>
  </si>
  <si>
    <t>ALG 9998</t>
  </si>
  <si>
    <t>K9998</t>
  </si>
  <si>
    <t>ALG 10003</t>
  </si>
  <si>
    <t>K10003</t>
  </si>
  <si>
    <t>ALG 10004</t>
  </si>
  <si>
    <t>K10004</t>
  </si>
  <si>
    <t>ALG 10005</t>
  </si>
  <si>
    <t>K10005</t>
  </si>
  <si>
    <t>ALG 10009</t>
  </si>
  <si>
    <t>K10009</t>
  </si>
  <si>
    <t>ALG 10010</t>
  </si>
  <si>
    <t>K10010</t>
  </si>
  <si>
    <t>ALG 10012</t>
  </si>
  <si>
    <t>K10012</t>
  </si>
  <si>
    <t>ALG 10014</t>
  </si>
  <si>
    <t>K10014</t>
  </si>
  <si>
    <t>ALG 10015</t>
  </si>
  <si>
    <t>K10015</t>
  </si>
  <si>
    <t>ALG 10016</t>
  </si>
  <si>
    <t>K10016</t>
  </si>
  <si>
    <t>ALG 10001</t>
  </si>
  <si>
    <t>K10001</t>
  </si>
  <si>
    <t>ALG 10019</t>
  </si>
  <si>
    <t>K10019</t>
  </si>
  <si>
    <t>ALG 10002</t>
  </si>
  <si>
    <t>K10002</t>
  </si>
  <si>
    <t>ALG 10011</t>
  </si>
  <si>
    <t>K10011</t>
  </si>
  <si>
    <t>ALG 10017</t>
  </si>
  <si>
    <t>K10017</t>
  </si>
  <si>
    <t>ALG 10025</t>
  </si>
  <si>
    <t>K10025</t>
  </si>
  <si>
    <t>ALG 1927</t>
  </si>
  <si>
    <t>K1927</t>
  </si>
  <si>
    <t>ALG 1930</t>
  </si>
  <si>
    <t>K1930</t>
  </si>
  <si>
    <t>ALG 1922</t>
  </si>
  <si>
    <t>K1922</t>
  </si>
  <si>
    <t>ALG 6006D</t>
  </si>
  <si>
    <t>K6006D</t>
  </si>
  <si>
    <t>6006D1</t>
  </si>
  <si>
    <t>ALG 6019D</t>
  </si>
  <si>
    <t>ALG 6020D</t>
  </si>
  <si>
    <t>ALG 6021D</t>
  </si>
  <si>
    <t>ALG 6018D</t>
  </si>
  <si>
    <t>ALG 6474</t>
  </si>
  <si>
    <t>K6474</t>
  </si>
  <si>
    <t>ALG 6476</t>
  </si>
  <si>
    <t>K6476</t>
  </si>
  <si>
    <t>ALG 6490</t>
  </si>
  <si>
    <t>K6490</t>
  </si>
  <si>
    <t>ALG 6478</t>
  </si>
  <si>
    <t>K6478</t>
  </si>
  <si>
    <t>ALG 6473</t>
  </si>
  <si>
    <t>K6473</t>
  </si>
  <si>
    <t>ALG 6475</t>
  </si>
  <si>
    <t>K6475</t>
  </si>
  <si>
    <t>ALG 6457</t>
  </si>
  <si>
    <t>K6457</t>
  </si>
  <si>
    <t>ALG 3111</t>
  </si>
  <si>
    <t>K3111</t>
  </si>
  <si>
    <t>ALG 3121</t>
  </si>
  <si>
    <t>K3121</t>
  </si>
  <si>
    <t>ALG 3122</t>
  </si>
  <si>
    <t>K3122</t>
  </si>
  <si>
    <t>ALG 3123</t>
  </si>
  <si>
    <t>K3123</t>
  </si>
  <si>
    <t>ALG 3126</t>
  </si>
  <si>
    <t>K3126</t>
  </si>
  <si>
    <t>ALG 3127</t>
  </si>
  <si>
    <t>K3127</t>
  </si>
  <si>
    <t>ALG 3128</t>
  </si>
  <si>
    <t>K3128</t>
  </si>
  <si>
    <t>ALG 3114</t>
  </si>
  <si>
    <t>K3114</t>
  </si>
  <si>
    <t>ALG 3117</t>
  </si>
  <si>
    <t>K3117</t>
  </si>
  <si>
    <t>ALG 1925</t>
  </si>
  <si>
    <t>K1925</t>
  </si>
  <si>
    <t>ALG 1926</t>
  </si>
  <si>
    <t>K1926</t>
  </si>
  <si>
    <t>ALG 1929</t>
  </si>
  <si>
    <t>ALG 10008</t>
  </si>
  <si>
    <t>K10008</t>
  </si>
  <si>
    <t>ALG 10023</t>
  </si>
  <si>
    <t>K10023</t>
  </si>
  <si>
    <t>ALG 10024</t>
  </si>
  <si>
    <t>K10024</t>
  </si>
  <si>
    <t>ALG 10028</t>
  </si>
  <si>
    <t>K10028</t>
  </si>
  <si>
    <t>ALG 10029</t>
  </si>
  <si>
    <t>K10029</t>
  </si>
  <si>
    <t>ALG 10030</t>
  </si>
  <si>
    <t>K10030</t>
  </si>
  <si>
    <t>ALG 10032</t>
  </si>
  <si>
    <t>K10032</t>
  </si>
  <si>
    <t>ALG 10022</t>
  </si>
  <si>
    <t>K10022</t>
  </si>
  <si>
    <t>ALG 10031</t>
  </si>
  <si>
    <t>K10031</t>
  </si>
  <si>
    <t>ALG 9952</t>
  </si>
  <si>
    <t>K9952</t>
  </si>
  <si>
    <t>ALG 10006</t>
  </si>
  <si>
    <t>K10006</t>
  </si>
  <si>
    <t>K10007</t>
  </si>
  <si>
    <t>ALG 10007</t>
  </si>
  <si>
    <t>ALG 9999</t>
  </si>
  <si>
    <t>K9999</t>
  </si>
  <si>
    <t>ALG 1933</t>
  </si>
  <si>
    <t>K1933</t>
  </si>
  <si>
    <t>ALG 1934</t>
  </si>
  <si>
    <t>K1934</t>
  </si>
  <si>
    <t>ALG 1928</t>
  </si>
  <si>
    <t>K1928</t>
  </si>
  <si>
    <t>ALG 1932</t>
  </si>
  <si>
    <t>K1932</t>
  </si>
  <si>
    <t>ALG 6014D</t>
  </si>
  <si>
    <t>K6014D</t>
  </si>
  <si>
    <t>6014D1</t>
  </si>
  <si>
    <t>ALG 6022D</t>
  </si>
  <si>
    <t>K6022D</t>
  </si>
  <si>
    <t>6022D1</t>
  </si>
  <si>
    <t>ALG 6024D</t>
  </si>
  <si>
    <t>K6024D</t>
  </si>
  <si>
    <t>6024D1</t>
  </si>
  <si>
    <t>ALG 6017D</t>
  </si>
  <si>
    <t>K6017D</t>
  </si>
  <si>
    <t>ALG 6023D</t>
  </si>
  <si>
    <t>K6023D</t>
  </si>
  <si>
    <t>6023D1</t>
  </si>
  <si>
    <t>ALG 6026D</t>
  </si>
  <si>
    <t>K6026D</t>
  </si>
  <si>
    <t>6026D1</t>
  </si>
  <si>
    <t>K6018D</t>
  </si>
  <si>
    <t>6018D1</t>
  </si>
  <si>
    <t>6017D1</t>
  </si>
  <si>
    <t>ALG 6477</t>
  </si>
  <si>
    <t>K6477</t>
  </si>
  <si>
    <t>ALG 6479</t>
  </si>
  <si>
    <t>K6479</t>
  </si>
  <si>
    <t>ALG 3129</t>
  </si>
  <si>
    <t>K3129</t>
  </si>
  <si>
    <t>ALG 3124</t>
  </si>
  <si>
    <t>ALG 3125</t>
  </si>
  <si>
    <t>K3124</t>
  </si>
  <si>
    <t>K3125</t>
  </si>
  <si>
    <t>ALG 10035</t>
  </si>
  <si>
    <t>K10035</t>
  </si>
  <si>
    <t>ALG 10036</t>
  </si>
  <si>
    <t>K10036</t>
  </si>
  <si>
    <t>ALG 10037</t>
  </si>
  <si>
    <t>K10037</t>
  </si>
  <si>
    <t>ALG 10038</t>
  </si>
  <si>
    <t>K10038</t>
  </si>
  <si>
    <t>ALG 10043</t>
  </si>
  <si>
    <t>K10043</t>
  </si>
  <si>
    <t>ALG 10048</t>
  </si>
  <si>
    <t>K10048</t>
  </si>
  <si>
    <t>ALG 10053</t>
  </si>
  <si>
    <t>K10053</t>
  </si>
  <si>
    <t>ALG 10055</t>
  </si>
  <si>
    <t>K10055</t>
  </si>
  <si>
    <t>ALG 10033</t>
  </si>
  <si>
    <t>K10033</t>
  </si>
  <si>
    <t>ALG 10034</t>
  </si>
  <si>
    <t>K10034</t>
  </si>
  <si>
    <t>ALG 10039</t>
  </si>
  <si>
    <t>K10039</t>
  </si>
  <si>
    <t>ALG 10040</t>
  </si>
  <si>
    <t>ALG 10042</t>
  </si>
  <si>
    <t>K10042</t>
  </si>
  <si>
    <t>ALG 10044</t>
  </si>
  <si>
    <t>K10044</t>
  </si>
  <si>
    <t>ALG 10050</t>
  </si>
  <si>
    <t>K10050</t>
  </si>
  <si>
    <t>ALG 10054</t>
  </si>
  <si>
    <t>K10054</t>
  </si>
  <si>
    <t>ALG 10027</t>
  </si>
  <si>
    <t>K10027</t>
  </si>
  <si>
    <t>ALG 10049</t>
  </si>
  <si>
    <t>K10049</t>
  </si>
  <si>
    <t>ALG 10041</t>
  </si>
  <si>
    <t>K10041</t>
  </si>
  <si>
    <t>ALG 10045</t>
  </si>
  <si>
    <t>K10045</t>
  </si>
  <si>
    <t>ALG 10046</t>
  </si>
  <si>
    <t>K10046</t>
  </si>
  <si>
    <t>ALG 10051</t>
  </si>
  <si>
    <t>K10051</t>
  </si>
  <si>
    <t>ALG 1935</t>
  </si>
  <si>
    <t>K1935</t>
  </si>
  <si>
    <t>ALG 6025D</t>
  </si>
  <si>
    <t>K6025D</t>
  </si>
  <si>
    <t>6025D1</t>
  </si>
  <si>
    <t>ALG 6492</t>
  </si>
  <si>
    <t>K6492</t>
  </si>
  <si>
    <t>ALG 6493</t>
  </si>
  <si>
    <t>K6493</t>
  </si>
  <si>
    <t>ALG 6482</t>
  </si>
  <si>
    <t>ALG 6488</t>
  </si>
  <si>
    <t>K6488</t>
  </si>
  <si>
    <t>K6482</t>
  </si>
  <si>
    <t>ALG  6483</t>
  </si>
  <si>
    <t>K6483</t>
  </si>
  <si>
    <t>ALG 6484</t>
  </si>
  <si>
    <t>K6484</t>
  </si>
  <si>
    <t>ALG 6485</t>
  </si>
  <si>
    <t>K6485</t>
  </si>
  <si>
    <t>ALG 3130</t>
  </si>
  <si>
    <t>K3130</t>
  </si>
  <si>
    <t>ALG 3133</t>
  </si>
  <si>
    <t>K3133</t>
  </si>
  <si>
    <t>ALG 3136</t>
  </si>
  <si>
    <t>K3136</t>
  </si>
  <si>
    <t>ALG 3137</t>
  </si>
  <si>
    <t>K3137</t>
  </si>
  <si>
    <t>ALG 3138</t>
  </si>
  <si>
    <t>K3138</t>
  </si>
  <si>
    <t>ALG 3139</t>
  </si>
  <si>
    <t>K3139</t>
  </si>
  <si>
    <t>ALG 3144</t>
  </si>
  <si>
    <t>K3144</t>
  </si>
  <si>
    <t>ALG 3119</t>
  </si>
  <si>
    <t>K3119</t>
  </si>
  <si>
    <t>ALG 3120</t>
  </si>
  <si>
    <t>K3120</t>
  </si>
  <si>
    <t>ALG 3131</t>
  </si>
  <si>
    <t>K3131</t>
  </si>
  <si>
    <t>ALG 3132</t>
  </si>
  <si>
    <t>K3132</t>
  </si>
  <si>
    <t>K10052</t>
  </si>
  <si>
    <t>ALG 10052</t>
  </si>
  <si>
    <t>ALG 10058</t>
  </si>
  <si>
    <t>K10058</t>
  </si>
  <si>
    <t>ALG 10059</t>
  </si>
  <si>
    <t>K10059</t>
  </si>
  <si>
    <t>ALG 10061</t>
  </si>
  <si>
    <t>K10061</t>
  </si>
  <si>
    <t>ALG 1931</t>
  </si>
  <si>
    <t>K1931</t>
  </si>
  <si>
    <t>ALG 1939</t>
  </si>
  <si>
    <t>K1939</t>
  </si>
  <si>
    <t>ALG 10056</t>
  </si>
  <si>
    <t>K10056</t>
  </si>
  <si>
    <t>ALG 1937</t>
  </si>
  <si>
    <t>K1937</t>
  </si>
  <si>
    <t>ALG 10062</t>
  </si>
  <si>
    <t>K10062</t>
  </si>
  <si>
    <t>ALG 10063</t>
  </si>
  <si>
    <t>K10063</t>
  </si>
  <si>
    <t>ALG 10068</t>
  </si>
  <si>
    <t>K10068</t>
  </si>
  <si>
    <t>ALG 10071</t>
  </si>
  <si>
    <t>K10071</t>
  </si>
  <si>
    <t>ALG 10072</t>
  </si>
  <si>
    <t>K10072</t>
  </si>
  <si>
    <t>ALG 10073</t>
  </si>
  <si>
    <t>K10073</t>
  </si>
  <si>
    <t>ALG 10077</t>
  </si>
  <si>
    <t>K10077</t>
  </si>
  <si>
    <t>ALG 10078</t>
  </si>
  <si>
    <t>K10078</t>
  </si>
  <si>
    <t>ALG 10064</t>
  </si>
  <si>
    <t>K10064</t>
  </si>
  <si>
    <t>ALG 10065</t>
  </si>
  <si>
    <t>K10065</t>
  </si>
  <si>
    <t>ALG 10067</t>
  </si>
  <si>
    <t>K10067</t>
  </si>
  <si>
    <t>ALG 10069</t>
  </si>
  <si>
    <t>K10069</t>
  </si>
  <si>
    <t>ALG 10074</t>
  </si>
  <si>
    <t>K10074</t>
  </si>
  <si>
    <t>ALG 10076</t>
  </si>
  <si>
    <t>K10076</t>
  </si>
  <si>
    <t>ALG 10079</t>
  </si>
  <si>
    <t>K10079</t>
  </si>
  <si>
    <t>ALG 10081</t>
  </si>
  <si>
    <t>K10081</t>
  </si>
  <si>
    <t>ALG 10057</t>
  </si>
  <si>
    <t>K10057</t>
  </si>
  <si>
    <t>ALG 10070</t>
  </si>
  <si>
    <t>K10070</t>
  </si>
  <si>
    <t>ALG 10084</t>
  </si>
  <si>
    <t>K10084</t>
  </si>
  <si>
    <t>ALG 10060</t>
  </si>
  <si>
    <t>K10060</t>
  </si>
  <si>
    <t>ALG 10066</t>
  </si>
  <si>
    <t>K10066</t>
  </si>
  <si>
    <t>ALG 10075</t>
  </si>
  <si>
    <t>K10075</t>
  </si>
  <si>
    <t>ALG 10080</t>
  </si>
  <si>
    <t>K10080</t>
  </si>
  <si>
    <t>ALG 10026</t>
  </si>
  <si>
    <t>K10026</t>
  </si>
  <si>
    <t>ALG 1938</t>
  </si>
  <si>
    <t>ALG 1941</t>
  </si>
  <si>
    <t>K1938</t>
  </si>
  <si>
    <t>K1941</t>
  </si>
  <si>
    <t>ALG 1940</t>
  </si>
  <si>
    <t>K1940</t>
  </si>
  <si>
    <t>ALG 1942</t>
  </si>
  <si>
    <t>K1942</t>
  </si>
  <si>
    <t>ALG 1946</t>
  </si>
  <si>
    <t>K1946</t>
  </si>
  <si>
    <t>ALG 1936</t>
  </si>
  <si>
    <t>K1936</t>
  </si>
  <si>
    <t>ALG 6027D</t>
  </si>
  <si>
    <t>K6027D</t>
  </si>
  <si>
    <t>6027D1</t>
  </si>
  <si>
    <t>ALG 6029D</t>
  </si>
  <si>
    <t>K6029D</t>
  </si>
  <si>
    <t>6029D1</t>
  </si>
  <si>
    <t>ALG 6028D</t>
  </si>
  <si>
    <t>K6028D</t>
  </si>
  <si>
    <t>6028D</t>
  </si>
  <si>
    <t>ALG 6494</t>
  </si>
  <si>
    <t>K6494</t>
  </si>
  <si>
    <t>ALG 6495</t>
  </si>
  <si>
    <t>K6495</t>
  </si>
  <si>
    <t>ALG 6496</t>
  </si>
  <si>
    <t>ALG 6489</t>
  </si>
  <si>
    <t>K6489</t>
  </si>
  <si>
    <t>ALG 6491</t>
  </si>
  <si>
    <t>K6491</t>
  </si>
  <si>
    <t>ALG 3141</t>
  </si>
  <si>
    <t>K3141</t>
  </si>
  <si>
    <t>ALG 3142</t>
  </si>
  <si>
    <t>K3142</t>
  </si>
  <si>
    <t>ALG 3145</t>
  </si>
  <si>
    <t>K3145</t>
  </si>
  <si>
    <t>ALG 3147</t>
  </si>
  <si>
    <t>K3147</t>
  </si>
  <si>
    <t>ALG 3148</t>
  </si>
  <si>
    <t>K3148</t>
  </si>
  <si>
    <t>ALG 3149</t>
  </si>
  <si>
    <t>K3149</t>
  </si>
  <si>
    <t>ALG 3150</t>
  </si>
  <si>
    <t>K3150</t>
  </si>
  <si>
    <t>ALG 3143</t>
  </si>
  <si>
    <t>ALG 3151</t>
  </si>
  <si>
    <t>K3151</t>
  </si>
  <si>
    <t>ALG 3152</t>
  </si>
  <si>
    <t>K3152</t>
  </si>
  <si>
    <t>ALG 3155</t>
  </si>
  <si>
    <t>K3155</t>
  </si>
  <si>
    <t>ALG 3106</t>
  </si>
  <si>
    <t>ALG 3146</t>
  </si>
  <si>
    <t>K3146</t>
  </si>
  <si>
    <t>ALG 3153</t>
  </si>
  <si>
    <t>K3153</t>
  </si>
  <si>
    <t>ALG 10082</t>
  </si>
  <si>
    <t>K10082</t>
  </si>
  <si>
    <t>ALG 10083</t>
  </si>
  <si>
    <t>K10083</t>
  </si>
  <si>
    <t>ALG 10093</t>
  </si>
  <si>
    <t>K10093</t>
  </si>
  <si>
    <t>ALG 10094</t>
  </si>
  <si>
    <t>K10094</t>
  </si>
  <si>
    <t>ALG 10102</t>
  </si>
  <si>
    <t>K10102</t>
  </si>
  <si>
    <t>ALG 10103</t>
  </si>
  <si>
    <t>K10103</t>
  </si>
  <si>
    <t>ALG 10108</t>
  </si>
  <si>
    <t>K10108</t>
  </si>
  <si>
    <t>ALG 10109</t>
  </si>
  <si>
    <t>K10109</t>
  </si>
  <si>
    <t>ALG 10085</t>
  </si>
  <si>
    <t>K10085</t>
  </si>
  <si>
    <t>ALG 10086</t>
  </si>
  <si>
    <t>K10086</t>
  </si>
  <si>
    <t>ALG 10088</t>
  </si>
  <si>
    <t>K10088</t>
  </si>
  <si>
    <t>ALG 10096</t>
  </si>
  <si>
    <t>K10096</t>
  </si>
  <si>
    <t>ALG 10097</t>
  </si>
  <si>
    <t>K10097</t>
  </si>
  <si>
    <t>ALG 10098</t>
  </si>
  <si>
    <t>K10098</t>
  </si>
  <si>
    <t>ALG 10101</t>
  </si>
  <si>
    <t>K10101</t>
  </si>
  <si>
    <t>ALG 10105</t>
  </si>
  <si>
    <t>K10105</t>
  </si>
  <si>
    <t>ALG 10111</t>
  </si>
  <si>
    <t>K10111</t>
  </si>
  <si>
    <t>ALG 10112</t>
  </si>
  <si>
    <t>K10112</t>
  </si>
  <si>
    <t>ALG 10115</t>
  </si>
  <si>
    <t>K10115</t>
  </si>
  <si>
    <t>ALG 10095</t>
  </si>
  <si>
    <t>K10095</t>
  </si>
  <si>
    <t>ALG 10104</t>
  </si>
  <si>
    <t>K10104</t>
  </si>
  <si>
    <t>ALG 10087</t>
  </si>
  <si>
    <t>K10087</t>
  </si>
  <si>
    <t>ALG 10047</t>
  </si>
  <si>
    <t>K10047</t>
  </si>
  <si>
    <t>ALG 1945</t>
  </si>
  <si>
    <t>K1945</t>
  </si>
  <si>
    <t>ALG 1947</t>
  </si>
  <si>
    <t>K1947</t>
  </si>
  <si>
    <t>ALG 1943</t>
  </si>
  <si>
    <t>K1943</t>
  </si>
  <si>
    <t>K6496</t>
  </si>
  <si>
    <t>ALG 6498</t>
  </si>
  <si>
    <t>K6498</t>
  </si>
  <si>
    <t>ALG 6499</t>
  </si>
  <si>
    <t>K6499</t>
  </si>
  <si>
    <t>ALG 6501</t>
  </si>
  <si>
    <t>K6501</t>
  </si>
  <si>
    <t>ALG 6503</t>
  </si>
  <si>
    <t>K6503</t>
  </si>
  <si>
    <t>ALG 6508</t>
  </si>
  <si>
    <t>K6508</t>
  </si>
  <si>
    <t>ALG 6487</t>
  </si>
  <si>
    <t>K6487</t>
  </si>
  <si>
    <t>ALG 6497</t>
  </si>
  <si>
    <t>K6497</t>
  </si>
  <si>
    <t>ALG 6504</t>
  </si>
  <si>
    <t>K6504</t>
  </si>
  <si>
    <t>ALG 6506</t>
  </si>
  <si>
    <t>K6506</t>
  </si>
  <si>
    <t>ALG 6507</t>
  </si>
  <si>
    <t>K6507</t>
  </si>
  <si>
    <t>ALG 6513</t>
  </si>
  <si>
    <t>K6513</t>
  </si>
  <si>
    <t>ALG 3154</t>
  </si>
  <si>
    <t>K3154</t>
  </si>
  <si>
    <t>ALG 3157</t>
  </si>
  <si>
    <t>K3157</t>
  </si>
  <si>
    <t>ALG 10110</t>
  </si>
  <si>
    <t>K10110</t>
  </si>
  <si>
    <t>ALG 10114</t>
  </si>
  <si>
    <t>K10114</t>
  </si>
  <si>
    <t>ALG 10116</t>
  </si>
  <si>
    <t>K10116</t>
  </si>
  <si>
    <t>ALG 10119</t>
  </si>
  <si>
    <t>K10119</t>
  </si>
  <si>
    <t>ALG 10120</t>
  </si>
  <si>
    <t>K10120</t>
  </si>
  <si>
    <t>ALG 10123</t>
  </si>
  <si>
    <t>K10123</t>
  </si>
  <si>
    <t>ALG 10124</t>
  </si>
  <si>
    <t>K10124</t>
  </si>
  <si>
    <t>ALG 19133</t>
  </si>
  <si>
    <t>ALG 10135</t>
  </si>
  <si>
    <t>K10135</t>
  </si>
  <si>
    <t>K10133</t>
  </si>
  <si>
    <t>ALG 10113</t>
  </si>
  <si>
    <t>K10113</t>
  </si>
  <si>
    <t>ALG 10117</t>
  </si>
  <si>
    <t>K10117</t>
  </si>
  <si>
    <t>ALG 10118</t>
  </si>
  <si>
    <t>K10118</t>
  </si>
  <si>
    <t>ALG 10121</t>
  </si>
  <si>
    <t>K10121</t>
  </si>
  <si>
    <t>ALG 10125</t>
  </si>
  <si>
    <t>K10125</t>
  </si>
  <si>
    <t>ALG 10126</t>
  </si>
  <si>
    <t>K10126</t>
  </si>
  <si>
    <t>ALG 10128</t>
  </si>
  <si>
    <t>K10128</t>
  </si>
  <si>
    <t>ALG 10131</t>
  </si>
  <si>
    <t>K10131</t>
  </si>
  <si>
    <t>ALG 10134</t>
  </si>
  <si>
    <t>ALG 10099</t>
  </si>
  <si>
    <t>K10099</t>
  </si>
  <si>
    <t>ALG 10100</t>
  </si>
  <si>
    <t>K10100</t>
  </si>
  <si>
    <t>ALG 10106</t>
  </si>
  <si>
    <t>K10106</t>
  </si>
  <si>
    <t>ALG 10122</t>
  </si>
  <si>
    <t>K10122</t>
  </si>
  <si>
    <t>ALG 1944</t>
  </si>
  <si>
    <t>K1944</t>
  </si>
  <si>
    <t>ALG 1948</t>
  </si>
  <si>
    <t>K1948</t>
  </si>
  <si>
    <t>ALG 1949</t>
  </si>
  <si>
    <t>K1949</t>
  </si>
  <si>
    <t>ALG 1950</t>
  </si>
  <si>
    <t>K1950</t>
  </si>
  <si>
    <t>ALG 1952</t>
  </si>
  <si>
    <t>K1952</t>
  </si>
  <si>
    <t>ALG 1953</t>
  </si>
  <si>
    <t>K1953</t>
  </si>
  <si>
    <t>ALG 6514</t>
  </si>
  <si>
    <t>K6514</t>
  </si>
  <si>
    <t>ALG 6515</t>
  </si>
  <si>
    <t>K6515</t>
  </si>
  <si>
    <t>ALG 6516</t>
  </si>
  <si>
    <t>K6516</t>
  </si>
  <si>
    <t>K3143</t>
  </si>
  <si>
    <t>ALG 3156</t>
  </si>
  <si>
    <t>K3156</t>
  </si>
  <si>
    <t>ALG 3159</t>
  </si>
  <si>
    <t>K3159</t>
  </si>
  <si>
    <t>ALG 3160</t>
  </si>
  <si>
    <t>K3160</t>
  </si>
  <si>
    <t>ALG 3161</t>
  </si>
  <si>
    <t>K3161</t>
  </si>
  <si>
    <t>ALG 3162</t>
  </si>
  <si>
    <t>K3162</t>
  </si>
  <si>
    <t>ALG 3163</t>
  </si>
  <si>
    <t>K3163</t>
  </si>
  <si>
    <t>ALG 3164</t>
  </si>
  <si>
    <t>K3164</t>
  </si>
  <si>
    <t>ALG 3165</t>
  </si>
  <si>
    <t>K3165</t>
  </si>
  <si>
    <t>ALG 3166</t>
  </si>
  <si>
    <t>K3166</t>
  </si>
  <si>
    <t>ALG 3169</t>
  </si>
  <si>
    <t>K3169</t>
  </si>
  <si>
    <t>ALG 3170</t>
  </si>
  <si>
    <t>K3170</t>
  </si>
  <si>
    <t>ALG 3171</t>
  </si>
  <si>
    <t>K3171</t>
  </si>
  <si>
    <t>ALG 3172</t>
  </si>
  <si>
    <t>K3172</t>
  </si>
  <si>
    <t>ALG 3173</t>
  </si>
  <si>
    <t>K3173</t>
  </si>
  <si>
    <t>ALG 3134</t>
  </si>
  <si>
    <t>K3134</t>
  </si>
  <si>
    <t>ALG 3135</t>
  </si>
  <si>
    <t>K3135</t>
  </si>
  <si>
    <t>ALG 3140</t>
  </si>
  <si>
    <t>K3140</t>
  </si>
  <si>
    <t>ALG 3158</t>
  </si>
  <si>
    <t>K3158</t>
  </si>
  <si>
    <t>ALG 4005</t>
  </si>
  <si>
    <t>K4002</t>
  </si>
  <si>
    <t>K4005</t>
  </si>
  <si>
    <t>ALG 10144</t>
  </si>
  <si>
    <t>K10144</t>
  </si>
  <si>
    <t>ALG 10132</t>
  </si>
  <si>
    <t>K10132</t>
  </si>
  <si>
    <t>ALG 6511</t>
  </si>
  <si>
    <t>K6511</t>
  </si>
  <si>
    <t>ALG 6512</t>
  </si>
  <si>
    <t>K6512</t>
  </si>
  <si>
    <t>ALG 10147</t>
  </si>
  <si>
    <t>K10147</t>
  </si>
  <si>
    <t>ALG 10136</t>
  </si>
  <si>
    <t>K10136</t>
  </si>
  <si>
    <t>ALG 10141</t>
  </si>
  <si>
    <t>K10141</t>
  </si>
  <si>
    <t>ALG 10143</t>
  </si>
  <si>
    <t>K10143</t>
  </si>
  <si>
    <t>ALG 10152</t>
  </si>
  <si>
    <t>K10152</t>
  </si>
  <si>
    <t>ALG 10154</t>
  </si>
  <si>
    <t>K10154</t>
  </si>
  <si>
    <t>ALG 10155</t>
  </si>
  <si>
    <t>K10155</t>
  </si>
  <si>
    <t>ALG 10170</t>
  </si>
  <si>
    <t>K10170</t>
  </si>
  <si>
    <t>K10134</t>
  </si>
  <si>
    <t>ALG 10138</t>
  </si>
  <si>
    <t>K10138</t>
  </si>
  <si>
    <t>ALG 10139</t>
  </si>
  <si>
    <t>K10139</t>
  </si>
  <si>
    <t>ALG 10140</t>
  </si>
  <si>
    <t>K10140</t>
  </si>
  <si>
    <t>ALG 10142</t>
  </si>
  <si>
    <t>K10142</t>
  </si>
  <si>
    <t>ALG 10146</t>
  </si>
  <si>
    <t>K10146</t>
  </si>
  <si>
    <t>ALG 10148</t>
  </si>
  <si>
    <t>K10148</t>
  </si>
  <si>
    <t>ALG 10149</t>
  </si>
  <si>
    <t>K10149</t>
  </si>
  <si>
    <t>ALG 10151</t>
  </si>
  <si>
    <t>K10151</t>
  </si>
  <si>
    <t>ALG 10153</t>
  </si>
  <si>
    <t>K10153</t>
  </si>
  <si>
    <t>ALG 10157</t>
  </si>
  <si>
    <t>K10157</t>
  </si>
  <si>
    <t>ALG 10158</t>
  </si>
  <si>
    <t>K10158</t>
  </si>
  <si>
    <t>ALG 10159</t>
  </si>
  <si>
    <t>K10159</t>
  </si>
  <si>
    <t>ALG 10160</t>
  </si>
  <si>
    <t>K10160</t>
  </si>
  <si>
    <t>ALG 10161</t>
  </si>
  <si>
    <t>K10161</t>
  </si>
  <si>
    <t>ALG 10162</t>
  </si>
  <si>
    <t>K10162</t>
  </si>
  <si>
    <t>ALG 10164</t>
  </si>
  <si>
    <t>K10164</t>
  </si>
  <si>
    <t>ALG 10165</t>
  </si>
  <si>
    <t>K10165</t>
  </si>
  <si>
    <t>ALG 10166</t>
  </si>
  <si>
    <t>K10166</t>
  </si>
  <si>
    <t>ALG 10168</t>
  </si>
  <si>
    <t>K10168</t>
  </si>
  <si>
    <t>ALG 10169</t>
  </si>
  <si>
    <t>K10169</t>
  </si>
  <si>
    <t>ALG 10171</t>
  </si>
  <si>
    <t>K10171</t>
  </si>
  <si>
    <t>ALG 10137</t>
  </si>
  <si>
    <t>K10137</t>
  </si>
  <si>
    <t>ALG 10145</t>
  </si>
  <si>
    <t>K10145</t>
  </si>
  <si>
    <t>ALG 10156</t>
  </si>
  <si>
    <t>K10156</t>
  </si>
  <si>
    <t>ALG 10163</t>
  </si>
  <si>
    <t>K10163</t>
  </si>
  <si>
    <t>ALG 10127</t>
  </si>
  <si>
    <t>K10127</t>
  </si>
  <si>
    <t>ALG 1951</t>
  </si>
  <si>
    <t>ALG 1954</t>
  </si>
  <si>
    <t>K1054</t>
  </si>
  <si>
    <t>ALG 1955</t>
  </si>
  <si>
    <t>K1055</t>
  </si>
  <si>
    <t>ALG 1956</t>
  </si>
  <si>
    <t>K1956</t>
  </si>
  <si>
    <t>ALG 1958</t>
  </si>
  <si>
    <t>ALG 1959</t>
  </si>
  <si>
    <t>K1959</t>
  </si>
  <si>
    <t>ALG 1962</t>
  </si>
  <si>
    <t>K1962</t>
  </si>
  <si>
    <t>ALG 1960</t>
  </si>
  <si>
    <t>K1960</t>
  </si>
  <si>
    <t>ALG 6510</t>
  </si>
  <si>
    <t>K6510</t>
  </si>
  <si>
    <t>ALG 6525</t>
  </si>
  <si>
    <t>K6525</t>
  </si>
  <si>
    <t>ALG 6524</t>
  </si>
  <si>
    <t>K6524</t>
  </si>
  <si>
    <t>ALG 3167</t>
  </si>
  <si>
    <t>K3167</t>
  </si>
  <si>
    <t>ALG 3174</t>
  </si>
  <si>
    <t>K3174</t>
  </si>
  <si>
    <t>ALG 3176</t>
  </si>
  <si>
    <t>K3176</t>
  </si>
  <si>
    <t>ALG 3177</t>
  </si>
  <si>
    <t>K3177</t>
  </si>
  <si>
    <t>ALG 3179</t>
  </si>
  <si>
    <t>K3179</t>
  </si>
  <si>
    <t>ALG 10176</t>
  </si>
  <si>
    <t>K10176</t>
  </si>
  <si>
    <t>ALG 10177</t>
  </si>
  <si>
    <t>K10177</t>
  </si>
  <si>
    <t>ALG 10185</t>
  </si>
  <si>
    <t>K10185</t>
  </si>
  <si>
    <t>ALG 19191</t>
  </si>
  <si>
    <t>K10191</t>
  </si>
  <si>
    <t>ALG 19192</t>
  </si>
  <si>
    <t>K10192</t>
  </si>
  <si>
    <t>ALG 10193</t>
  </si>
  <si>
    <t>K10193</t>
  </si>
  <si>
    <t>ALG 10194</t>
  </si>
  <si>
    <t>K10194</t>
  </si>
  <si>
    <t>ALG 10202</t>
  </si>
  <si>
    <t>K10202</t>
  </si>
  <si>
    <t>ALG 10210</t>
  </si>
  <si>
    <t>K10210</t>
  </si>
  <si>
    <t>ALG 10172</t>
  </si>
  <si>
    <t>K10172</t>
  </si>
  <si>
    <t>ALG 10175</t>
  </si>
  <si>
    <t>K10175</t>
  </si>
  <si>
    <t>ALG 10179</t>
  </si>
  <si>
    <t>K10179</t>
  </si>
  <si>
    <t>ALG 10180</t>
  </si>
  <si>
    <t>K10180</t>
  </si>
  <si>
    <t>ALG 10181</t>
  </si>
  <si>
    <t>K10181</t>
  </si>
  <si>
    <t>ALG 10183</t>
  </si>
  <si>
    <t>K10183</t>
  </si>
  <si>
    <t>ALG 10184</t>
  </si>
  <si>
    <t>K10184</t>
  </si>
  <si>
    <t>ALG 10187</t>
  </si>
  <si>
    <t>K10187</t>
  </si>
  <si>
    <t>ALG 10188</t>
  </si>
  <si>
    <t>K10188</t>
  </si>
  <si>
    <t>ALG 10196</t>
  </si>
  <si>
    <t>K10196</t>
  </si>
  <si>
    <t>ALG 10197</t>
  </si>
  <si>
    <t>K10197</t>
  </si>
  <si>
    <t>ALG 10198</t>
  </si>
  <si>
    <t>K10198</t>
  </si>
  <si>
    <t>ALG 10200</t>
  </si>
  <si>
    <t>K10200</t>
  </si>
  <si>
    <t>ALG 10207</t>
  </si>
  <si>
    <t>K10207</t>
  </si>
  <si>
    <t>ALG 10178</t>
  </si>
  <si>
    <t>K10178</t>
  </si>
  <si>
    <t>ALG 10186</t>
  </si>
  <si>
    <t>K10186</t>
  </si>
  <si>
    <t>ALG 10195</t>
  </si>
  <si>
    <t>K10195</t>
  </si>
  <si>
    <t>ALG 10167</t>
  </si>
  <si>
    <t>K10167</t>
  </si>
  <si>
    <t>ALG 10173</t>
  </si>
  <si>
    <t>K10173</t>
  </si>
  <si>
    <t>ALG 10174</t>
  </si>
  <si>
    <t>K10174</t>
  </si>
  <si>
    <t>ALG 10182</t>
  </si>
  <si>
    <t>K10182</t>
  </si>
  <si>
    <t>ALG 10189</t>
  </si>
  <si>
    <t>K10189</t>
  </si>
  <si>
    <t>ALG 10190</t>
  </si>
  <si>
    <t>K10190</t>
  </si>
  <si>
    <t>ALG10199</t>
  </si>
  <si>
    <t>K10199</t>
  </si>
  <si>
    <t>ALG 10208</t>
  </si>
  <si>
    <t>K10208</t>
  </si>
  <si>
    <t>ALG 10107</t>
  </si>
  <si>
    <t>K10107</t>
  </si>
  <si>
    <t>K1951</t>
  </si>
  <si>
    <t>ALG 1957</t>
  </si>
  <si>
    <t>K1957</t>
  </si>
  <si>
    <t>ALG 1961</t>
  </si>
  <si>
    <t>K1961</t>
  </si>
  <si>
    <t>ALG 1969 (1032)</t>
  </si>
  <si>
    <t>K1969</t>
  </si>
  <si>
    <t>K1958</t>
  </si>
  <si>
    <t>ALG 1963</t>
  </si>
  <si>
    <t>K1963</t>
  </si>
  <si>
    <t>ALG 1966</t>
  </si>
  <si>
    <t>K1966</t>
  </si>
  <si>
    <t>ALG 1968</t>
  </si>
  <si>
    <t>K1968</t>
  </si>
  <si>
    <t>ALG 6517</t>
  </si>
  <si>
    <t>K6517</t>
  </si>
  <si>
    <t>ALG 6520</t>
  </si>
  <si>
    <t>K6520</t>
  </si>
  <si>
    <t>ALG 6523</t>
  </si>
  <si>
    <t>K6523</t>
  </si>
  <si>
    <t>ALG 6526</t>
  </si>
  <si>
    <t>K6526</t>
  </si>
  <si>
    <t>ALG 6527</t>
  </si>
  <si>
    <t>K6527</t>
  </si>
  <si>
    <t>ALG 6528</t>
  </si>
  <si>
    <t>K6528</t>
  </si>
  <si>
    <t>ALG 6530</t>
  </si>
  <si>
    <t>K6530</t>
  </si>
  <si>
    <t>ALG 6531</t>
  </si>
  <si>
    <t>K6531</t>
  </si>
  <si>
    <t>ALG 6532</t>
  </si>
  <si>
    <t>K6532</t>
  </si>
  <si>
    <t>ALG 6522</t>
  </si>
  <si>
    <t>K6522</t>
  </si>
  <si>
    <t>ALG 3181</t>
  </si>
  <si>
    <t>K3181</t>
  </si>
  <si>
    <t>ALG 3182</t>
  </si>
  <si>
    <t>K3182</t>
  </si>
  <si>
    <t>ALG 3183</t>
  </si>
  <si>
    <t>K3183</t>
  </si>
  <si>
    <t>ALG 3184</t>
  </si>
  <si>
    <t>K3184</t>
  </si>
  <si>
    <t>ALG 3185</t>
  </si>
  <si>
    <t>K3185</t>
  </si>
  <si>
    <t>ALG 3168</t>
  </si>
  <si>
    <t>K3168</t>
  </si>
  <si>
    <t>ALG 3175</t>
  </si>
  <si>
    <t>K3175</t>
  </si>
  <si>
    <t>ALG 6509</t>
  </si>
  <si>
    <t>K6509</t>
  </si>
  <si>
    <t>ALG 10150</t>
  </si>
  <si>
    <t>K10150</t>
  </si>
  <si>
    <t>ALG 3186</t>
  </si>
  <si>
    <t>K3186</t>
  </si>
  <si>
    <t>ALG 3187</t>
  </si>
  <si>
    <t>K3187</t>
  </si>
  <si>
    <t>ALG 3188</t>
  </si>
  <si>
    <t>K3188</t>
  </si>
  <si>
    <t>ALG 3189</t>
  </si>
  <si>
    <t>K3189</t>
  </si>
  <si>
    <t>ALG 3190</t>
  </si>
  <si>
    <t>K3190</t>
  </si>
  <si>
    <t>ALG 3191</t>
  </si>
  <si>
    <t>K3191</t>
  </si>
  <si>
    <t>ALG 3192</t>
  </si>
  <si>
    <t>K3192</t>
  </si>
  <si>
    <t>ALG 3193</t>
  </si>
  <si>
    <t>K3193</t>
  </si>
  <si>
    <t>ALG 3194</t>
  </si>
  <si>
    <t>K3194</t>
  </si>
  <si>
    <t>ALG 3195</t>
  </si>
  <si>
    <t>K3195</t>
  </si>
  <si>
    <t>ALG 3196</t>
  </si>
  <si>
    <t>K3196</t>
  </si>
  <si>
    <t>ALG 10201</t>
  </si>
  <si>
    <t>K10201</t>
  </si>
  <si>
    <t>ALG 10205</t>
  </si>
  <si>
    <t>K10205</t>
  </si>
  <si>
    <t>ALG 1967</t>
  </si>
  <si>
    <t>K1967</t>
  </si>
  <si>
    <t>ALG 10212</t>
  </si>
  <si>
    <t>K10212</t>
  </si>
  <si>
    <t>ALG 10213</t>
  </si>
  <si>
    <t>K10213</t>
  </si>
  <si>
    <t>ALG 10220</t>
  </si>
  <si>
    <t>K10220</t>
  </si>
  <si>
    <t>ALG 10221</t>
  </si>
  <si>
    <t>K10221</t>
  </si>
  <si>
    <t>ALG 10222</t>
  </si>
  <si>
    <t>K10222</t>
  </si>
  <si>
    <t>ALG 10226</t>
  </si>
  <si>
    <t>K10226</t>
  </si>
  <si>
    <t>ALG 10227</t>
  </si>
  <si>
    <t>K10227</t>
  </si>
  <si>
    <t>ALG 10233</t>
  </si>
  <si>
    <t>K10233</t>
  </si>
  <si>
    <t>ALG 10234</t>
  </si>
  <si>
    <t>K10234</t>
  </si>
  <si>
    <t>ALG 10235</t>
  </si>
  <si>
    <t>K10235</t>
  </si>
  <si>
    <t>ALG 10203</t>
  </si>
  <si>
    <t>K10203</t>
  </si>
  <si>
    <t>ALG 10209</t>
  </si>
  <si>
    <t>K10209</t>
  </si>
  <si>
    <t>ALG 10215</t>
  </si>
  <si>
    <t>K10215</t>
  </si>
  <si>
    <t>ALG 10216</t>
  </si>
  <si>
    <t>K10216</t>
  </si>
  <si>
    <t>ALG 10219</t>
  </si>
  <si>
    <t>K10219</t>
  </si>
  <si>
    <t>ALG 10223</t>
  </si>
  <si>
    <t>K10223</t>
  </si>
  <si>
    <t>ALG 10224</t>
  </si>
  <si>
    <t>K10224</t>
  </si>
  <si>
    <t>ALG 10225</t>
  </si>
  <si>
    <t>K10225</t>
  </si>
  <si>
    <t>ALG 10231</t>
  </si>
  <si>
    <t>K10231</t>
  </si>
  <si>
    <t>ALG 10206</t>
  </si>
  <si>
    <t>K10206</t>
  </si>
  <si>
    <t>ALG 10214</t>
  </si>
  <si>
    <t>K10214</t>
  </si>
  <si>
    <t>ALG 10228</t>
  </si>
  <si>
    <t>K10228</t>
  </si>
  <si>
    <t>ALG 10232</t>
  </si>
  <si>
    <t>K10232</t>
  </si>
  <si>
    <t>ALG 10217</t>
  </si>
  <si>
    <t>K10217</t>
  </si>
  <si>
    <t>ALG 10229</t>
  </si>
  <si>
    <t>K10229</t>
  </si>
  <si>
    <t>ALG 10230</t>
  </si>
  <si>
    <t>K10230</t>
  </si>
  <si>
    <t>ALG 10237</t>
  </si>
  <si>
    <t>K10237</t>
  </si>
  <si>
    <t>ALG 1971</t>
  </si>
  <si>
    <t>K1971</t>
  </si>
  <si>
    <t>ALG 1973</t>
  </si>
  <si>
    <t>K1973</t>
  </si>
  <si>
    <t>ALG 1965</t>
  </si>
  <si>
    <t>K1965</t>
  </si>
  <si>
    <t>ALG 1700 (1970)</t>
  </si>
  <si>
    <t>K1970</t>
  </si>
  <si>
    <t>ALG 1972</t>
  </si>
  <si>
    <t>K1972</t>
  </si>
  <si>
    <t>ALG 6529</t>
  </si>
  <si>
    <t>K6529</t>
  </si>
  <si>
    <t>ALG 6537</t>
  </si>
  <si>
    <t>K6537</t>
  </si>
  <si>
    <t>ALG 6539</t>
  </si>
  <si>
    <t>ALG 6541</t>
  </si>
  <si>
    <t>K6541</t>
  </si>
  <si>
    <t>ALG 6542</t>
  </si>
  <si>
    <t>K6542</t>
  </si>
  <si>
    <t>ALG 6521</t>
  </si>
  <si>
    <t>K6521</t>
  </si>
  <si>
    <t>ALG 6533</t>
  </si>
  <si>
    <t>K6533</t>
  </si>
  <si>
    <t>ALG 6538</t>
  </si>
  <si>
    <t>ALG 6540</t>
  </si>
  <si>
    <t>K6540</t>
  </si>
  <si>
    <t>ALG 6544</t>
  </si>
  <si>
    <t>K6544</t>
  </si>
  <si>
    <t>ALG 6547</t>
  </si>
  <si>
    <t>K6547</t>
  </si>
  <si>
    <t>ALG 6534</t>
  </si>
  <si>
    <t>K6534</t>
  </si>
  <si>
    <t>ALG 6545</t>
  </si>
  <si>
    <t>K6545</t>
  </si>
  <si>
    <t>ALG 6548</t>
  </si>
  <si>
    <t>K6548</t>
  </si>
  <si>
    <t>ALG 3197</t>
  </si>
  <si>
    <t>K3197</t>
  </si>
  <si>
    <t>ALG 3198</t>
  </si>
  <si>
    <t>K3198</t>
  </si>
  <si>
    <t>ALG 3200</t>
  </si>
  <si>
    <t>K3200</t>
  </si>
  <si>
    <t>ALG 3201</t>
  </si>
  <si>
    <t>K3201</t>
  </si>
  <si>
    <t>ALG 3202</t>
  </si>
  <si>
    <t>K3202</t>
  </si>
  <si>
    <t>ALG 3205</t>
  </si>
  <si>
    <t>K3205</t>
  </si>
  <si>
    <t>ALG 3180</t>
  </si>
  <si>
    <t>K3180</t>
  </si>
  <si>
    <t>ALG 3203</t>
  </si>
  <si>
    <t>K3203</t>
  </si>
  <si>
    <t>ALG 3204</t>
  </si>
  <si>
    <t>K3204</t>
  </si>
  <si>
    <t>ALG 10211</t>
  </si>
  <si>
    <t>K10211</t>
  </si>
  <si>
    <t>ALG 10218</t>
  </si>
  <si>
    <t>K10218</t>
  </si>
  <si>
    <t>ALG 10247</t>
  </si>
  <si>
    <t>K10247</t>
  </si>
  <si>
    <t>ALG 10239</t>
  </si>
  <si>
    <t>K10239</t>
  </si>
  <si>
    <t>ALG 10240</t>
  </si>
  <si>
    <t>K10240</t>
  </si>
  <si>
    <t>ALG 10248</t>
  </si>
  <si>
    <t>K10248</t>
  </si>
  <si>
    <t>ALG 10249</t>
  </si>
  <si>
    <t>K10249</t>
  </si>
  <si>
    <t>ALG 10254</t>
  </si>
  <si>
    <t>K10254</t>
  </si>
  <si>
    <t>ALG 10255</t>
  </si>
  <si>
    <t>K10255</t>
  </si>
  <si>
    <t>ALG 10256</t>
  </si>
  <si>
    <t>K10256</t>
  </si>
  <si>
    <t>ALG 10257</t>
  </si>
  <si>
    <t>K10257</t>
  </si>
  <si>
    <t>ALG 10263</t>
  </si>
  <si>
    <t>K10263</t>
  </si>
  <si>
    <t>ALG 10238</t>
  </si>
  <si>
    <t>K10238</t>
  </si>
  <si>
    <t>ALG 10242</t>
  </si>
  <si>
    <t>K10242</t>
  </si>
  <si>
    <t>ALG 10243</t>
  </si>
  <si>
    <t>K10243</t>
  </si>
  <si>
    <t>ALG 10244</t>
  </si>
  <si>
    <t>K10244</t>
  </si>
  <si>
    <t>ALG 10246</t>
  </si>
  <si>
    <t>K10246</t>
  </si>
  <si>
    <t>ALG 10251</t>
  </si>
  <si>
    <t>K10251</t>
  </si>
  <si>
    <t>ALG 10252</t>
  </si>
  <si>
    <t>K10252</t>
  </si>
  <si>
    <t>ALG 10258</t>
  </si>
  <si>
    <t>K10258</t>
  </si>
  <si>
    <t>ALG 10259</t>
  </si>
  <si>
    <t>K10259</t>
  </si>
  <si>
    <t>ALG 10236</t>
  </si>
  <si>
    <t>K10236</t>
  </si>
  <si>
    <t>ALG 10241</t>
  </si>
  <si>
    <t>K10241</t>
  </si>
  <si>
    <t>ALG 10245</t>
  </si>
  <si>
    <t>K10245</t>
  </si>
  <si>
    <t>ALG 10260</t>
  </si>
  <si>
    <t>K10260</t>
  </si>
  <si>
    <t>ALG 10262</t>
  </si>
  <si>
    <t>K10262</t>
  </si>
  <si>
    <t>ALG 10253</t>
  </si>
  <si>
    <t>K10253</t>
  </si>
  <si>
    <t>ALG 10261</t>
  </si>
  <si>
    <t>K10261</t>
  </si>
  <si>
    <t>ALG 1975</t>
  </si>
  <si>
    <t>K1975</t>
  </si>
  <si>
    <t>ALG 1980</t>
  </si>
  <si>
    <t>K1980</t>
  </si>
  <si>
    <t>ALG 3207</t>
  </si>
  <si>
    <t>K3207</t>
  </si>
  <si>
    <t>ALG 3208</t>
  </si>
  <si>
    <t>K3208</t>
  </si>
  <si>
    <t>ALG 3209</t>
  </si>
  <si>
    <t>K3209</t>
  </si>
  <si>
    <t>ALG 3211</t>
  </si>
  <si>
    <t>K3211</t>
  </si>
  <si>
    <t>ALG 3212</t>
  </si>
  <si>
    <t>K3212</t>
  </si>
  <si>
    <t>ALG 3213</t>
  </si>
  <si>
    <t>K3213</t>
  </si>
  <si>
    <t>ALG 3214</t>
  </si>
  <si>
    <t>K3214</t>
  </si>
  <si>
    <t>ALG 3215</t>
  </si>
  <si>
    <t>K3215</t>
  </si>
  <si>
    <t>ALG 3218</t>
  </si>
  <si>
    <t>K3218</t>
  </si>
  <si>
    <t>ALG 3219</t>
  </si>
  <si>
    <t>K3219</t>
  </si>
  <si>
    <t>ALG 3206</t>
  </si>
  <si>
    <t>K3206</t>
  </si>
  <si>
    <t>ALG 1974</t>
  </si>
  <si>
    <t>K1974</t>
  </si>
  <si>
    <t>ALG 10265</t>
  </si>
  <si>
    <t>K10265</t>
  </si>
  <si>
    <t>ALG 10272</t>
  </si>
  <si>
    <t>K10272</t>
  </si>
  <si>
    <t>ALG 10284</t>
  </si>
  <si>
    <t>K10284</t>
  </si>
  <si>
    <t>ALG 10285</t>
  </si>
  <si>
    <t>K10285</t>
  </si>
  <si>
    <t>ALG 10266</t>
  </si>
  <si>
    <t>K10266</t>
  </si>
  <si>
    <t>ALG 10267</t>
  </si>
  <si>
    <t>K10267</t>
  </si>
  <si>
    <t>ALG 10273</t>
  </si>
  <si>
    <t>K10273</t>
  </si>
  <si>
    <t>ALG 10274</t>
  </si>
  <si>
    <t>K10274</t>
  </si>
  <si>
    <t>ALG 10278</t>
  </si>
  <si>
    <t>K10278</t>
  </si>
  <si>
    <t>ALG 10279</t>
  </si>
  <si>
    <t>ALG 10281</t>
  </si>
  <si>
    <t>K10281</t>
  </si>
  <si>
    <t>ALG 10286</t>
  </si>
  <si>
    <t>K10286</t>
  </si>
  <si>
    <t>ALG 10287</t>
  </si>
  <si>
    <t>K10287</t>
  </si>
  <si>
    <t>ALG 10288</t>
  </si>
  <si>
    <t>ALG 10289</t>
  </si>
  <si>
    <t>K10289</t>
  </si>
  <si>
    <t>ALG 10290</t>
  </si>
  <si>
    <t>K10290</t>
  </si>
  <si>
    <t>ALG 10292</t>
  </si>
  <si>
    <t>K10292</t>
  </si>
  <si>
    <t>ALG 10293</t>
  </si>
  <si>
    <t>K10293</t>
  </si>
  <si>
    <t>ALG 10294</t>
  </si>
  <si>
    <t>K10294</t>
  </si>
  <si>
    <t>ALG 10250</t>
  </si>
  <si>
    <t>K10250</t>
  </si>
  <si>
    <t>ALG 10264</t>
  </si>
  <si>
    <t>K10264</t>
  </si>
  <si>
    <t>ALG 10275</t>
  </si>
  <si>
    <t>K10275</t>
  </si>
  <si>
    <t>K10279</t>
  </si>
  <si>
    <t>ALG 10282</t>
  </si>
  <si>
    <t>K10282</t>
  </si>
  <si>
    <t>ALG 1976</t>
  </si>
  <si>
    <t>K1976</t>
  </si>
  <si>
    <t>ALG 1977</t>
  </si>
  <si>
    <t>K1977</t>
  </si>
  <si>
    <t>ALG 1979</t>
  </si>
  <si>
    <t>K1979</t>
  </si>
  <si>
    <t>ALG 1978</t>
  </si>
  <si>
    <t>K1978</t>
  </si>
  <si>
    <t>ALG 1981</t>
  </si>
  <si>
    <t>K1981</t>
  </si>
  <si>
    <t>ALG 6546</t>
  </si>
  <si>
    <t>K6546</t>
  </si>
  <si>
    <t>ALG 6549</t>
  </si>
  <si>
    <t>K6549</t>
  </si>
  <si>
    <t>ALG 6550</t>
  </si>
  <si>
    <t>K6550</t>
  </si>
  <si>
    <t>ALG 6558</t>
  </si>
  <si>
    <t>K6558</t>
  </si>
  <si>
    <t>ALG 6559</t>
  </si>
  <si>
    <t>K6559</t>
  </si>
  <si>
    <t>ALG 6560</t>
  </si>
  <si>
    <t>K6560</t>
  </si>
  <si>
    <t>ALG 6561</t>
  </si>
  <si>
    <t>K6561</t>
  </si>
  <si>
    <t>K6562</t>
  </si>
  <si>
    <t>ALG 6563</t>
  </si>
  <si>
    <t>K6563</t>
  </si>
  <si>
    <t>ALG 6567</t>
  </si>
  <si>
    <t>K6569</t>
  </si>
  <si>
    <t>ALG 6543</t>
  </si>
  <si>
    <t>K6543</t>
  </si>
  <si>
    <t>ALG 6553</t>
  </si>
  <si>
    <t>K6553</t>
  </si>
  <si>
    <t>ALG 6554</t>
  </si>
  <si>
    <t>K6554</t>
  </si>
  <si>
    <t>ALG 6551</t>
  </si>
  <si>
    <t>K6551</t>
  </si>
  <si>
    <t>ALG 6555</t>
  </si>
  <si>
    <t>K6555</t>
  </si>
  <si>
    <t>ALG 6556</t>
  </si>
  <si>
    <t>K6556</t>
  </si>
  <si>
    <t>ALG 6486</t>
  </si>
  <si>
    <t>K6586</t>
  </si>
  <si>
    <t>ALG 6552</t>
  </si>
  <si>
    <t>K6552</t>
  </si>
  <si>
    <t>ALG 6557</t>
  </si>
  <si>
    <t>K6557</t>
  </si>
  <si>
    <t>ALG 6562</t>
  </si>
  <si>
    <t>ALG 3221</t>
  </si>
  <si>
    <t>K3221</t>
  </si>
  <si>
    <t>ALG 3222</t>
  </si>
  <si>
    <t>K3222</t>
  </si>
  <si>
    <t>ALG 3223</t>
  </si>
  <si>
    <t>K3223</t>
  </si>
  <si>
    <t>ALG 3224</t>
  </si>
  <si>
    <t>K3224</t>
  </si>
  <si>
    <t>ALG 3225</t>
  </si>
  <si>
    <t>K3225</t>
  </si>
  <si>
    <t>ALG 3226</t>
  </si>
  <si>
    <t>K3226</t>
  </si>
  <si>
    <t>ALG 3227</t>
  </si>
  <si>
    <t>K3227</t>
  </si>
  <si>
    <t>ALG 3228</t>
  </si>
  <si>
    <t>K3228</t>
  </si>
  <si>
    <t>ALG 3229</t>
  </si>
  <si>
    <t>K3229</t>
  </si>
  <si>
    <t>ALG 3199</t>
  </si>
  <si>
    <t>K3199</t>
  </si>
  <si>
    <t>ALG 6573 (2149)</t>
  </si>
  <si>
    <t>CONCILIACION VEV NAPPA</t>
  </si>
  <si>
    <t>ALG 6500</t>
  </si>
  <si>
    <t>K6500</t>
  </si>
  <si>
    <t>ALG 6505</t>
  </si>
  <si>
    <t>K6505</t>
  </si>
  <si>
    <t>ALG 10291</t>
  </si>
  <si>
    <t>K10291</t>
  </si>
  <si>
    <t>ALG 10297</t>
  </si>
  <si>
    <t>K10297</t>
  </si>
  <si>
    <t>ALG 10298</t>
  </si>
  <si>
    <t>K10298</t>
  </si>
  <si>
    <t>ALG 10307</t>
  </si>
  <si>
    <t>K10307</t>
  </si>
  <si>
    <t>ALG 10314</t>
  </si>
  <si>
    <t>K10314</t>
  </si>
  <si>
    <t>ALG 10316</t>
  </si>
  <si>
    <t>K10316</t>
  </si>
  <si>
    <t>ALG 10317</t>
  </si>
  <si>
    <t>K10317</t>
  </si>
  <si>
    <t>ALG 10327</t>
  </si>
  <si>
    <t>K10327</t>
  </si>
  <si>
    <t>ALG 10295</t>
  </si>
  <si>
    <t>K10295</t>
  </si>
  <si>
    <t>ALG 10296</t>
  </si>
  <si>
    <t>ALG 10299</t>
  </si>
  <si>
    <t>K10299</t>
  </si>
  <si>
    <t>ALG 10300</t>
  </si>
  <si>
    <t>K10300</t>
  </si>
  <si>
    <t>ALG 10301</t>
  </si>
  <si>
    <t>K10301</t>
  </si>
  <si>
    <t>ALG 10302</t>
  </si>
  <si>
    <t>K10302</t>
  </si>
  <si>
    <t>ALG 10304</t>
  </si>
  <si>
    <t>K10304</t>
  </si>
  <si>
    <t>ALG 10308</t>
  </si>
  <si>
    <t>K10308</t>
  </si>
  <si>
    <t>ALG 10309</t>
  </si>
  <si>
    <t>K10309</t>
  </si>
  <si>
    <t>ALG 10310</t>
  </si>
  <si>
    <t>K10310</t>
  </si>
  <si>
    <t>ALG 10311</t>
  </si>
  <si>
    <t>K10311</t>
  </si>
  <si>
    <t>ALG 10312</t>
  </si>
  <si>
    <t>K10312</t>
  </si>
  <si>
    <t>ALG 10318</t>
  </si>
  <si>
    <t>K10318</t>
  </si>
  <si>
    <t>ALG 10320</t>
  </si>
  <si>
    <t>K10320</t>
  </si>
  <si>
    <t>ALG 10321</t>
  </si>
  <si>
    <t>K10321</t>
  </si>
  <si>
    <t>ALG 10322</t>
  </si>
  <si>
    <t>K10322</t>
  </si>
  <si>
    <t>ALG 10325</t>
  </si>
  <si>
    <t>K10325</t>
  </si>
  <si>
    <t>ALG 10330</t>
  </si>
  <si>
    <t>K10330</t>
  </si>
  <si>
    <t>ALG 10331</t>
  </si>
  <si>
    <t>K10331</t>
  </si>
  <si>
    <t>ALG 10280</t>
  </si>
  <si>
    <t>K10280</t>
  </si>
  <si>
    <t>ALG 10319</t>
  </si>
  <si>
    <t>K10319</t>
  </si>
  <si>
    <t>ALG 10283</t>
  </si>
  <si>
    <t>K10283</t>
  </si>
  <si>
    <t>ALG 10303</t>
  </si>
  <si>
    <t>K10303</t>
  </si>
  <si>
    <t>ALG 1983</t>
  </si>
  <si>
    <t>K1983</t>
  </si>
  <si>
    <t>ALG 1984</t>
  </si>
  <si>
    <t>K1984</t>
  </si>
  <si>
    <t>ALG 1989</t>
  </si>
  <si>
    <t>K1989</t>
  </si>
  <si>
    <t>ALG 1985</t>
  </si>
  <si>
    <t>K1985</t>
  </si>
  <si>
    <t>ALG 1988</t>
  </si>
  <si>
    <t>K1988</t>
  </si>
  <si>
    <t>ALG 1982</t>
  </si>
  <si>
    <t>K1982</t>
  </si>
  <si>
    <t>ALG 1986</t>
  </si>
  <si>
    <t>K1986</t>
  </si>
  <si>
    <t>K6567</t>
  </si>
  <si>
    <t>ALG 6570</t>
  </si>
  <si>
    <t>K6570</t>
  </si>
  <si>
    <t>ALG 6574</t>
  </si>
  <si>
    <t>K6574</t>
  </si>
  <si>
    <t>ALG 6582</t>
  </si>
  <si>
    <t>K6582</t>
  </si>
  <si>
    <t>ALG 6586</t>
  </si>
  <si>
    <t>ALG 6568</t>
  </si>
  <si>
    <t>K6568</t>
  </si>
  <si>
    <t>ALG 6564</t>
  </si>
  <si>
    <t>K6564</t>
  </si>
  <si>
    <t>ALG 6565</t>
  </si>
  <si>
    <t>K6565</t>
  </si>
  <si>
    <t>ALG 6566</t>
  </si>
  <si>
    <t>K6566</t>
  </si>
  <si>
    <t>ALG 6572</t>
  </si>
  <si>
    <t>K6572</t>
  </si>
  <si>
    <t>ALG 6569</t>
  </si>
  <si>
    <t>ALG 3230</t>
  </si>
  <si>
    <t>K3230</t>
  </si>
  <si>
    <t>ALG 3231</t>
  </si>
  <si>
    <t>K3231</t>
  </si>
  <si>
    <t>ALG 3232</t>
  </si>
  <si>
    <t>K3232</t>
  </si>
  <si>
    <t>ALG 3234</t>
  </si>
  <si>
    <t>K3234</t>
  </si>
  <si>
    <t>ALG 3235</t>
  </si>
  <si>
    <t>K3235</t>
  </si>
  <si>
    <t>ALG 3237</t>
  </si>
  <si>
    <t>K3237</t>
  </si>
  <si>
    <t>ALG 3238</t>
  </si>
  <si>
    <t>K3238</t>
  </si>
  <si>
    <t>ALG 3210</t>
  </si>
  <si>
    <t>K3210</t>
  </si>
  <si>
    <t>K10337</t>
  </si>
  <si>
    <t>ALG 10337</t>
  </si>
  <si>
    <t>ALG 1990</t>
  </si>
  <si>
    <t>K1990</t>
  </si>
  <si>
    <t>ALG 10329</t>
  </si>
  <si>
    <t>K10329</t>
  </si>
  <si>
    <t>ALG 10315</t>
  </si>
  <si>
    <t>K10315</t>
  </si>
  <si>
    <t>K10326</t>
  </si>
  <si>
    <t>ALG 10326</t>
  </si>
  <si>
    <t>ALG 6590</t>
  </si>
  <si>
    <t>ALG 6591</t>
  </si>
  <si>
    <t>K6590</t>
  </si>
  <si>
    <t>K6591</t>
  </si>
  <si>
    <t>K3233</t>
  </si>
  <si>
    <t>ALG 3233</t>
  </si>
  <si>
    <t>ALG 1987</t>
  </si>
  <si>
    <t>K1987</t>
  </si>
  <si>
    <t>ALG 10323</t>
  </si>
  <si>
    <t>K10323</t>
  </si>
  <si>
    <t>ALG 10333</t>
  </si>
  <si>
    <t>K10333</t>
  </si>
  <si>
    <t>ALG 10335</t>
  </si>
  <si>
    <t>K10335</t>
  </si>
  <si>
    <t>ALG 10336</t>
  </si>
  <si>
    <t>K10336</t>
  </si>
  <si>
    <t>ALG 10343</t>
  </si>
  <si>
    <t>K10343</t>
  </si>
  <si>
    <t>ALG 10344</t>
  </si>
  <si>
    <t>K10344</t>
  </si>
  <si>
    <t>ALG 10351</t>
  </si>
  <si>
    <t>K10351</t>
  </si>
  <si>
    <t>ALG 10352</t>
  </si>
  <si>
    <t>K10352</t>
  </si>
  <si>
    <t>ALG 10358</t>
  </si>
  <si>
    <t>K10358</t>
  </si>
  <si>
    <t>ALG 10359</t>
  </si>
  <si>
    <t>K10359</t>
  </si>
  <si>
    <t>ALG 10313</t>
  </si>
  <si>
    <t>K10313</t>
  </si>
  <si>
    <t>ALG 10324</t>
  </si>
  <si>
    <t>K10324</t>
  </si>
  <si>
    <t>ALG 10334</t>
  </si>
  <si>
    <t>K10334</t>
  </si>
  <si>
    <t>ALG 10338</t>
  </si>
  <si>
    <t>K10338</t>
  </si>
  <si>
    <t>ALG 10339</t>
  </si>
  <si>
    <t>K10339</t>
  </si>
  <si>
    <t>ALG 10345</t>
  </si>
  <si>
    <t>K10345</t>
  </si>
  <si>
    <t>ALG 10348</t>
  </si>
  <si>
    <t>K10348</t>
  </si>
  <si>
    <t>ALG 10349</t>
  </si>
  <si>
    <t>K10349</t>
  </si>
  <si>
    <t>ALG 10354</t>
  </si>
  <si>
    <t>K10354</t>
  </si>
  <si>
    <t>ALG 10356</t>
  </si>
  <si>
    <t>K10356</t>
  </si>
  <si>
    <t>ALG 10357</t>
  </si>
  <si>
    <t>K10357</t>
  </si>
  <si>
    <t>ALG 10361</t>
  </si>
  <si>
    <t>K10361</t>
  </si>
  <si>
    <t>ALG 10368</t>
  </si>
  <si>
    <t>K10368</t>
  </si>
  <si>
    <t>ALG 10370</t>
  </si>
  <si>
    <t>K10370</t>
  </si>
  <si>
    <t>ALG 10346</t>
  </si>
  <si>
    <t>K10346</t>
  </si>
  <si>
    <t>ALG 10347</t>
  </si>
  <si>
    <t>K10347</t>
  </si>
  <si>
    <t>ALG 10353</t>
  </si>
  <si>
    <t>K10353</t>
  </si>
  <si>
    <t>ALG 10360</t>
  </si>
  <si>
    <t>K10360</t>
  </si>
  <si>
    <t>ALG  10367</t>
  </si>
  <si>
    <t>K10367</t>
  </si>
  <si>
    <t>ALG 10332</t>
  </si>
  <si>
    <t>K10332</t>
  </si>
  <si>
    <t>ALG 10340</t>
  </si>
  <si>
    <t>K10340</t>
  </si>
  <si>
    <t>ALG 10341</t>
  </si>
  <si>
    <t>K10341</t>
  </si>
  <si>
    <t>ALG 10342</t>
  </si>
  <si>
    <t>K10342</t>
  </si>
  <si>
    <t>ALG 10350</t>
  </si>
  <si>
    <t>K10350</t>
  </si>
  <si>
    <t>ALG 10363</t>
  </si>
  <si>
    <t>K10363</t>
  </si>
  <si>
    <t>ALG 1993</t>
  </si>
  <si>
    <t>K1993</t>
  </si>
  <si>
    <t>ALG 1994</t>
  </si>
  <si>
    <t>K1994</t>
  </si>
  <si>
    <t>ALG 1991</t>
  </si>
  <si>
    <t>K1991</t>
  </si>
  <si>
    <t>ALG 1992</t>
  </si>
  <si>
    <t>K1992</t>
  </si>
  <si>
    <t>ALG 1996</t>
  </si>
  <si>
    <t>K1996</t>
  </si>
  <si>
    <t>ALG 6587</t>
  </si>
  <si>
    <t>K6587</t>
  </si>
  <si>
    <t>ALG 6588</t>
  </si>
  <si>
    <t>K6588</t>
  </si>
  <si>
    <t>ALG 6589</t>
  </si>
  <si>
    <t>K6589</t>
  </si>
  <si>
    <t>ALG 6592</t>
  </si>
  <si>
    <t>K6592</t>
  </si>
  <si>
    <t>ALG 6595</t>
  </si>
  <si>
    <t>K6595</t>
  </si>
  <si>
    <t>ALG 6596</t>
  </si>
  <si>
    <t>K6596</t>
  </si>
  <si>
    <t>ALG 6597</t>
  </si>
  <si>
    <t>K6597</t>
  </si>
  <si>
    <t>ALG 6600</t>
  </si>
  <si>
    <t>K6600</t>
  </si>
  <si>
    <t>ALG 6571</t>
  </si>
  <si>
    <t>K6571</t>
  </si>
  <si>
    <t>ALG 6580</t>
  </si>
  <si>
    <t>K6580</t>
  </si>
  <si>
    <t>ALG 6598</t>
  </si>
  <si>
    <t>K6598</t>
  </si>
  <si>
    <t>ALG 6583</t>
  </si>
  <si>
    <t>K6583</t>
  </si>
  <si>
    <t>ALG 6584</t>
  </si>
  <si>
    <t>K6584</t>
  </si>
  <si>
    <t>ALG 6585</t>
  </si>
  <si>
    <t>K6585</t>
  </si>
  <si>
    <t>ALG 6593</t>
  </si>
  <si>
    <t>K6593</t>
  </si>
  <si>
    <t>ALG 6594</t>
  </si>
  <si>
    <t>K6594</t>
  </si>
  <si>
    <t>ALG 6599</t>
  </si>
  <si>
    <t>K6599</t>
  </si>
  <si>
    <t>ALG 6602</t>
  </si>
  <si>
    <t>K6602</t>
  </si>
  <si>
    <t>ALG 6605</t>
  </si>
  <si>
    <t>K6605</t>
  </si>
  <si>
    <t>ALG 6578</t>
  </si>
  <si>
    <t>K6578</t>
  </si>
  <si>
    <t>K6614</t>
  </si>
  <si>
    <t>ALG 6614</t>
  </si>
  <si>
    <t>K6613</t>
  </si>
  <si>
    <t>ALG 6613</t>
  </si>
  <si>
    <t>K6581</t>
  </si>
  <si>
    <t>ALG 6581</t>
  </si>
  <si>
    <t>ALG 3236</t>
  </si>
  <si>
    <t>K3236</t>
  </si>
  <si>
    <t>ALG 3239</t>
  </si>
  <si>
    <t>K3239</t>
  </si>
  <si>
    <t>ALG 3240</t>
  </si>
  <si>
    <t>K3240</t>
  </si>
  <si>
    <t>ALG 3241</t>
  </si>
  <si>
    <t>K3241</t>
  </si>
  <si>
    <t>ALG 3243</t>
  </si>
  <si>
    <t>K3243</t>
  </si>
  <si>
    <t>ALG 3244</t>
  </si>
  <si>
    <t>K3244</t>
  </si>
  <si>
    <t>ALG 3245</t>
  </si>
  <si>
    <t>K3245</t>
  </si>
  <si>
    <t>ALG 3216</t>
  </si>
  <si>
    <t>K3216</t>
  </si>
  <si>
    <t>ALG 3217</t>
  </si>
  <si>
    <t>K3217</t>
  </si>
  <si>
    <t>ALG 10364</t>
  </si>
  <si>
    <t>K10364</t>
  </si>
  <si>
    <t>ALG 10365</t>
  </si>
  <si>
    <t>K10365</t>
  </si>
  <si>
    <t>ALG 10366</t>
  </si>
  <si>
    <t>K10366</t>
  </si>
  <si>
    <t>ALG 10371</t>
  </si>
  <si>
    <t>K10371</t>
  </si>
  <si>
    <t>ALG 10373</t>
  </si>
  <si>
    <t>K10373</t>
  </si>
  <si>
    <t>ALG 10375</t>
  </si>
  <si>
    <t>K10375</t>
  </si>
  <si>
    <t>ALG 10382</t>
  </si>
  <si>
    <t>K10382</t>
  </si>
  <si>
    <t>ALG 10383</t>
  </si>
  <si>
    <t>K10383</t>
  </si>
  <si>
    <t>ALG 10384</t>
  </si>
  <si>
    <t>K10384</t>
  </si>
  <si>
    <t>ALG 10388</t>
  </si>
  <si>
    <t>K10388</t>
  </si>
  <si>
    <t>ALG 10389</t>
  </si>
  <si>
    <t>K10389</t>
  </si>
  <si>
    <t>ALG 10369</t>
  </si>
  <si>
    <t>K10369</t>
  </si>
  <si>
    <t>ALG 10372</t>
  </si>
  <si>
    <t>K10372</t>
  </si>
  <si>
    <t>ALG 10376</t>
  </si>
  <si>
    <t>K10376</t>
  </si>
  <si>
    <t>ALG 10381</t>
  </si>
  <si>
    <t>K10381</t>
  </si>
  <si>
    <t>ALG 10385</t>
  </si>
  <si>
    <t>K10385</t>
  </si>
  <si>
    <t>ALG 10392</t>
  </si>
  <si>
    <t>K10392</t>
  </si>
  <si>
    <t>ALG 10393</t>
  </si>
  <si>
    <t>K10393</t>
  </si>
  <si>
    <t>ALG 10399</t>
  </si>
  <si>
    <t>K10399</t>
  </si>
  <si>
    <t>ALG 10374</t>
  </si>
  <si>
    <t>ALG 10355</t>
  </si>
  <si>
    <t>K10355</t>
  </si>
  <si>
    <t>ALG 10362</t>
  </si>
  <si>
    <t>K10362</t>
  </si>
  <si>
    <t>ALG 10380</t>
  </si>
  <si>
    <t>K10380</t>
  </si>
  <si>
    <t>ALG 10276</t>
  </si>
  <si>
    <t>K10276</t>
  </si>
  <si>
    <t>ALG 10277</t>
  </si>
  <si>
    <t>K10277</t>
  </si>
  <si>
    <t>ALG 6604</t>
  </si>
  <si>
    <t>K6604</t>
  </si>
  <si>
    <t>ALG 6606</t>
  </si>
  <si>
    <t>K6606</t>
  </si>
  <si>
    <t>ALG 6607</t>
  </si>
  <si>
    <t>K6607</t>
  </si>
  <si>
    <t>ALG 6609</t>
  </si>
  <si>
    <t>K6609</t>
  </si>
  <si>
    <t>ALG 6615</t>
  </si>
  <si>
    <t>K6615</t>
  </si>
  <si>
    <t>ALG 6601</t>
  </si>
  <si>
    <t>K6601</t>
  </si>
  <si>
    <t>ALG 6608</t>
  </si>
  <si>
    <t>K6608</t>
  </si>
  <si>
    <t>ALG 6610</t>
  </si>
  <si>
    <t>K6610</t>
  </si>
  <si>
    <t>ALG 6625</t>
  </si>
  <si>
    <t>K6625</t>
  </si>
  <si>
    <t>ALG 6611</t>
  </si>
  <si>
    <t>K6611</t>
  </si>
  <si>
    <t>ALG 6579</t>
  </si>
  <si>
    <t>K6579</t>
  </si>
  <si>
    <t>ALG 6612</t>
  </si>
  <si>
    <t>K6612</t>
  </si>
  <si>
    <t>ALG 6616</t>
  </si>
  <si>
    <t>K6616</t>
  </si>
  <si>
    <t>ALG 6603</t>
  </si>
  <si>
    <t>K6603</t>
  </si>
  <si>
    <t>K6617</t>
  </si>
  <si>
    <t>ALG 6624</t>
  </si>
  <si>
    <t>K66241</t>
  </si>
  <si>
    <t>3246</t>
  </si>
  <si>
    <t>K3246</t>
  </si>
  <si>
    <t>3247</t>
  </si>
  <si>
    <t>K3247</t>
  </si>
  <si>
    <t>3248</t>
  </si>
  <si>
    <t>K3248</t>
  </si>
  <si>
    <t>3249</t>
  </si>
  <si>
    <t>K3249</t>
  </si>
  <si>
    <t>3250</t>
  </si>
  <si>
    <t>K3250</t>
  </si>
  <si>
    <t>3251</t>
  </si>
  <si>
    <t>K3251</t>
  </si>
  <si>
    <t>3252</t>
  </si>
  <si>
    <t>K3252</t>
  </si>
  <si>
    <t>3253</t>
  </si>
  <si>
    <t>K3253</t>
  </si>
  <si>
    <t>3254</t>
  </si>
  <si>
    <t>K3254</t>
  </si>
  <si>
    <t>ALG 3242</t>
  </si>
  <si>
    <t>K3242</t>
  </si>
  <si>
    <t>ALG 3255</t>
  </si>
  <si>
    <t>K3255</t>
  </si>
  <si>
    <t>ALG 10390</t>
  </si>
  <si>
    <t>K10390</t>
  </si>
  <si>
    <t>ALG 10391</t>
  </si>
  <si>
    <t>K10391</t>
  </si>
  <si>
    <t>ALG 10396</t>
  </si>
  <si>
    <t>K10396</t>
  </si>
  <si>
    <t>ALG 10397</t>
  </si>
  <si>
    <t>K10397</t>
  </si>
  <si>
    <t>ALG 10403</t>
  </si>
  <si>
    <t>K10403</t>
  </si>
  <si>
    <t>ALG 10408</t>
  </si>
  <si>
    <t>K10408</t>
  </si>
  <si>
    <t>ALG 10418</t>
  </si>
  <si>
    <t>K10418</t>
  </si>
  <si>
    <t>ALG 10424</t>
  </si>
  <si>
    <t>K10424</t>
  </si>
  <si>
    <t>ALG 10427</t>
  </si>
  <si>
    <t>K10427</t>
  </si>
  <si>
    <t>ALG 10394</t>
  </si>
  <si>
    <t>K10394</t>
  </si>
  <si>
    <t>ALG 10400</t>
  </si>
  <si>
    <t>K10400</t>
  </si>
  <si>
    <t>ALG 10401</t>
  </si>
  <si>
    <t>K10401</t>
  </si>
  <si>
    <t>ALG 10402</t>
  </si>
  <si>
    <t>K10402</t>
  </si>
  <si>
    <t>ALG 10404</t>
  </si>
  <si>
    <t>K10404</t>
  </si>
  <si>
    <t>ALG 10405</t>
  </si>
  <si>
    <t>ALG 10410</t>
  </si>
  <si>
    <t>K10410</t>
  </si>
  <si>
    <t>ALG 10411</t>
  </si>
  <si>
    <t>K10411</t>
  </si>
  <si>
    <t>ALG 10412</t>
  </si>
  <si>
    <t>K10412</t>
  </si>
  <si>
    <t>K10374</t>
  </si>
  <si>
    <t>ALG 10398</t>
  </si>
  <si>
    <t>K10398</t>
  </si>
  <si>
    <t>ALG 10409</t>
  </si>
  <si>
    <t>K10409</t>
  </si>
  <si>
    <t>ALG 10377</t>
  </si>
  <si>
    <t>K10377</t>
  </si>
  <si>
    <t>ALG 10378</t>
  </si>
  <si>
    <t>K10378</t>
  </si>
  <si>
    <t>K10405</t>
  </si>
  <si>
    <t>ALG 10406</t>
  </si>
  <si>
    <t>K10406</t>
  </si>
  <si>
    <t>ALG 10420</t>
  </si>
  <si>
    <t>K10420</t>
  </si>
  <si>
    <t>ALG 10407</t>
  </si>
  <si>
    <t>K10407</t>
  </si>
  <si>
    <t>ALG 10414</t>
  </si>
  <si>
    <t>K10414</t>
  </si>
  <si>
    <t>ALG 10415</t>
  </si>
  <si>
    <t>K10415</t>
  </si>
  <si>
    <t>CONCILIATION WU9 EBONY RED NAPPA</t>
  </si>
  <si>
    <t>ALG 10395</t>
  </si>
  <si>
    <t>WA3 VITRA GREY NAPPA</t>
  </si>
  <si>
    <t>ALG 10422</t>
  </si>
  <si>
    <t>K10422</t>
  </si>
  <si>
    <t>ALG 6620</t>
  </si>
  <si>
    <t>K6620</t>
  </si>
  <si>
    <t>ALG 6621</t>
  </si>
  <si>
    <t>K6621</t>
  </si>
  <si>
    <t>ALG 6627</t>
  </si>
  <si>
    <t>K6627</t>
  </si>
  <si>
    <t>ALG 6638</t>
  </si>
  <si>
    <t>K6638</t>
  </si>
  <si>
    <t>ALG 6628</t>
  </si>
  <si>
    <t>K6628</t>
  </si>
  <si>
    <t>ALG 6629</t>
  </si>
  <si>
    <t>K6629</t>
  </si>
  <si>
    <t>ALG 6623</t>
  </si>
  <si>
    <t>K6623</t>
  </si>
  <si>
    <t>ALG 6622</t>
  </si>
  <si>
    <t>K6622</t>
  </si>
  <si>
    <t>ALG 6626</t>
  </si>
  <si>
    <t>K6626</t>
  </si>
  <si>
    <t>ALG 6630</t>
  </si>
  <si>
    <t>K6630</t>
  </si>
  <si>
    <t>ALG 6631</t>
  </si>
  <si>
    <t>K6631</t>
  </si>
  <si>
    <t>ALG 6637</t>
  </si>
  <si>
    <t>K6637</t>
  </si>
  <si>
    <t>ALG 6650</t>
  </si>
  <si>
    <t>K6650</t>
  </si>
  <si>
    <t>ALG 5652</t>
  </si>
  <si>
    <t>K6652</t>
  </si>
  <si>
    <t>ALG 6653</t>
  </si>
  <si>
    <t>K6653</t>
  </si>
  <si>
    <t>ALG 6632</t>
  </si>
  <si>
    <t>K6632</t>
  </si>
  <si>
    <t>ALG 6649</t>
  </si>
  <si>
    <t>K6649</t>
  </si>
  <si>
    <t>ALG 3259</t>
  </si>
  <si>
    <t>K3259</t>
  </si>
  <si>
    <t>ALG 3260</t>
  </si>
  <si>
    <t>K3260</t>
  </si>
  <si>
    <t>ALG 3261</t>
  </si>
  <si>
    <t>K3261</t>
  </si>
  <si>
    <t>ALG 3262</t>
  </si>
  <si>
    <t>K3262</t>
  </si>
  <si>
    <t>ALG 3263</t>
  </si>
  <si>
    <t>K3263</t>
  </si>
  <si>
    <t>ALG 3264</t>
  </si>
  <si>
    <t>K3264</t>
  </si>
  <si>
    <t>ALG 3265</t>
  </si>
  <si>
    <t>K3265</t>
  </si>
  <si>
    <t>ALG 3268</t>
  </si>
  <si>
    <t>K3268</t>
  </si>
  <si>
    <t>ALG 3269</t>
  </si>
  <si>
    <t>ALG 3270</t>
  </si>
  <si>
    <t>K3270</t>
  </si>
  <si>
    <t>ALG 3271</t>
  </si>
  <si>
    <t>K3271</t>
  </si>
  <si>
    <t>ALG 3272</t>
  </si>
  <si>
    <t>K3272</t>
  </si>
  <si>
    <t>ALG 3274</t>
  </si>
  <si>
    <t>K3274</t>
  </si>
  <si>
    <t>ALG 3275</t>
  </si>
  <si>
    <t>K3275</t>
  </si>
  <si>
    <t>ALG 3276</t>
  </si>
  <si>
    <t>K3276</t>
  </si>
  <si>
    <t>ALG 3266</t>
  </si>
  <si>
    <t>K3266</t>
  </si>
  <si>
    <t>ALG 3267</t>
  </si>
  <si>
    <t>K3267</t>
  </si>
  <si>
    <t>ALG 3273</t>
  </si>
  <si>
    <t>K3273</t>
  </si>
  <si>
    <t>ALG 3278</t>
  </si>
  <si>
    <t>K3278</t>
  </si>
  <si>
    <t>ALG 3280</t>
  </si>
  <si>
    <t>K3280</t>
  </si>
  <si>
    <t>ALG 3281</t>
  </si>
  <si>
    <t>K3281</t>
  </si>
  <si>
    <t>ALG 3279</t>
  </si>
  <si>
    <t>K3279</t>
  </si>
  <si>
    <t>ALG 3282</t>
  </si>
  <si>
    <t>K3282</t>
  </si>
  <si>
    <t>ALG 3298</t>
  </si>
  <si>
    <t>K3298</t>
  </si>
  <si>
    <t>ALG 3277</t>
  </si>
  <si>
    <t>K3277</t>
  </si>
  <si>
    <t>ALG 3287</t>
  </si>
  <si>
    <t>ALG 3295</t>
  </si>
  <si>
    <t>K3295</t>
  </si>
  <si>
    <t>ALG 3297</t>
  </si>
  <si>
    <t>K3297</t>
  </si>
  <si>
    <t>ALG 10429</t>
  </si>
  <si>
    <t>ALG 10431</t>
  </si>
  <si>
    <t>K10431</t>
  </si>
  <si>
    <t>ALG 10433</t>
  </si>
  <si>
    <t>K10433</t>
  </si>
  <si>
    <t>ALG 10434</t>
  </si>
  <si>
    <t>K10434</t>
  </si>
  <si>
    <t>ALG 10439</t>
  </si>
  <si>
    <t>K10439</t>
  </si>
  <si>
    <t>ALG 10440</t>
  </si>
  <si>
    <t>K10440</t>
  </si>
  <si>
    <t>ALG 10445</t>
  </si>
  <si>
    <t>K10445</t>
  </si>
  <si>
    <t>K10429</t>
  </si>
  <si>
    <t>ALG 10413</t>
  </si>
  <si>
    <t>K10413</t>
  </si>
  <si>
    <t>ALG 10426</t>
  </si>
  <si>
    <t>K10426</t>
  </si>
  <si>
    <t>ALG 10428</t>
  </si>
  <si>
    <t>K10428</t>
  </si>
  <si>
    <t>ALG 10432</t>
  </si>
  <si>
    <t>K10432</t>
  </si>
  <si>
    <t>ALG 10435</t>
  </si>
  <si>
    <t>K10435</t>
  </si>
  <si>
    <t>ALG 10436</t>
  </si>
  <si>
    <t>K10436</t>
  </si>
  <si>
    <t>ALG 10437</t>
  </si>
  <si>
    <t>K10437</t>
  </si>
  <si>
    <t>ALG 10442</t>
  </si>
  <si>
    <t>K10442</t>
  </si>
  <si>
    <t>ALG 10443</t>
  </si>
  <si>
    <t>K10443</t>
  </si>
  <si>
    <t>ALG 10446</t>
  </si>
  <si>
    <t>K10446</t>
  </si>
  <si>
    <t>ALG 10447</t>
  </si>
  <si>
    <t>K10447</t>
  </si>
  <si>
    <t>ALG 10457</t>
  </si>
  <si>
    <t>K10457</t>
  </si>
  <si>
    <t>ALG 10419</t>
  </si>
  <si>
    <t>K10419</t>
  </si>
  <si>
    <t>ALG 10441</t>
  </si>
  <si>
    <t>K10441</t>
  </si>
  <si>
    <t>ALG 10456</t>
  </si>
  <si>
    <t>K10456</t>
  </si>
  <si>
    <t>ALG 10423</t>
  </si>
  <si>
    <t>K10423</t>
  </si>
  <si>
    <t>ALG 10425</t>
  </si>
  <si>
    <t>K10425</t>
  </si>
  <si>
    <t>ALG 10430</t>
  </si>
  <si>
    <t>K10430</t>
  </si>
  <si>
    <t>ALG 10421</t>
  </si>
  <si>
    <t>K10421</t>
  </si>
  <si>
    <t>ALG 10438</t>
  </si>
  <si>
    <t>K10438</t>
  </si>
  <si>
    <t>ALG 6639</t>
  </si>
  <si>
    <t>K6639</t>
  </si>
  <si>
    <t>ALG 6651</t>
  </si>
  <si>
    <t>K6651</t>
  </si>
  <si>
    <t>ALG 6644</t>
  </si>
  <si>
    <t>K6644</t>
  </si>
  <si>
    <t>ALG 6648</t>
  </si>
  <si>
    <t>K6648</t>
  </si>
  <si>
    <t>ALG 6656</t>
  </si>
  <si>
    <t>K6656</t>
  </si>
  <si>
    <t>ALG 6657</t>
  </si>
  <si>
    <t>K6657</t>
  </si>
  <si>
    <t>ALG 6658</t>
  </si>
  <si>
    <t>K6658</t>
  </si>
  <si>
    <t>CONCILIATION NAPPA LT5 RED NAPPA</t>
  </si>
  <si>
    <t>ALG 10454</t>
  </si>
  <si>
    <t>K10454</t>
  </si>
  <si>
    <t>ALG 10455</t>
  </si>
  <si>
    <t>K10455</t>
  </si>
  <si>
    <t>ALG 10458</t>
  </si>
  <si>
    <t>K10458</t>
  </si>
  <si>
    <t>ALG 10459</t>
  </si>
  <si>
    <t>K10459</t>
  </si>
  <si>
    <t>ALG 10467</t>
  </si>
  <si>
    <t>K10467</t>
  </si>
  <si>
    <t>ALG 10468</t>
  </si>
  <si>
    <t>K10468</t>
  </si>
  <si>
    <t>ALG 10474</t>
  </si>
  <si>
    <t>K10474</t>
  </si>
  <si>
    <t>ALG 10461</t>
  </si>
  <si>
    <t>K10461</t>
  </si>
  <si>
    <t>ALG 10462</t>
  </si>
  <si>
    <t>K10462</t>
  </si>
  <si>
    <t>ALG 10470</t>
  </si>
  <si>
    <t>K10470</t>
  </si>
  <si>
    <t>ALG 10472</t>
  </si>
  <si>
    <t>K10472</t>
  </si>
  <si>
    <t>ALG 10476</t>
  </si>
  <si>
    <t>K10476</t>
  </si>
  <si>
    <t>ALG 10477</t>
  </si>
  <si>
    <t>K10477</t>
  </si>
  <si>
    <t>ALG 10478</t>
  </si>
  <si>
    <t>K10478</t>
  </si>
  <si>
    <t>ALG 10490</t>
  </si>
  <si>
    <t>K10490</t>
  </si>
  <si>
    <t>ALG 10460</t>
  </si>
  <si>
    <t>K10460</t>
  </si>
  <si>
    <t>ALG 10469</t>
  </si>
  <si>
    <t>K10469</t>
  </si>
  <si>
    <t>ALG 10475</t>
  </si>
  <si>
    <t>K10475</t>
  </si>
  <si>
    <t>ALG 10448</t>
  </si>
  <si>
    <t>K10448</t>
  </si>
  <si>
    <t>ALG 10463</t>
  </si>
  <si>
    <t>K10463</t>
  </si>
  <si>
    <t>ALG 10471</t>
  </si>
  <si>
    <t>K10471</t>
  </si>
  <si>
    <t>ALG 10479</t>
  </si>
  <si>
    <t>K10479</t>
  </si>
  <si>
    <t>ALG 10449</t>
  </si>
  <si>
    <t>K10449</t>
  </si>
  <si>
    <t>ALG 10466</t>
  </si>
  <si>
    <t>K10466</t>
  </si>
  <si>
    <t>ALG 10464</t>
  </si>
  <si>
    <t>K10464</t>
  </si>
  <si>
    <t>ALG 6640</t>
  </si>
  <si>
    <t>K6640</t>
  </si>
  <si>
    <t>ALG 6641</t>
  </si>
  <si>
    <t>K6641</t>
  </si>
  <si>
    <t>ALG 6642</t>
  </si>
  <si>
    <t>K6642</t>
  </si>
  <si>
    <t>ALG 6643</t>
  </si>
  <si>
    <t>K6643</t>
  </si>
  <si>
    <t>ALG 6654</t>
  </si>
  <si>
    <t>K6654</t>
  </si>
  <si>
    <t>ALG 6645</t>
  </si>
  <si>
    <t>K6645</t>
  </si>
  <si>
    <t>ALG 6646</t>
  </si>
  <si>
    <t>K6646</t>
  </si>
  <si>
    <t>ALG 6647</t>
  </si>
  <si>
    <t>K6647</t>
  </si>
  <si>
    <t>ALG 6667</t>
  </si>
  <si>
    <t>K6667</t>
  </si>
  <si>
    <t>ALG 6668</t>
  </si>
  <si>
    <t>K6668</t>
  </si>
  <si>
    <t>ALG 6664</t>
  </si>
  <si>
    <t>K6664</t>
  </si>
  <si>
    <t>ALG 6659</t>
  </si>
  <si>
    <t>K6659</t>
  </si>
  <si>
    <t>ALG 6661</t>
  </si>
  <si>
    <t>K6661</t>
  </si>
  <si>
    <t>ALG 6669</t>
  </si>
  <si>
    <t>K6669</t>
  </si>
  <si>
    <t>ALG 6660</t>
  </si>
  <si>
    <t>K6660</t>
  </si>
  <si>
    <t>ALG 3285</t>
  </si>
  <si>
    <t>K3285</t>
  </si>
  <si>
    <t>ALG 3286</t>
  </si>
  <si>
    <t>K3286</t>
  </si>
  <si>
    <t>ALG 3288</t>
  </si>
  <si>
    <t>K3288</t>
  </si>
  <si>
    <t>ALG 3289</t>
  </si>
  <si>
    <t>K3289</t>
  </si>
  <si>
    <t>ALG 3290</t>
  </si>
  <si>
    <t>K3290</t>
  </si>
  <si>
    <t>ALG 3291</t>
  </si>
  <si>
    <t>K3291</t>
  </si>
  <si>
    <t>ALG 3293</t>
  </si>
  <si>
    <t>K3293</t>
  </si>
  <si>
    <t>ALG 3294</t>
  </si>
  <si>
    <t>K3294</t>
  </si>
  <si>
    <t>ALG 3300</t>
  </si>
  <si>
    <t>K3300</t>
  </si>
  <si>
    <t>ALG 3301</t>
  </si>
  <si>
    <t>K3301</t>
  </si>
  <si>
    <t>K3287</t>
  </si>
  <si>
    <t>ALG 3292</t>
  </si>
  <si>
    <t>K3292</t>
  </si>
  <si>
    <t>ALG 3296</t>
  </si>
  <si>
    <t>K3296</t>
  </si>
  <si>
    <t>ALG 3305</t>
  </si>
  <si>
    <t>K3305</t>
  </si>
  <si>
    <t>NAPPA TX7-WL</t>
  </si>
  <si>
    <t>K40103</t>
  </si>
  <si>
    <t>ALG 40103</t>
  </si>
  <si>
    <t>ALG 40101</t>
  </si>
  <si>
    <t>ALG 40102</t>
  </si>
  <si>
    <t>K40101</t>
  </si>
  <si>
    <t>K40102</t>
  </si>
  <si>
    <t>CAPRI TX7-WL</t>
  </si>
  <si>
    <t>ALG 50102</t>
  </si>
  <si>
    <t>K50102</t>
  </si>
  <si>
    <t>NAPPA TX7-WS</t>
  </si>
  <si>
    <t>CAPRI TX7-WS</t>
  </si>
  <si>
    <t>ALG 50103</t>
  </si>
  <si>
    <t>K50103</t>
  </si>
  <si>
    <t>PALERMO TX7-WL</t>
  </si>
  <si>
    <t>ALG 40104</t>
  </si>
  <si>
    <t>K40104</t>
  </si>
  <si>
    <t>PALERMO TX7-WS</t>
  </si>
  <si>
    <t>ALG 50101</t>
  </si>
  <si>
    <t>ALG 50104</t>
  </si>
  <si>
    <t>K50101</t>
  </si>
  <si>
    <t>K50104</t>
  </si>
  <si>
    <t>NAPPA SA5-WL</t>
  </si>
  <si>
    <t>ALG 40108</t>
  </si>
  <si>
    <t>ALG 40112</t>
  </si>
  <si>
    <t>CAPRI WT3</t>
  </si>
  <si>
    <t>ALG 40105</t>
  </si>
  <si>
    <t>ALG 40109</t>
  </si>
  <si>
    <t>NAPPA WT5 TUPELO</t>
  </si>
  <si>
    <t>ALG 40106</t>
  </si>
  <si>
    <t>ALG 40110</t>
  </si>
  <si>
    <t>PALERMO WT5 TUPELO</t>
  </si>
  <si>
    <t>ALG 40107</t>
  </si>
  <si>
    <t>ALG 40111</t>
  </si>
  <si>
    <t>ALG 50105</t>
  </si>
  <si>
    <t>K50105</t>
  </si>
  <si>
    <t>ALG 40114</t>
  </si>
  <si>
    <t>ALG 40113</t>
  </si>
  <si>
    <t>ALG 40115</t>
  </si>
  <si>
    <t>K40115</t>
  </si>
  <si>
    <t>K40113</t>
  </si>
  <si>
    <t>K40114</t>
  </si>
  <si>
    <t>K40105</t>
  </si>
  <si>
    <t>K40107</t>
  </si>
  <si>
    <t>K40111</t>
  </si>
  <si>
    <t>K40106</t>
  </si>
  <si>
    <t>K40110</t>
  </si>
  <si>
    <t>ALG 50109</t>
  </si>
  <si>
    <t>K50109</t>
  </si>
  <si>
    <t>ALG 50106</t>
  </si>
  <si>
    <t>K50106</t>
  </si>
  <si>
    <t>PALERMO WA6-WS</t>
  </si>
  <si>
    <t>K50107</t>
  </si>
  <si>
    <t>ALG 10483</t>
  </si>
  <si>
    <t>K10483</t>
  </si>
  <si>
    <t>K10843</t>
  </si>
  <si>
    <t>ALG 10484</t>
  </si>
  <si>
    <t>K10484</t>
  </si>
  <si>
    <t>ALG 10488</t>
  </si>
  <si>
    <t>K10488</t>
  </si>
  <si>
    <t>ALG 10494</t>
  </si>
  <si>
    <t>K10494</t>
  </si>
  <si>
    <t>ALG 10495</t>
  </si>
  <si>
    <t>K10495</t>
  </si>
  <si>
    <t>ALG 10496</t>
  </si>
  <si>
    <t>K10496</t>
  </si>
  <si>
    <t>ALG 10500</t>
  </si>
  <si>
    <t>K10500</t>
  </si>
  <si>
    <t>ALG 10503</t>
  </si>
  <si>
    <t>K10503</t>
  </si>
  <si>
    <t>ALG 10508</t>
  </si>
  <si>
    <t>K10508</t>
  </si>
  <si>
    <t>K10501</t>
  </si>
  <si>
    <t>ALG 10513</t>
  </si>
  <si>
    <t>K10513</t>
  </si>
  <si>
    <t>ALG 10491</t>
  </si>
  <si>
    <t>K10491</t>
  </si>
  <si>
    <t>ALG 10492</t>
  </si>
  <si>
    <t>K10492</t>
  </si>
  <si>
    <t>ALG 10493</t>
  </si>
  <si>
    <t>K10493</t>
  </si>
  <si>
    <t>ALG 10497</t>
  </si>
  <si>
    <t>K10497</t>
  </si>
  <si>
    <t>ALG 10504</t>
  </si>
  <si>
    <t>K10504</t>
  </si>
  <si>
    <t>ALG 10505</t>
  </si>
  <si>
    <t>K10505</t>
  </si>
  <si>
    <t>ALG 10506</t>
  </si>
  <si>
    <t>K10506</t>
  </si>
  <si>
    <t>ALG 10509</t>
  </si>
  <si>
    <t>ALG 10485</t>
  </si>
  <si>
    <t>K10485</t>
  </si>
  <si>
    <t>ALG 10489</t>
  </si>
  <si>
    <t>K10489</t>
  </si>
  <si>
    <t>ALG 10486</t>
  </si>
  <si>
    <t>K10486</t>
  </si>
  <si>
    <t>ALG 10498</t>
  </si>
  <si>
    <t>K10498</t>
  </si>
  <si>
    <t>ALG 10501</t>
  </si>
  <si>
    <t>ALG 10473</t>
  </si>
  <si>
    <t>K10473</t>
  </si>
  <si>
    <t>ALG 6665</t>
  </si>
  <si>
    <t>K6665</t>
  </si>
  <si>
    <t>ALG 6666</t>
  </si>
  <si>
    <t>K6666</t>
  </si>
  <si>
    <t>ALG 6670</t>
  </si>
  <si>
    <t>K6670</t>
  </si>
  <si>
    <t>ALG 6678</t>
  </si>
  <si>
    <t>K6678</t>
  </si>
  <si>
    <t>ALG 6681</t>
  </si>
  <si>
    <t>K6681</t>
  </si>
  <si>
    <t>ALG 6686</t>
  </si>
  <si>
    <t>K6686</t>
  </si>
  <si>
    <t>ALG 6675</t>
  </si>
  <si>
    <t>K6675</t>
  </si>
  <si>
    <t>ALG 6677</t>
  </si>
  <si>
    <t>K6677</t>
  </si>
  <si>
    <t>ALG 6679</t>
  </si>
  <si>
    <t>K6679</t>
  </si>
  <si>
    <t>ALG 6682</t>
  </si>
  <si>
    <t>K6682</t>
  </si>
  <si>
    <t>ALG 6676</t>
  </si>
  <si>
    <t>K6676</t>
  </si>
  <si>
    <t>ALG 3302</t>
  </si>
  <si>
    <t>K3302</t>
  </si>
  <si>
    <t>ALG 3307</t>
  </si>
  <si>
    <t>K3307</t>
  </si>
  <si>
    <t>ALG 3310</t>
  </si>
  <si>
    <t>K3310</t>
  </si>
  <si>
    <t>ALG 3311</t>
  </si>
  <si>
    <t>K3311</t>
  </si>
  <si>
    <t>ALG 3315</t>
  </si>
  <si>
    <t>K3315</t>
  </si>
  <si>
    <t>ALG 3316</t>
  </si>
  <si>
    <t>K3316</t>
  </si>
  <si>
    <t>ALG 3312</t>
  </si>
  <si>
    <t>K3312</t>
  </si>
  <si>
    <t>CONCILIATION NAPPA TX7-IRVIN</t>
  </si>
  <si>
    <t>ALG 3304</t>
  </si>
  <si>
    <t>K3304</t>
  </si>
  <si>
    <t>ALG 3306</t>
  </si>
  <si>
    <t>K3306</t>
  </si>
  <si>
    <t>ALG 3308</t>
  </si>
  <si>
    <t>K3308</t>
  </si>
  <si>
    <t>ALG 3314</t>
  </si>
  <si>
    <t>K3314</t>
  </si>
  <si>
    <t>ALG 3321</t>
  </si>
  <si>
    <t>K3321</t>
  </si>
  <si>
    <t>ALG 3283</t>
  </si>
  <si>
    <t>K3283</t>
  </si>
  <si>
    <t>ALG 3299</t>
  </si>
  <si>
    <t>K3299</t>
  </si>
  <si>
    <t>ALG 3303</t>
  </si>
  <si>
    <t>K3303</t>
  </si>
  <si>
    <t>ALG 3313</t>
  </si>
  <si>
    <t>K3313</t>
  </si>
  <si>
    <t>CONCILIATION MCKINLEY SA5 IRVIN</t>
  </si>
  <si>
    <t>ALG 3284</t>
  </si>
  <si>
    <t>K3284</t>
  </si>
  <si>
    <t>SE USO EN WL</t>
  </si>
  <si>
    <t>ALG 10514</t>
  </si>
  <si>
    <t>K10514</t>
  </si>
  <si>
    <t>ALG 10519</t>
  </si>
  <si>
    <t>K10519</t>
  </si>
  <si>
    <t>ALG 10521</t>
  </si>
  <si>
    <t>K10521</t>
  </si>
  <si>
    <t>ALG 10525</t>
  </si>
  <si>
    <t>K10525</t>
  </si>
  <si>
    <t>K10509</t>
  </si>
  <si>
    <t>ALG 10510</t>
  </si>
  <si>
    <t>K10510</t>
  </si>
  <si>
    <t>ALG 10523</t>
  </si>
  <si>
    <t>K10523</t>
  </si>
  <si>
    <t>ALG 10515</t>
  </si>
  <si>
    <t>K10515</t>
  </si>
  <si>
    <t>ALG 10516</t>
  </si>
  <si>
    <t>K10516</t>
  </si>
  <si>
    <t>ALG 10522</t>
  </si>
  <si>
    <t>K10522</t>
  </si>
  <si>
    <t>ALG 10524</t>
  </si>
  <si>
    <t>K10524</t>
  </si>
  <si>
    <t>ALG 10511</t>
  </si>
  <si>
    <t>K10511</t>
  </si>
  <si>
    <t>ALG 10518</t>
  </si>
  <si>
    <t>K10518</t>
  </si>
  <si>
    <t>ALG 10480</t>
  </si>
  <si>
    <t>K10480</t>
  </si>
  <si>
    <t>ALG 10502</t>
  </si>
  <si>
    <t>K10502</t>
  </si>
  <si>
    <t>ALG 10512</t>
  </si>
  <si>
    <t>K10512</t>
  </si>
  <si>
    <t>ALG 10520</t>
  </si>
  <si>
    <t>K10520</t>
  </si>
  <si>
    <t>ALG 10526</t>
  </si>
  <si>
    <t>K10526</t>
  </si>
  <si>
    <t>ALG 10507</t>
  </si>
  <si>
    <t>K10507</t>
  </si>
  <si>
    <t>ALG 6688</t>
  </si>
  <si>
    <t>K6688</t>
  </si>
  <si>
    <t>ALG 6689</t>
  </si>
  <si>
    <t>K6689</t>
  </si>
  <si>
    <t>ALG 6691</t>
  </si>
  <si>
    <t>K6691</t>
  </si>
  <si>
    <t>ALG 6693</t>
  </si>
  <si>
    <t>K6693</t>
  </si>
  <si>
    <t>ALG 6694</t>
  </si>
  <si>
    <t>K6694</t>
  </si>
  <si>
    <t>ALG 6683</t>
  </si>
  <si>
    <t>K6683</t>
  </si>
  <si>
    <t>ALG 6696</t>
  </si>
  <si>
    <t>K6696</t>
  </si>
  <si>
    <t>K10528</t>
  </si>
  <si>
    <t>ALG 3318</t>
  </si>
  <si>
    <t>K3318</t>
  </si>
  <si>
    <t>ALG 3322</t>
  </si>
  <si>
    <t>K3322</t>
  </si>
  <si>
    <t>ALG 3323</t>
  </si>
  <si>
    <t>K3323</t>
  </si>
  <si>
    <t>ALG 3317</t>
  </si>
  <si>
    <t>K3317</t>
  </si>
  <si>
    <t>ALG 3320</t>
  </si>
  <si>
    <t>K3320</t>
  </si>
  <si>
    <t>ALG 10527</t>
  </si>
  <si>
    <t>K10527</t>
  </si>
  <si>
    <t>ALG 10531</t>
  </si>
  <si>
    <t>K10531</t>
  </si>
  <si>
    <t>ALG 10532</t>
  </si>
  <si>
    <t>K10532</t>
  </si>
  <si>
    <t>ALG 10533</t>
  </si>
  <si>
    <t>K10533</t>
  </si>
  <si>
    <t>ALG 10534</t>
  </si>
  <si>
    <t>K10534</t>
  </si>
  <si>
    <t>ALG 10538</t>
  </si>
  <si>
    <t>K10538</t>
  </si>
  <si>
    <t>105381-2</t>
  </si>
  <si>
    <t>ALG 10544</t>
  </si>
  <si>
    <t>K10544</t>
  </si>
  <si>
    <t>ALG 10548</t>
  </si>
  <si>
    <t>K10548</t>
  </si>
  <si>
    <t>ALG 10555</t>
  </si>
  <si>
    <t>K10555</t>
  </si>
  <si>
    <t>ALG 10561</t>
  </si>
  <si>
    <t>K10561</t>
  </si>
  <si>
    <t>ALG 10564</t>
  </si>
  <si>
    <t>K10564</t>
  </si>
  <si>
    <t>ALG 10565</t>
  </si>
  <si>
    <t>K10565</t>
  </si>
  <si>
    <t>ALG 10530</t>
  </si>
  <si>
    <t>K10530</t>
  </si>
  <si>
    <t>ALG 10535</t>
  </si>
  <si>
    <t>K10535</t>
  </si>
  <si>
    <t>ALG 10536</t>
  </si>
  <si>
    <t>K10536</t>
  </si>
  <si>
    <t>ALG 10541</t>
  </si>
  <si>
    <t>K10541</t>
  </si>
  <si>
    <t>ALG 10542</t>
  </si>
  <si>
    <t>K10542</t>
  </si>
  <si>
    <t>ALG 10549</t>
  </si>
  <si>
    <t>K10549</t>
  </si>
  <si>
    <t>ALG 10556</t>
  </si>
  <si>
    <t>K10556</t>
  </si>
  <si>
    <t>ALG 10557</t>
  </si>
  <si>
    <t>K10557</t>
  </si>
  <si>
    <t>ALG 10560</t>
  </si>
  <si>
    <t>K10560</t>
  </si>
  <si>
    <t>ALG 10562</t>
  </si>
  <si>
    <t>K10562</t>
  </si>
  <si>
    <t>ALG 10563</t>
  </si>
  <si>
    <t>K10563</t>
  </si>
  <si>
    <t>ALG 10569</t>
  </si>
  <si>
    <t>K10569</t>
  </si>
  <si>
    <t>ALG 10539</t>
  </si>
  <si>
    <t>K10539</t>
  </si>
  <si>
    <t>ALG 10545</t>
  </si>
  <si>
    <t>K10545</t>
  </si>
  <si>
    <t>ALG 10559</t>
  </si>
  <si>
    <t>K10559</t>
  </si>
  <si>
    <t>ALG 10566</t>
  </si>
  <si>
    <t>K10566</t>
  </si>
  <si>
    <t>ALG 10567</t>
  </si>
  <si>
    <t>K10567</t>
  </si>
  <si>
    <t>ALG 10568</t>
  </si>
  <si>
    <t>K10568</t>
  </si>
  <si>
    <t>ALG 10575</t>
  </si>
  <si>
    <t>K10575</t>
  </si>
  <si>
    <t>ALG 10529</t>
  </si>
  <si>
    <t>K10529</t>
  </si>
  <si>
    <t>ALG 10540</t>
  </si>
  <si>
    <t>K10540</t>
  </si>
  <si>
    <t>ALG 10550</t>
  </si>
  <si>
    <t>ALG 10570</t>
  </si>
  <si>
    <t>K10570</t>
  </si>
  <si>
    <t>ALG 10582</t>
  </si>
  <si>
    <t>K10582</t>
  </si>
  <si>
    <t>ALG 10487</t>
  </si>
  <si>
    <t>K10587</t>
  </si>
  <si>
    <t>ALG 10537</t>
  </si>
  <si>
    <t>K10537</t>
  </si>
  <si>
    <t>ALG 10543</t>
  </si>
  <si>
    <t>K10543</t>
  </si>
  <si>
    <t>ALG 6687</t>
  </si>
  <si>
    <t>K6687</t>
  </si>
  <si>
    <t>ALG 6692</t>
  </si>
  <si>
    <t>K6692</t>
  </si>
  <si>
    <t>ALG 6701</t>
  </si>
  <si>
    <t>K6701</t>
  </si>
  <si>
    <t>ALG 6705</t>
  </si>
  <si>
    <t>K6705</t>
  </si>
  <si>
    <t>ALG 6707</t>
  </si>
  <si>
    <t>K6707</t>
  </si>
  <si>
    <t>ALG 6709</t>
  </si>
  <si>
    <t>K6709</t>
  </si>
  <si>
    <t>ALG 6710</t>
  </si>
  <si>
    <t>K6710</t>
  </si>
  <si>
    <t>ALG 6716</t>
  </si>
  <si>
    <t>K6716</t>
  </si>
  <si>
    <t>ALG 6699</t>
  </si>
  <si>
    <t>K6699</t>
  </si>
  <si>
    <t>ALG 6695</t>
  </si>
  <si>
    <t>K6695</t>
  </si>
  <si>
    <t>ALG 6697</t>
  </si>
  <si>
    <t>K6697</t>
  </si>
  <si>
    <t>ALG 6702</t>
  </si>
  <si>
    <t>K6702</t>
  </si>
  <si>
    <t>ALG 6713</t>
  </si>
  <si>
    <t>K6713</t>
  </si>
  <si>
    <t>ALG 6718</t>
  </si>
  <si>
    <t>K6718</t>
  </si>
  <si>
    <t>ALG 6719</t>
  </si>
  <si>
    <t>K6719</t>
  </si>
  <si>
    <t>ALG 6714</t>
  </si>
  <si>
    <t>K6714</t>
  </si>
  <si>
    <t>ALG 6684</t>
  </si>
  <si>
    <t>K6684</t>
  </si>
  <si>
    <t>ALG 6685</t>
  </si>
  <si>
    <t>K6685</t>
  </si>
  <si>
    <t>ALG 6706</t>
  </si>
  <si>
    <t>K6706</t>
  </si>
  <si>
    <t>ALG 6708</t>
  </si>
  <si>
    <t>K6708</t>
  </si>
  <si>
    <t>ALG 6711</t>
  </si>
  <si>
    <t>K6711</t>
  </si>
  <si>
    <t>ALG 6712</t>
  </si>
  <si>
    <t>K6712</t>
  </si>
  <si>
    <t>ALG 3324</t>
  </si>
  <si>
    <t>K3324</t>
  </si>
  <si>
    <t>ALG 3325</t>
  </si>
  <si>
    <t>K3325</t>
  </si>
  <si>
    <t>ALG 3329</t>
  </si>
  <si>
    <t>K3329</t>
  </si>
  <si>
    <t>ALG 3330</t>
  </si>
  <si>
    <t>K3330</t>
  </si>
  <si>
    <t>ALG 3331</t>
  </si>
  <si>
    <t>K3331</t>
  </si>
  <si>
    <t>ALG 3332</t>
  </si>
  <si>
    <t>K3332</t>
  </si>
  <si>
    <t>ALG 3333</t>
  </si>
  <si>
    <t>K3333</t>
  </si>
  <si>
    <t>ALG 3336</t>
  </si>
  <si>
    <t>K3336</t>
  </si>
  <si>
    <t>ALG 3337</t>
  </si>
  <si>
    <t>K3337</t>
  </si>
  <si>
    <t>ALG 3340</t>
  </si>
  <si>
    <t>K3340</t>
  </si>
  <si>
    <t>ALG 3343</t>
  </si>
  <si>
    <t>K3343</t>
  </si>
  <si>
    <t>ALG 3344</t>
  </si>
  <si>
    <t>K3344</t>
  </si>
  <si>
    <t>ALG 3345</t>
  </si>
  <si>
    <t>K3345</t>
  </si>
  <si>
    <t>K33451</t>
  </si>
  <si>
    <t>K33452</t>
  </si>
  <si>
    <t>ALG 3346</t>
  </si>
  <si>
    <t>K3346</t>
  </si>
  <si>
    <t>ALG 3326</t>
  </si>
  <si>
    <t>K3326</t>
  </si>
  <si>
    <t>ALG 3334</t>
  </si>
  <si>
    <t>K3334</t>
  </si>
  <si>
    <t>ALG 3338</t>
  </si>
  <si>
    <t>K3338</t>
  </si>
  <si>
    <t>ALG 3327</t>
  </si>
  <si>
    <t>K33271</t>
  </si>
  <si>
    <t>ALG 3339</t>
  </si>
  <si>
    <t>K3339</t>
  </si>
  <si>
    <t>ALG 3342</t>
  </si>
  <si>
    <t>K3342</t>
  </si>
  <si>
    <t>ALG 3347</t>
  </si>
  <si>
    <t>K3347</t>
  </si>
  <si>
    <t>K33471</t>
  </si>
  <si>
    <t>ALG 3309</t>
  </si>
  <si>
    <t>K3309</t>
  </si>
  <si>
    <t>ALG 3335</t>
  </si>
  <si>
    <t>K3335</t>
  </si>
  <si>
    <t>ALG 3319</t>
  </si>
  <si>
    <t>K1319</t>
  </si>
  <si>
    <t>ALG 3328</t>
  </si>
  <si>
    <t>K3328</t>
  </si>
  <si>
    <t>ALG 10517</t>
  </si>
  <si>
    <t>K10517</t>
  </si>
  <si>
    <t>ALG 10573</t>
  </si>
  <si>
    <t>K10573</t>
  </si>
  <si>
    <t>ALG 10576</t>
  </si>
  <si>
    <t>K10576</t>
  </si>
  <si>
    <t>ALG 10577</t>
  </si>
  <si>
    <t>K10577</t>
  </si>
  <si>
    <t>ALG 10583</t>
  </si>
  <si>
    <t>K10583</t>
  </si>
  <si>
    <t>ALG 10589</t>
  </si>
  <si>
    <t>K10589</t>
  </si>
  <si>
    <t>ALG 10596</t>
  </si>
  <si>
    <t>K10596</t>
  </si>
  <si>
    <t>ALG 10597</t>
  </si>
  <si>
    <t>K10597</t>
  </si>
  <si>
    <t>ALG 10598</t>
  </si>
  <si>
    <t>K10598</t>
  </si>
  <si>
    <t>ALG 10571</t>
  </si>
  <si>
    <t>K10571</t>
  </si>
  <si>
    <t>ALG 10579</t>
  </si>
  <si>
    <t>K10579</t>
  </si>
  <si>
    <t>ALG 10580</t>
  </si>
  <si>
    <t>K10580</t>
  </si>
  <si>
    <t>ALG 10584</t>
  </si>
  <si>
    <t>K10584</t>
  </si>
  <si>
    <t>ALG 10585</t>
  </si>
  <si>
    <t>K10585</t>
  </si>
  <si>
    <t>ALG 10591</t>
  </si>
  <si>
    <t>K10591</t>
  </si>
  <si>
    <t>ALG 10592</t>
  </si>
  <si>
    <t>K10592</t>
  </si>
  <si>
    <t>ALG 10595</t>
  </si>
  <si>
    <t>K10595</t>
  </si>
  <si>
    <t>ALG 10599</t>
  </si>
  <si>
    <t>K10599</t>
  </si>
  <si>
    <t>ALG 10600</t>
  </si>
  <si>
    <t>K10600</t>
  </si>
  <si>
    <t>ALG 10578</t>
  </si>
  <si>
    <t>K10578</t>
  </si>
  <si>
    <t>ALG 10581</t>
  </si>
  <si>
    <t>K10581</t>
  </si>
  <si>
    <t>ALG 10593</t>
  </si>
  <si>
    <t>K10593</t>
  </si>
  <si>
    <t>ALG 10558</t>
  </si>
  <si>
    <t>K10558</t>
  </si>
  <si>
    <t>ALG 10604</t>
  </si>
  <si>
    <t>K10604</t>
  </si>
  <si>
    <t>ALG 10594</t>
  </si>
  <si>
    <t>K10594</t>
  </si>
  <si>
    <t>ALG 10602</t>
  </si>
  <si>
    <t>K10602</t>
  </si>
  <si>
    <t>ALG 10574</t>
  </si>
  <si>
    <t>K10574</t>
  </si>
  <si>
    <t>ALG 10546</t>
  </si>
  <si>
    <t>K10546</t>
  </si>
  <si>
    <t>ALG 10572</t>
  </si>
  <si>
    <t>K10572</t>
  </si>
  <si>
    <t>ALG 10586</t>
  </si>
  <si>
    <t>K10586</t>
  </si>
  <si>
    <t>ALG 6717</t>
  </si>
  <si>
    <t>K6717</t>
  </si>
  <si>
    <t>ALG 6720</t>
  </si>
  <si>
    <t>K6720</t>
  </si>
  <si>
    <t>ALG 6723</t>
  </si>
  <si>
    <t>K6723</t>
  </si>
  <si>
    <t>ALG 6724</t>
  </si>
  <si>
    <t>K6724</t>
  </si>
  <si>
    <t>ALG 6725</t>
  </si>
  <si>
    <t>K6725</t>
  </si>
  <si>
    <t>ALG 6722</t>
  </si>
  <si>
    <t>K6722</t>
  </si>
  <si>
    <t>ALG 6680</t>
  </si>
  <si>
    <t>K6680</t>
  </si>
  <si>
    <t>ALG 6698</t>
  </si>
  <si>
    <t>ALG 3348</t>
  </si>
  <si>
    <t>K3348</t>
  </si>
  <si>
    <t>ALG 3349</t>
  </si>
  <si>
    <t>K3349</t>
  </si>
  <si>
    <t>ALG 3351</t>
  </si>
  <si>
    <t>K3351</t>
  </si>
  <si>
    <t>ALG 3355</t>
  </si>
  <si>
    <t>K3355</t>
  </si>
  <si>
    <t>ALG 3357</t>
  </si>
  <si>
    <t>K3357</t>
  </si>
  <si>
    <t>ALG 3358</t>
  </si>
  <si>
    <t>K3358</t>
  </si>
  <si>
    <t>ALG 3359</t>
  </si>
  <si>
    <t>K3359</t>
  </si>
  <si>
    <t>ALG 3360</t>
  </si>
  <si>
    <t>K3360</t>
  </si>
  <si>
    <t>ALG 3361</t>
  </si>
  <si>
    <t>K3361</t>
  </si>
  <si>
    <t>ALG 3362</t>
  </si>
  <si>
    <t>K3362</t>
  </si>
  <si>
    <t>ALG 3364</t>
  </si>
  <si>
    <t>K3364</t>
  </si>
  <si>
    <t>ALG 3341</t>
  </si>
  <si>
    <t>K3341</t>
  </si>
  <si>
    <t>ALG 3350</t>
  </si>
  <si>
    <t>K3350</t>
  </si>
  <si>
    <t>ALG 3353</t>
  </si>
  <si>
    <t>K3353</t>
  </si>
  <si>
    <t>ALG 3354</t>
  </si>
  <si>
    <t>K3354</t>
  </si>
  <si>
    <t>ALG 3356</t>
  </si>
  <si>
    <t>K3356</t>
  </si>
  <si>
    <t>ALG 10601</t>
  </si>
  <si>
    <t>K10601</t>
  </si>
  <si>
    <t>ALG 6728</t>
  </si>
  <si>
    <t>K6728</t>
  </si>
  <si>
    <t>ALG 40127</t>
  </si>
  <si>
    <t>K40127</t>
  </si>
  <si>
    <t>ALG 40132</t>
  </si>
  <si>
    <t>K40132</t>
  </si>
  <si>
    <t>ALG 40135</t>
  </si>
  <si>
    <t>K40135</t>
  </si>
  <si>
    <t>ALG 10603</t>
  </si>
  <si>
    <t>ALG 10608</t>
  </si>
  <si>
    <t>K10603</t>
  </si>
  <si>
    <t>K10608</t>
  </si>
  <si>
    <t>ALG 10607</t>
  </si>
  <si>
    <t>K10607</t>
  </si>
  <si>
    <t>ALG 10612</t>
  </si>
  <si>
    <t>K10612</t>
  </si>
  <si>
    <t>ALG 10614</t>
  </si>
  <si>
    <t>K10614</t>
  </si>
  <si>
    <t>ALG 10617</t>
  </si>
  <si>
    <t>K10617</t>
  </si>
  <si>
    <t>ALG 10618</t>
  </si>
  <si>
    <t>K10618</t>
  </si>
  <si>
    <t>ALG 10624</t>
  </si>
  <si>
    <t>K10624</t>
  </si>
  <si>
    <t>ALG 10628</t>
  </si>
  <si>
    <t>K10628</t>
  </si>
  <si>
    <t>ALG 10632</t>
  </si>
  <si>
    <t>K10632</t>
  </si>
  <si>
    <t>ALG 10633</t>
  </si>
  <si>
    <t>K10633</t>
  </si>
  <si>
    <t>ALG 10640</t>
  </si>
  <si>
    <t>K10640</t>
  </si>
  <si>
    <t>ALG 10641</t>
  </si>
  <si>
    <t>K10641</t>
  </si>
  <si>
    <t>ALG 10642</t>
  </si>
  <si>
    <t>K10642</t>
  </si>
  <si>
    <t>ALG 10643</t>
  </si>
  <si>
    <t>K10643</t>
  </si>
  <si>
    <t>ALG 10644</t>
  </si>
  <si>
    <t>K10644</t>
  </si>
  <si>
    <t>ALG 10654</t>
  </si>
  <si>
    <t>K10654</t>
  </si>
  <si>
    <t>ALG 10610</t>
  </si>
  <si>
    <t>K10610</t>
  </si>
  <si>
    <t>ALG 10611</t>
  </si>
  <si>
    <t>K10611</t>
  </si>
  <si>
    <t>ALG 10613</t>
  </si>
  <si>
    <t>K10613</t>
  </si>
  <si>
    <t>ALG 10619</t>
  </si>
  <si>
    <t>K10619</t>
  </si>
  <si>
    <t>ALG 10620</t>
  </si>
  <si>
    <t>K10620</t>
  </si>
  <si>
    <t>ALG 10621</t>
  </si>
  <si>
    <t>K10621</t>
  </si>
  <si>
    <t>ALG 10625</t>
  </si>
  <si>
    <t>K10625</t>
  </si>
  <si>
    <t>ALG 10626</t>
  </si>
  <si>
    <t>K10626</t>
  </si>
  <si>
    <t>ALG 10629</t>
  </si>
  <si>
    <t>K10629</t>
  </si>
  <si>
    <t>ALG 10631</t>
  </si>
  <si>
    <t>K10631</t>
  </si>
  <si>
    <t>ALG 10635</t>
  </si>
  <si>
    <t>K10635</t>
  </si>
  <si>
    <t>ALG 10646</t>
  </si>
  <si>
    <t>ALG 10647</t>
  </si>
  <si>
    <t>K10647</t>
  </si>
  <si>
    <t>ALG 10648</t>
  </si>
  <si>
    <t>K10648</t>
  </si>
  <si>
    <t>ALG 10649</t>
  </si>
  <si>
    <t>K10649</t>
  </si>
  <si>
    <t>ALG 10650</t>
  </si>
  <si>
    <t>K10650</t>
  </si>
  <si>
    <t>ALG 10651</t>
  </si>
  <si>
    <t>K10651</t>
  </si>
  <si>
    <t>ALG 10652</t>
  </si>
  <si>
    <t>K10652</t>
  </si>
  <si>
    <t>ALG 10655</t>
  </si>
  <si>
    <t>K10655</t>
  </si>
  <si>
    <t>ALG 10656</t>
  </si>
  <si>
    <t>K10656</t>
  </si>
  <si>
    <t>ALG 10660</t>
  </si>
  <si>
    <t>K10660</t>
  </si>
  <si>
    <t>ALG 10661</t>
  </si>
  <si>
    <t>K10661</t>
  </si>
  <si>
    <t>ALG 10590</t>
  </si>
  <si>
    <t>K10590</t>
  </si>
  <si>
    <t>ALG 10615</t>
  </si>
  <si>
    <t>K10615</t>
  </si>
  <si>
    <t>ALG 10616</t>
  </si>
  <si>
    <t>K10616</t>
  </si>
  <si>
    <t>ALG 10634</t>
  </si>
  <si>
    <t>K10634</t>
  </si>
  <si>
    <t>ALG 10645</t>
  </si>
  <si>
    <t>ALG 10609</t>
  </si>
  <si>
    <t>K10609</t>
  </si>
  <si>
    <t>ALG 10623</t>
  </si>
  <si>
    <t>K10623</t>
  </si>
  <si>
    <t>ALG 10630</t>
  </si>
  <si>
    <t>K10630</t>
  </si>
  <si>
    <t>ALG 10653</t>
  </si>
  <si>
    <t>K10653</t>
  </si>
  <si>
    <t>ALG 10658</t>
  </si>
  <si>
    <t>K10658</t>
  </si>
  <si>
    <t>ALG 10622</t>
  </si>
  <si>
    <t>K10622</t>
  </si>
  <si>
    <t>ALG 10627</t>
  </si>
  <si>
    <t>K10627</t>
  </si>
  <si>
    <t>ALG 10639</t>
  </si>
  <si>
    <t>K10639</t>
  </si>
  <si>
    <t>ALG 10638</t>
  </si>
  <si>
    <t>K10638</t>
  </si>
  <si>
    <t>ALG 10659</t>
  </si>
  <si>
    <t>K10659</t>
  </si>
  <si>
    <t>ALG 10547</t>
  </si>
  <si>
    <t>K10547</t>
  </si>
  <si>
    <t>ALG 6726</t>
  </si>
  <si>
    <t>K6726</t>
  </si>
  <si>
    <t>ALG 6655</t>
  </si>
  <si>
    <t>K6655</t>
  </si>
  <si>
    <t>ALG 6739</t>
  </si>
  <si>
    <t>K6739</t>
  </si>
  <si>
    <t>ALG 6742</t>
  </si>
  <si>
    <t>K6742</t>
  </si>
  <si>
    <t>ALG 6727</t>
  </si>
  <si>
    <t>K6727</t>
  </si>
  <si>
    <t>ALG 6735</t>
  </si>
  <si>
    <t>K6735</t>
  </si>
  <si>
    <t>ALG 6736</t>
  </si>
  <si>
    <t>K6736</t>
  </si>
  <si>
    <t>ALG 6740</t>
  </si>
  <si>
    <t>K6740</t>
  </si>
  <si>
    <t>ALG 6690</t>
  </si>
  <si>
    <t>K6690</t>
  </si>
  <si>
    <t>ALG 6733</t>
  </si>
  <si>
    <t>K6733</t>
  </si>
  <si>
    <t>ALG 6738</t>
  </si>
  <si>
    <t>K6738</t>
  </si>
  <si>
    <t>ALG 6741</t>
  </si>
  <si>
    <t>K6741</t>
  </si>
  <si>
    <t>ALG 6749</t>
  </si>
  <si>
    <t>K6749</t>
  </si>
  <si>
    <t>ALG 3367</t>
  </si>
  <si>
    <t>K3367</t>
  </si>
  <si>
    <t>ALG 3368</t>
  </si>
  <si>
    <t>K3368</t>
  </si>
  <si>
    <t>ALG 3369</t>
  </si>
  <si>
    <t>K3369</t>
  </si>
  <si>
    <t>ALG 3370</t>
  </si>
  <si>
    <t>K3370</t>
  </si>
  <si>
    <t>ALG 3371</t>
  </si>
  <si>
    <t>K3371</t>
  </si>
  <si>
    <t>ALG 3372</t>
  </si>
  <si>
    <t>K3372</t>
  </si>
  <si>
    <t>K6672</t>
  </si>
  <si>
    <t>ALG3373</t>
  </si>
  <si>
    <t>ALG 3374</t>
  </si>
  <si>
    <t>K3374</t>
  </si>
  <si>
    <t>ALG 3375</t>
  </si>
  <si>
    <t>ALG 3365</t>
  </si>
  <si>
    <t>K3365</t>
  </si>
  <si>
    <t>ALG 3379</t>
  </si>
  <si>
    <t>K3379</t>
  </si>
  <si>
    <t>ALG 3380</t>
  </si>
  <si>
    <t>K3380</t>
  </si>
  <si>
    <t>ALG 3363</t>
  </si>
  <si>
    <t>K3363</t>
  </si>
  <si>
    <t>ALG 3366</t>
  </si>
  <si>
    <t>K3366</t>
  </si>
  <si>
    <t>ALG 3378</t>
  </si>
  <si>
    <t>K3378</t>
  </si>
  <si>
    <t>ALG 3383</t>
  </si>
  <si>
    <t>K3383</t>
  </si>
  <si>
    <t>ALG 40140</t>
  </si>
  <si>
    <t>K40140</t>
  </si>
  <si>
    <t>ALG 40133</t>
  </si>
  <si>
    <t>K40133</t>
  </si>
  <si>
    <t>ALG 40134</t>
  </si>
  <si>
    <t>K40134</t>
  </si>
  <si>
    <t>ALG 40136</t>
  </si>
  <si>
    <t>K40136</t>
  </si>
  <si>
    <t>ALG 40147</t>
  </si>
  <si>
    <t>K40147</t>
  </si>
  <si>
    <t>ALG 40122</t>
  </si>
  <si>
    <t>K40122</t>
  </si>
  <si>
    <t>ALG 40125</t>
  </si>
  <si>
    <t>K40125</t>
  </si>
  <si>
    <t>ALG 40145</t>
  </si>
  <si>
    <t>K40145</t>
  </si>
  <si>
    <t>K40108</t>
  </si>
  <si>
    <t>ALG 1593</t>
  </si>
  <si>
    <t>K1593</t>
  </si>
  <si>
    <t>ALG 40121</t>
  </si>
  <si>
    <t>K40121</t>
  </si>
  <si>
    <t>ALG 40141</t>
  </si>
  <si>
    <t>K40141</t>
  </si>
  <si>
    <t>AGL 40154</t>
  </si>
  <si>
    <t>K40154</t>
  </si>
  <si>
    <t>K40119</t>
  </si>
  <si>
    <t>ALG 40119</t>
  </si>
  <si>
    <t>ALG 40144</t>
  </si>
  <si>
    <t>K40144</t>
  </si>
  <si>
    <t>AGL 40149</t>
  </si>
  <si>
    <t>K40149</t>
  </si>
  <si>
    <t>ALG 40123</t>
  </si>
  <si>
    <t>K40123</t>
  </si>
  <si>
    <t>ALG 40142</t>
  </si>
  <si>
    <t>K40142</t>
  </si>
  <si>
    <t>ALG 40124</t>
  </si>
  <si>
    <t>K40124</t>
  </si>
  <si>
    <t>ALG 40143</t>
  </si>
  <si>
    <t>K40143</t>
  </si>
  <si>
    <t>ALG 50111</t>
  </si>
  <si>
    <t>K50111</t>
  </si>
  <si>
    <t>ALG 50115</t>
  </si>
  <si>
    <t>K50115</t>
  </si>
  <si>
    <t>ALG 50107</t>
  </si>
  <si>
    <t>ALG 50108</t>
  </si>
  <si>
    <t>K50108</t>
  </si>
  <si>
    <t>ALG 50116</t>
  </si>
  <si>
    <t>K50116</t>
  </si>
  <si>
    <t>CAPRI SD4-WS</t>
  </si>
  <si>
    <t>ALG 2270</t>
  </si>
  <si>
    <t>K2270</t>
  </si>
  <si>
    <t>ALG 50112</t>
  </si>
  <si>
    <t>K50112</t>
  </si>
  <si>
    <t>PALERMO SD4-WS</t>
  </si>
  <si>
    <t>ALG 2164</t>
  </si>
  <si>
    <t>K2164</t>
  </si>
  <si>
    <t>ALG 2323</t>
  </si>
  <si>
    <t>K2323</t>
  </si>
  <si>
    <t>ALG 1166</t>
  </si>
  <si>
    <t>K1166</t>
  </si>
  <si>
    <t>ALG 50113</t>
  </si>
  <si>
    <t>K50113</t>
  </si>
  <si>
    <t>ALG 50114</t>
  </si>
  <si>
    <t>K50114</t>
  </si>
  <si>
    <t>ALG 50117</t>
  </si>
  <si>
    <t>K50117</t>
  </si>
  <si>
    <t>CONCILIACION LK5 NAPPA</t>
  </si>
  <si>
    <t>ALG 3258</t>
  </si>
  <si>
    <t>K3258</t>
  </si>
  <si>
    <t>ALG 4007</t>
  </si>
  <si>
    <t>K4007</t>
  </si>
  <si>
    <t>ALG 6721</t>
  </si>
  <si>
    <t>K6721</t>
  </si>
  <si>
    <t>K10646</t>
  </si>
  <si>
    <t>ALG 10636</t>
  </si>
  <si>
    <t>K10636</t>
  </si>
  <si>
    <t>ALG 10637</t>
  </si>
  <si>
    <t>K10637</t>
  </si>
  <si>
    <t>ALG 10662</t>
  </si>
  <si>
    <t>K10662</t>
  </si>
  <si>
    <t>ALG 10669</t>
  </si>
  <si>
    <t>K10669</t>
  </si>
  <si>
    <t>ALG 10674</t>
  </si>
  <si>
    <t>K10674</t>
  </si>
  <si>
    <t>ALG 10678</t>
  </si>
  <si>
    <t>K10678</t>
  </si>
  <si>
    <t>ALG 10664</t>
  </si>
  <si>
    <t>K10664</t>
  </si>
  <si>
    <t>ALG 10665</t>
  </si>
  <si>
    <t>ALG 10672</t>
  </si>
  <si>
    <t>ALG 10668</t>
  </si>
  <si>
    <t>K10668</t>
  </si>
  <si>
    <t>ALG 10666</t>
  </si>
  <si>
    <t>K10666</t>
  </si>
  <si>
    <t>ALG 10587</t>
  </si>
  <si>
    <t>ALG 10679</t>
  </si>
  <si>
    <t>K10679</t>
  </si>
  <si>
    <t>ALG 10693</t>
  </si>
  <si>
    <t>K10693</t>
  </si>
  <si>
    <t>ALG 10657</t>
  </si>
  <si>
    <t>K10657</t>
  </si>
  <si>
    <t>ALG 10663</t>
  </si>
  <si>
    <t>K10663</t>
  </si>
  <si>
    <t>ALG 10667</t>
  </si>
  <si>
    <t>K10667</t>
  </si>
  <si>
    <t>ALG 10671</t>
  </si>
  <si>
    <t>K10671</t>
  </si>
  <si>
    <t>ALG 10673</t>
  </si>
  <si>
    <t>K10673</t>
  </si>
  <si>
    <t>ALG 10675</t>
  </si>
  <si>
    <t>K10675</t>
  </si>
  <si>
    <t>ALG 10680</t>
  </si>
  <si>
    <t>K10680</t>
  </si>
  <si>
    <t>ALG 10681</t>
  </si>
  <si>
    <t>K10681</t>
  </si>
  <si>
    <t>ALG 10683</t>
  </si>
  <si>
    <t>K10683</t>
  </si>
  <si>
    <t>ALG 10687</t>
  </si>
  <si>
    <t>K10687</t>
  </si>
  <si>
    <t>ALG 10688</t>
  </si>
  <si>
    <t>K10688</t>
  </si>
  <si>
    <t>ALG 10689</t>
  </si>
  <si>
    <t>K10689</t>
  </si>
  <si>
    <t>ALG 10690</t>
  </si>
  <si>
    <t>K10690</t>
  </si>
  <si>
    <t>ALG 10691</t>
  </si>
  <si>
    <t>K10691</t>
  </si>
  <si>
    <t>ALG 10692</t>
  </si>
  <si>
    <t>K10692</t>
  </si>
  <si>
    <t>ALG 10696</t>
  </si>
  <si>
    <t>K10696</t>
  </si>
  <si>
    <t>ALG 10670</t>
  </si>
  <si>
    <t>K10670</t>
  </si>
  <si>
    <t>ALG 10685</t>
  </si>
  <si>
    <t>K10685</t>
  </si>
  <si>
    <t>ALG 10676</t>
  </si>
  <si>
    <t>K10676</t>
  </si>
  <si>
    <t>ALG 10682</t>
  </si>
  <si>
    <t>K10682</t>
  </si>
  <si>
    <t>ALG 10684</t>
  </si>
  <si>
    <t>K10684</t>
  </si>
  <si>
    <t>ALG 10677</t>
  </si>
  <si>
    <t>K10677</t>
  </si>
  <si>
    <t>ALG 6734</t>
  </si>
  <si>
    <t>K6734</t>
  </si>
  <si>
    <t>ALG 6756</t>
  </si>
  <si>
    <t>K6756</t>
  </si>
  <si>
    <t>ALG 6757</t>
  </si>
  <si>
    <t>K6757</t>
  </si>
  <si>
    <t>ALG 6766</t>
  </si>
  <si>
    <t>K6766</t>
  </si>
  <si>
    <t>ALG 6768</t>
  </si>
  <si>
    <t>K6768</t>
  </si>
  <si>
    <t>ALG 6744</t>
  </si>
  <si>
    <t>K6744</t>
  </si>
  <si>
    <t>ALG 6745</t>
  </si>
  <si>
    <t>K6745</t>
  </si>
  <si>
    <t>ALG 6754</t>
  </si>
  <si>
    <t>K6754</t>
  </si>
  <si>
    <t>ALG 6750</t>
  </si>
  <si>
    <t>K6750</t>
  </si>
  <si>
    <t>ALG 6758</t>
  </si>
  <si>
    <t>K6758</t>
  </si>
  <si>
    <t>ALG 6759</t>
  </si>
  <si>
    <t>K6759</t>
  </si>
  <si>
    <t>ALG 6765</t>
  </si>
  <si>
    <t>K6765</t>
  </si>
  <si>
    <t>ALG 6767</t>
  </si>
  <si>
    <t>K6767</t>
  </si>
  <si>
    <t>ALG 6737</t>
  </si>
  <si>
    <t>K6737</t>
  </si>
  <si>
    <t>ALG 6743</t>
  </si>
  <si>
    <t>K6743</t>
  </si>
  <si>
    <t>ALG 6753</t>
  </si>
  <si>
    <t>K6753</t>
  </si>
  <si>
    <t>ALG 6746</t>
  </si>
  <si>
    <t>K6746</t>
  </si>
  <si>
    <t>ALG 6747</t>
  </si>
  <si>
    <t>K6747</t>
  </si>
  <si>
    <t>ALG 6748</t>
  </si>
  <si>
    <t>K6748</t>
  </si>
  <si>
    <t>ALG 6760</t>
  </si>
  <si>
    <t>K6760</t>
  </si>
  <si>
    <t>ALG 6761</t>
  </si>
  <si>
    <t>K67611</t>
  </si>
  <si>
    <t>K3373</t>
  </si>
  <si>
    <t>ALG 3376</t>
  </si>
  <si>
    <t>K3376</t>
  </si>
  <si>
    <t>ALG 3377</t>
  </si>
  <si>
    <t>K3377</t>
  </si>
  <si>
    <t>ALG3385</t>
  </si>
  <si>
    <t>K3385</t>
  </si>
  <si>
    <t>ALG 3386</t>
  </si>
  <si>
    <t>K3386</t>
  </si>
  <si>
    <t>ALG 3387</t>
  </si>
  <si>
    <t>K3387</t>
  </si>
  <si>
    <t>ALG 3391</t>
  </si>
  <si>
    <t>K3391</t>
  </si>
  <si>
    <t>ALG 3392</t>
  </si>
  <si>
    <t>K3392</t>
  </si>
  <si>
    <t>ALG 3393</t>
  </si>
  <si>
    <t>K3393</t>
  </si>
  <si>
    <t>ALG 3394</t>
  </si>
  <si>
    <t>K3394</t>
  </si>
  <si>
    <t>ALG 3395</t>
  </si>
  <si>
    <t>K3395</t>
  </si>
  <si>
    <t>ALG 3399</t>
  </si>
  <si>
    <t>K3399</t>
  </si>
  <si>
    <t>ALG 3402</t>
  </si>
  <si>
    <t>K3402</t>
  </si>
  <si>
    <t>ALG 3403</t>
  </si>
  <si>
    <t>K3403</t>
  </si>
  <si>
    <t>ALG 3381</t>
  </si>
  <si>
    <t>K3381</t>
  </si>
  <si>
    <t>ALG 3388</t>
  </si>
  <si>
    <t>K3388</t>
  </si>
  <si>
    <t>ALG 3396</t>
  </si>
  <si>
    <t>K3396</t>
  </si>
  <si>
    <t>ALG 3400</t>
  </si>
  <si>
    <t>K3400</t>
  </si>
  <si>
    <t>ALG 3384</t>
  </si>
  <si>
    <t>K3384</t>
  </si>
  <si>
    <t>ALG 3390</t>
  </si>
  <si>
    <t>K3390</t>
  </si>
  <si>
    <t>ALG 3397</t>
  </si>
  <si>
    <t>K3397</t>
  </si>
  <si>
    <t>ALG 3401</t>
  </si>
  <si>
    <t>K3401</t>
  </si>
  <si>
    <t>ALG 3352</t>
  </si>
  <si>
    <t>K3352</t>
  </si>
  <si>
    <t>K10665</t>
  </si>
  <si>
    <t>Crust</t>
  </si>
  <si>
    <t>ALG 80002</t>
  </si>
  <si>
    <t>K80002</t>
  </si>
  <si>
    <t>ALG 80004</t>
  </si>
  <si>
    <t>K80004</t>
  </si>
  <si>
    <t>ALG 80005</t>
  </si>
  <si>
    <t>K80005</t>
  </si>
  <si>
    <t>K3375</t>
  </si>
  <si>
    <t>ALG 10686</t>
  </si>
  <si>
    <t>K10686</t>
  </si>
  <si>
    <t>ALG 10694</t>
  </si>
  <si>
    <t>K10694</t>
  </si>
  <si>
    <t>ALG 10700</t>
  </si>
  <si>
    <t>K10700</t>
  </si>
  <si>
    <t>ALG 10701</t>
  </si>
  <si>
    <t>K10701</t>
  </si>
  <si>
    <t>ALG 10699</t>
  </si>
  <si>
    <t>K10699</t>
  </si>
  <si>
    <t>ALG 10703</t>
  </si>
  <si>
    <t>K10703</t>
  </si>
  <si>
    <t>ALG 10705</t>
  </si>
  <si>
    <t>K10705</t>
  </si>
  <si>
    <t>ALG 10695</t>
  </si>
  <si>
    <t>K10695</t>
  </si>
  <si>
    <t>ALG 10697</t>
  </si>
  <si>
    <t>K10697</t>
  </si>
  <si>
    <t>ALG 10704</t>
  </si>
  <si>
    <t>K10704</t>
  </si>
  <si>
    <t>ALG 10698</t>
  </si>
  <si>
    <t>K10698</t>
  </si>
  <si>
    <t>ALG 6772</t>
  </si>
  <si>
    <t>K6772</t>
  </si>
  <si>
    <t>ALG 6755</t>
  </si>
  <si>
    <t>K6755</t>
  </si>
  <si>
    <t>ALG 6762</t>
  </si>
  <si>
    <t>K6762</t>
  </si>
  <si>
    <t>ALG 6769</t>
  </si>
  <si>
    <t>K6769</t>
  </si>
  <si>
    <t>ALG 6751</t>
  </si>
  <si>
    <t>K6751</t>
  </si>
  <si>
    <t>ALG 6770</t>
  </si>
  <si>
    <t>K6770</t>
  </si>
  <si>
    <t>ALG 6771</t>
  </si>
  <si>
    <t>K6771</t>
  </si>
  <si>
    <t>ALG 3398</t>
  </si>
  <si>
    <t>K3398</t>
  </si>
  <si>
    <t>ALG 3410</t>
  </si>
  <si>
    <t>K3410</t>
  </si>
  <si>
    <t>ALG 3411</t>
  </si>
  <si>
    <t>K3411</t>
  </si>
  <si>
    <t>K34111</t>
  </si>
  <si>
    <t>ALG 3405</t>
  </si>
  <si>
    <t>K3405</t>
  </si>
  <si>
    <t>ALG 3409</t>
  </si>
  <si>
    <t>K3409</t>
  </si>
  <si>
    <t>ALG 3412</t>
  </si>
  <si>
    <t>K3412</t>
  </si>
  <si>
    <t>ALG 3382</t>
  </si>
  <si>
    <t>K3382</t>
  </si>
  <si>
    <t>ALG 40150</t>
  </si>
  <si>
    <t>K40150</t>
  </si>
  <si>
    <t>ALG 40158</t>
  </si>
  <si>
    <t>K40158</t>
  </si>
  <si>
    <t>ALG 40164</t>
  </si>
  <si>
    <t>K40164</t>
  </si>
  <si>
    <t>ALG 40168</t>
  </si>
  <si>
    <t>K40168</t>
  </si>
  <si>
    <t>ALG 40169</t>
  </si>
  <si>
    <t>K40169</t>
  </si>
  <si>
    <t>ALG 40177</t>
  </si>
  <si>
    <t>K40177</t>
  </si>
  <si>
    <t>ALG 40179</t>
  </si>
  <si>
    <t>K401791</t>
  </si>
  <si>
    <t>ALG 40155</t>
  </si>
  <si>
    <t>K40155</t>
  </si>
  <si>
    <t>ALG 40157</t>
  </si>
  <si>
    <t xml:space="preserve">K40157 </t>
  </si>
  <si>
    <t>ALG 40159</t>
  </si>
  <si>
    <t>K40159</t>
  </si>
  <si>
    <t>ALG40166</t>
  </si>
  <si>
    <t>K40166</t>
  </si>
  <si>
    <t>ALG40167</t>
  </si>
  <si>
    <t>K40167</t>
  </si>
  <si>
    <t>ALG40172</t>
  </si>
  <si>
    <t xml:space="preserve">K40172 </t>
  </si>
  <si>
    <t>ALG40173</t>
  </si>
  <si>
    <t>K40173</t>
  </si>
  <si>
    <t>ALG40175</t>
  </si>
  <si>
    <t>K40175</t>
  </si>
  <si>
    <t>ALG40183</t>
  </si>
  <si>
    <t>K40183</t>
  </si>
  <si>
    <t>ALG 40152</t>
  </si>
  <si>
    <t xml:space="preserve">K40152 </t>
  </si>
  <si>
    <t>ALG 40160</t>
  </si>
  <si>
    <t>K40160</t>
  </si>
  <si>
    <t>ALG 40162</t>
  </si>
  <si>
    <t>K40162</t>
  </si>
  <si>
    <t>AGL 40156</t>
  </si>
  <si>
    <t xml:space="preserve">K40156 </t>
  </si>
  <si>
    <t>ALG 40161</t>
  </si>
  <si>
    <t>K40161</t>
  </si>
  <si>
    <t>ALG 40163</t>
  </si>
  <si>
    <t>K40163</t>
  </si>
  <si>
    <t>ALG 40165</t>
  </si>
  <si>
    <t xml:space="preserve">K40165 </t>
  </si>
  <si>
    <t>ALG 40174</t>
  </si>
  <si>
    <t>K40174</t>
  </si>
  <si>
    <t>ALG 40184</t>
  </si>
  <si>
    <t>K40184</t>
  </si>
  <si>
    <t>ALG 40151</t>
  </si>
  <si>
    <t>K40151</t>
  </si>
  <si>
    <t>ALG 40153</t>
  </si>
  <si>
    <t>K40153</t>
  </si>
  <si>
    <t>ALG 40178</t>
  </si>
  <si>
    <t>K40178</t>
  </si>
  <si>
    <t>ALG 10702</t>
  </si>
  <si>
    <t>K10702</t>
  </si>
  <si>
    <t>ALG 10708</t>
  </si>
  <si>
    <t>K10708</t>
  </si>
  <si>
    <t>ALG 6773</t>
  </si>
  <si>
    <t>K6773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</si>
</sst>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#,##0.00###;\-#,##0.00###"/>
    <numFmt numFmtId="165" formatCode="0.0"/>
    <numFmt numFmtId="166" formatCode="_(* #,##0_);_(* \(#,##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26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Tahoma"/>
      <family val="2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36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8" xfId="0" applyFont="1" applyBorder="1" applyAlignment="1">
      <alignment horizontal="center" wrapText="1"/>
    </xf>
    <xf numFmtId="0" fontId="2" fillId="0" borderId="8" xfId="0" applyFont="1" applyBorder="1"/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0" xfId="0" applyBorder="1"/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2" fillId="0" borderId="15" xfId="0" applyFont="1" applyBorder="1" applyAlignment="1">
      <alignment horizontal="center" wrapText="1"/>
    </xf>
    <xf numFmtId="0" fontId="0" fillId="2" borderId="5" xfId="0" applyFill="1" applyBorder="1" applyAlignment="1">
      <alignment horizont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10" fontId="0" fillId="2" borderId="14" xfId="1" applyNumberFormat="1" applyFont="1" applyFill="1" applyBorder="1" applyAlignment="1">
      <alignment horizont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11" xfId="1" applyNumberFormat="1" applyFont="1" applyFill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10" fontId="0" fillId="2" borderId="13" xfId="1" applyNumberFormat="1" applyFont="1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3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5" borderId="3" xfId="0" applyFill="1" applyBorder="1" applyAlignment="1">
      <alignment horizontal="center" vertical="center"/>
    </xf>
    <xf numFmtId="0" fontId="0" fillId="5" borderId="3" xfId="0" applyFill="1" applyBorder="1"/>
    <xf numFmtId="0" fontId="0" fillId="5" borderId="3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2" borderId="14" xfId="0" applyFill="1" applyBorder="1" applyAlignment="1">
      <alignment horizontal="center"/>
    </xf>
    <xf numFmtId="10" fontId="0" fillId="2" borderId="14" xfId="1" applyNumberFormat="1" applyFont="1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7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wrapText="1"/>
    </xf>
    <xf numFmtId="0" fontId="2" fillId="6" borderId="8" xfId="0" applyFont="1" applyFill="1" applyBorder="1"/>
    <xf numFmtId="0" fontId="2" fillId="6" borderId="0" xfId="0" applyFont="1" applyFill="1" applyAlignment="1">
      <alignment vertical="center"/>
    </xf>
    <xf numFmtId="2" fontId="0" fillId="3" borderId="1" xfId="0" applyNumberFormat="1" applyFill="1" applyBorder="1" applyAlignment="1">
      <alignment horizontal="center" vertical="center"/>
    </xf>
    <xf numFmtId="0" fontId="0" fillId="3" borderId="12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4" fontId="5" fillId="0" borderId="4" xfId="0" applyNumberFormat="1" applyFont="1" applyBorder="1" applyAlignment="1">
      <alignment horizontal="center"/>
    </xf>
    <xf numFmtId="0" fontId="0" fillId="0" borderId="10" xfId="0" applyBorder="1" applyAlignment="1">
      <alignment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4" xfId="0" applyFill="1" applyBorder="1" applyAlignment="1">
      <alignment horizontal="center" vertical="center"/>
    </xf>
    <xf numFmtId="0" fontId="0" fillId="3" borderId="6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8" xfId="0" applyFill="1" applyBorder="1" applyAlignment="1">
      <alignment horizontal="center"/>
    </xf>
    <xf numFmtId="0" fontId="2" fillId="0" borderId="15" xfId="0" applyFont="1" applyBorder="1"/>
    <xf numFmtId="0" fontId="2" fillId="6" borderId="12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6" borderId="13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 wrapText="1"/>
    </xf>
    <xf numFmtId="0" fontId="2" fillId="6" borderId="15" xfId="0" applyFont="1" applyFill="1" applyBorder="1"/>
    <xf numFmtId="0" fontId="2" fillId="6" borderId="7" xfId="0" applyFont="1" applyFill="1" applyBorder="1"/>
    <xf numFmtId="0" fontId="6" fillId="0" borderId="0" xfId="0" applyFont="1"/>
    <xf numFmtId="0" fontId="2" fillId="7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 wrapText="1"/>
    </xf>
    <xf numFmtId="0" fontId="0" fillId="7" borderId="5" xfId="0" applyFill="1" applyBorder="1" applyAlignment="1">
      <alignment horizontal="center"/>
    </xf>
    <xf numFmtId="0" fontId="2" fillId="7" borderId="8" xfId="0" applyFont="1" applyFill="1" applyBorder="1" applyAlignment="1">
      <alignment horizontal="center" wrapText="1"/>
    </xf>
    <xf numFmtId="0" fontId="2" fillId="7" borderId="8" xfId="0" applyFont="1" applyFill="1" applyBorder="1"/>
    <xf numFmtId="1" fontId="0" fillId="0" borderId="7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4" fontId="5" fillId="0" borderId="13" xfId="0" applyNumberFormat="1" applyFont="1" applyBorder="1" applyAlignment="1">
      <alignment horizontal="center"/>
    </xf>
    <xf numFmtId="0" fontId="3" fillId="0" borderId="0" xfId="0" applyFont="1"/>
    <xf numFmtId="0" fontId="2" fillId="6" borderId="4" xfId="0" applyFont="1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4" xfId="0" applyNumberFormat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/>
    </xf>
    <xf numFmtId="0" fontId="2" fillId="7" borderId="15" xfId="0" applyFont="1" applyFill="1" applyBorder="1" applyAlignment="1">
      <alignment horizontal="center" wrapText="1"/>
    </xf>
    <xf numFmtId="0" fontId="2" fillId="7" borderId="15" xfId="0" applyFont="1" applyFill="1" applyBorder="1"/>
    <xf numFmtId="1" fontId="0" fillId="4" borderId="1" xfId="0" applyNumberForma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2" fillId="6" borderId="13" xfId="0" applyFont="1" applyFill="1" applyBorder="1"/>
    <xf numFmtId="0" fontId="5" fillId="0" borderId="10" xfId="0" applyFont="1" applyBorder="1" applyAlignment="1">
      <alignment horizontal="center"/>
    </xf>
    <xf numFmtId="4" fontId="5" fillId="0" borderId="11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4" fontId="5" fillId="0" borderId="7" xfId="0" applyNumberFormat="1" applyFont="1" applyBorder="1" applyAlignment="1">
      <alignment horizontal="center"/>
    </xf>
    <xf numFmtId="4" fontId="5" fillId="2" borderId="14" xfId="0" applyNumberFormat="1" applyFont="1" applyFill="1" applyBorder="1" applyAlignment="1">
      <alignment horizontal="center"/>
    </xf>
    <xf numFmtId="4" fontId="5" fillId="2" borderId="5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43" fontId="0" fillId="0" borderId="0" xfId="2" applyFont="1"/>
    <xf numFmtId="0" fontId="0" fillId="2" borderId="0" xfId="0" applyFill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3" xfId="0" applyFont="1" applyBorder="1"/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10" xfId="0" applyFont="1" applyBorder="1"/>
    <xf numFmtId="43" fontId="0" fillId="0" borderId="0" xfId="0" applyNumberFormat="1"/>
    <xf numFmtId="10" fontId="0" fillId="2" borderId="5" xfId="1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10" fontId="0" fillId="2" borderId="11" xfId="1" applyNumberFormat="1" applyFont="1" applyFill="1" applyBorder="1" applyAlignment="1">
      <alignment horizontal="center"/>
    </xf>
    <xf numFmtId="4" fontId="5" fillId="0" borderId="0" xfId="0" applyNumberFormat="1" applyFont="1" applyAlignment="1">
      <alignment horizontal="center"/>
    </xf>
    <xf numFmtId="4" fontId="5" fillId="0" borderId="10" xfId="0" applyNumberFormat="1" applyFont="1" applyBorder="1" applyAlignment="1">
      <alignment horizontal="center"/>
    </xf>
    <xf numFmtId="2" fontId="0" fillId="2" borderId="14" xfId="0" applyNumberFormat="1" applyFill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2" borderId="14" xfId="0" applyNumberFormat="1" applyFill="1" applyBorder="1" applyAlignment="1">
      <alignment horizontal="center" vertical="center"/>
    </xf>
    <xf numFmtId="4" fontId="5" fillId="0" borderId="3" xfId="0" applyNumberFormat="1" applyFont="1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0" fillId="4" borderId="10" xfId="0" applyNumberForma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/>
    </xf>
    <xf numFmtId="10" fontId="0" fillId="2" borderId="13" xfId="1" applyNumberFormat="1" applyFont="1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2" fillId="6" borderId="6" xfId="0" applyFont="1" applyFill="1" applyBorder="1" applyAlignment="1">
      <alignment horizontal="center" wrapText="1"/>
    </xf>
    <xf numFmtId="43" fontId="2" fillId="0" borderId="0" xfId="2" applyFont="1"/>
    <xf numFmtId="0" fontId="2" fillId="0" borderId="0" xfId="0" applyFont="1"/>
    <xf numFmtId="1" fontId="0" fillId="0" borderId="10" xfId="0" applyNumberFormat="1" applyBorder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/>
    </xf>
    <xf numFmtId="0" fontId="0" fillId="2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0" fillId="3" borderId="10" xfId="0" applyNumberFormat="1" applyFill="1" applyBorder="1" applyAlignment="1">
      <alignment horizontal="center" vertical="center"/>
    </xf>
    <xf numFmtId="49" fontId="0" fillId="3" borderId="0" xfId="0" applyNumberFormat="1" applyFill="1" applyAlignment="1">
      <alignment horizontal="center" vertical="center"/>
    </xf>
    <xf numFmtId="49" fontId="0" fillId="3" borderId="3" xfId="0" applyNumberForma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/>
    </xf>
    <xf numFmtId="1" fontId="0" fillId="3" borderId="10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9" fillId="0" borderId="0" xfId="0" applyFont="1"/>
    <xf numFmtId="10" fontId="0" fillId="2" borderId="5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8" borderId="9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1" fontId="0" fillId="0" borderId="10" xfId="0" applyNumberForma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4" xfId="0" applyBorder="1"/>
    <xf numFmtId="1" fontId="0" fillId="0" borderId="3" xfId="0" applyNumberFormat="1" applyBorder="1" applyAlignment="1">
      <alignment horizontal="center" vertical="center"/>
    </xf>
    <xf numFmtId="43" fontId="0" fillId="3" borderId="10" xfId="2" applyFont="1" applyFill="1" applyBorder="1" applyAlignment="1">
      <alignment horizontal="center" vertical="center"/>
    </xf>
    <xf numFmtId="43" fontId="0" fillId="0" borderId="10" xfId="2" applyFont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0" xfId="0" applyFill="1" applyBorder="1"/>
    <xf numFmtId="0" fontId="0" fillId="5" borderId="11" xfId="0" applyFill="1" applyBorder="1" applyAlignment="1">
      <alignment horizontal="center"/>
    </xf>
    <xf numFmtId="0" fontId="0" fillId="5" borderId="14" xfId="0" applyFill="1" applyBorder="1" applyAlignment="1">
      <alignment horizontal="center"/>
    </xf>
    <xf numFmtId="10" fontId="0" fillId="5" borderId="14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43" fontId="0" fillId="2" borderId="10" xfId="2" applyFont="1" applyFill="1" applyBorder="1" applyAlignment="1">
      <alignment horizontal="center" vertical="center"/>
    </xf>
    <xf numFmtId="164" fontId="10" fillId="0" borderId="10" xfId="0" applyNumberFormat="1" applyFont="1" applyBorder="1"/>
    <xf numFmtId="164" fontId="10" fillId="0" borderId="3" xfId="0" applyNumberFormat="1" applyFont="1" applyBorder="1"/>
    <xf numFmtId="164" fontId="10" fillId="0" borderId="1" xfId="0" applyNumberFormat="1" applyFont="1" applyBorder="1"/>
    <xf numFmtId="0" fontId="0" fillId="0" borderId="6" xfId="0" applyBorder="1" applyAlignment="1">
      <alignment horizontal="center"/>
    </xf>
    <xf numFmtId="164" fontId="10" fillId="0" borderId="3" xfId="0" applyNumberFormat="1" applyFont="1" applyBorder="1" applyAlignment="1">
      <alignment horizontal="center" vertical="center"/>
    </xf>
    <xf numFmtId="43" fontId="0" fillId="2" borderId="10" xfId="2" applyFont="1" applyFill="1" applyBorder="1" applyAlignment="1">
      <alignment horizontal="center"/>
    </xf>
    <xf numFmtId="2" fontId="10" fillId="0" borderId="10" xfId="0" applyNumberFormat="1" applyFont="1" applyBorder="1" applyAlignment="1">
      <alignment horizontal="center"/>
    </xf>
    <xf numFmtId="164" fontId="10" fillId="0" borderId="10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10" fontId="0" fillId="0" borderId="0" xfId="1" applyNumberFormat="1" applyFont="1"/>
    <xf numFmtId="0" fontId="11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7" fillId="0" borderId="9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43" fontId="0" fillId="0" borderId="10" xfId="2" applyFont="1" applyBorder="1"/>
    <xf numFmtId="43" fontId="0" fillId="0" borderId="3" xfId="2" applyFont="1" applyBorder="1"/>
    <xf numFmtId="43" fontId="0" fillId="0" borderId="1" xfId="2" applyFont="1" applyBorder="1"/>
    <xf numFmtId="0" fontId="7" fillId="0" borderId="10" xfId="0" applyFont="1" applyBorder="1" applyAlignment="1">
      <alignment horizontal="center"/>
    </xf>
    <xf numFmtId="0" fontId="0" fillId="2" borderId="2" xfId="0" applyFill="1" applyBorder="1" applyAlignment="1">
      <alignment horizontal="center"/>
    </xf>
    <xf numFmtId="43" fontId="0" fillId="0" borderId="3" xfId="2" applyFont="1" applyBorder="1" applyAlignment="1">
      <alignment horizontal="center"/>
    </xf>
    <xf numFmtId="0" fontId="11" fillId="0" borderId="10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43" fontId="0" fillId="2" borderId="3" xfId="2" applyFont="1" applyFill="1" applyBorder="1" applyAlignment="1">
      <alignment horizontal="center" vertical="center"/>
    </xf>
    <xf numFmtId="43" fontId="0" fillId="0" borderId="0" xfId="2" applyFont="1" applyAlignment="1">
      <alignment horizontal="center"/>
    </xf>
    <xf numFmtId="43" fontId="0" fillId="0" borderId="10" xfId="2" applyFont="1" applyBorder="1" applyAlignment="1">
      <alignment horizontal="center" vertical="center"/>
    </xf>
    <xf numFmtId="164" fontId="10" fillId="0" borderId="0" xfId="0" applyNumberFormat="1" applyFont="1"/>
    <xf numFmtId="0" fontId="0" fillId="2" borderId="3" xfId="0" applyFill="1" applyBorder="1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2" fontId="0" fillId="2" borderId="5" xfId="0" applyNumberFormat="1" applyFill="1" applyBorder="1" applyAlignment="1">
      <alignment horizontal="center"/>
    </xf>
    <xf numFmtId="4" fontId="12" fillId="0" borderId="11" xfId="0" applyNumberFormat="1" applyFont="1" applyBorder="1" applyAlignment="1">
      <alignment horizontal="center"/>
    </xf>
    <xf numFmtId="0" fontId="0" fillId="9" borderId="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10" fillId="0" borderId="10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4" fillId="6" borderId="9" xfId="0" applyFont="1" applyFill="1" applyBorder="1" applyAlignment="1">
      <alignment horizontal="center" vertical="center"/>
    </xf>
    <xf numFmtId="2" fontId="0" fillId="6" borderId="10" xfId="0" applyNumberFormat="1" applyFill="1" applyBorder="1" applyAlignment="1">
      <alignment horizontal="center" vertical="center"/>
    </xf>
    <xf numFmtId="0" fontId="4" fillId="6" borderId="10" xfId="0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3" fontId="0" fillId="0" borderId="3" xfId="2" applyFont="1" applyBorder="1" applyAlignment="1">
      <alignment horizontal="center" vertical="center"/>
    </xf>
    <xf numFmtId="43" fontId="0" fillId="0" borderId="4" xfId="2" applyFont="1" applyBorder="1"/>
    <xf numFmtId="43" fontId="0" fillId="0" borderId="13" xfId="2" applyFont="1" applyBorder="1"/>
    <xf numFmtId="2" fontId="2" fillId="0" borderId="0" xfId="0" applyNumberFormat="1" applyFont="1" applyAlignment="1">
      <alignment horizontal="center"/>
    </xf>
    <xf numFmtId="43" fontId="0" fillId="0" borderId="0" xfId="2" applyFont="1" applyAlignment="1">
      <alignment horizontal="center" vertical="center"/>
    </xf>
    <xf numFmtId="0" fontId="0" fillId="0" borderId="16" xfId="0" applyBorder="1" applyAlignment="1">
      <alignment horizontal="center" vertical="center"/>
    </xf>
    <xf numFmtId="43" fontId="0" fillId="0" borderId="17" xfId="2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43" fontId="0" fillId="0" borderId="18" xfId="2" applyFont="1" applyBorder="1" applyAlignment="1">
      <alignment horizontal="center"/>
    </xf>
    <xf numFmtId="10" fontId="0" fillId="2" borderId="0" xfId="1" applyNumberFormat="1" applyFont="1" applyFill="1" applyAlignment="1">
      <alignment horizontal="center"/>
    </xf>
    <xf numFmtId="165" fontId="0" fillId="0" borderId="17" xfId="0" applyNumberFormat="1" applyBorder="1" applyAlignment="1">
      <alignment horizontal="center" vertical="center"/>
    </xf>
    <xf numFmtId="0" fontId="0" fillId="0" borderId="17" xfId="0" applyBorder="1" applyAlignment="1">
      <alignment horizontal="center"/>
    </xf>
    <xf numFmtId="0" fontId="0" fillId="0" borderId="17" xfId="0" applyBorder="1"/>
    <xf numFmtId="0" fontId="0" fillId="0" borderId="18" xfId="0" applyBorder="1" applyAlignment="1">
      <alignment horizontal="center"/>
    </xf>
    <xf numFmtId="43" fontId="0" fillId="0" borderId="1" xfId="2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1" fillId="0" borderId="13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wrapText="1"/>
    </xf>
    <xf numFmtId="0" fontId="2" fillId="2" borderId="8" xfId="0" applyFont="1" applyFill="1" applyBorder="1"/>
    <xf numFmtId="0" fontId="11" fillId="0" borderId="4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/>
    </xf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 vertical="center"/>
    </xf>
    <xf numFmtId="0" fontId="0" fillId="0" borderId="0" xfId="0" applyAlignment="1">
      <alignment horizontal="left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 vertical="center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 vertical="center"/>
    </xf>
    <xf numFmtId="2" fontId="0" fillId="0" borderId="0" xfId="0" applyNumberFormat="1"/>
    <xf numFmtId="0" fontId="0" fillId="6" borderId="3" xfId="0" applyFill="1" applyBorder="1" applyAlignment="1">
      <alignment horizontal="center" vertical="center"/>
    </xf>
    <xf numFmtId="0" fontId="0" fillId="0" borderId="10" xfId="0" applyBorder="1" applyAlignment="1">
      <alignment horizontal="left" vertical="center"/>
    </xf>
    <xf numFmtId="0" fontId="4" fillId="2" borderId="9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2" xfId="0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10" borderId="10" xfId="0" applyFill="1" applyBorder="1" applyAlignment="1">
      <alignment horizontal="center" vertical="center"/>
    </xf>
    <xf numFmtId="0" fontId="0" fillId="10" borderId="11" xfId="0" applyFill="1" applyBorder="1" applyAlignment="1">
      <alignment horizontal="center"/>
    </xf>
    <xf numFmtId="0" fontId="0" fillId="4" borderId="9" xfId="0" applyFill="1" applyBorder="1" applyAlignment="1">
      <alignment horizontal="center" vertical="center"/>
    </xf>
    <xf numFmtId="0" fontId="10" fillId="4" borderId="10" xfId="0" applyFont="1" applyFill="1" applyBorder="1" applyAlignment="1">
      <alignment horizontal="center" vertical="center"/>
    </xf>
    <xf numFmtId="0" fontId="0" fillId="11" borderId="10" xfId="0" applyFill="1" applyBorder="1" applyAlignment="1">
      <alignment horizontal="center"/>
    </xf>
    <xf numFmtId="43" fontId="0" fillId="4" borderId="10" xfId="2" applyFont="1" applyFill="1" applyBorder="1" applyAlignment="1">
      <alignment horizontal="center" vertical="center"/>
    </xf>
    <xf numFmtId="4" fontId="0" fillId="0" borderId="10" xfId="0" applyNumberFormat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 applyAlignment="1">
      <alignment horizontal="center"/>
    </xf>
    <xf numFmtId="0" fontId="0" fillId="0" borderId="10" xfId="2" applyNumberFormat="1" applyFon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12" fillId="0" borderId="0" xfId="0" applyFont="1" applyAlignment="1">
      <alignment horizontal="center"/>
    </xf>
    <xf numFmtId="4" fontId="12" fillId="0" borderId="7" xfId="0" applyNumberFormat="1" applyFont="1" applyBorder="1" applyAlignment="1">
      <alignment horizontal="center"/>
    </xf>
    <xf numFmtId="0" fontId="0" fillId="0" borderId="0" xfId="0" applyAlignment="1">
      <alignment horizontal="center" wrapText="1"/>
    </xf>
    <xf numFmtId="164" fontId="10" fillId="0" borderId="3" xfId="0" applyNumberFormat="1" applyFont="1" applyBorder="1" applyAlignment="1">
      <alignment horizontal="center"/>
    </xf>
    <xf numFmtId="164" fontId="10" fillId="0" borderId="1" xfId="0" applyNumberFormat="1" applyFont="1" applyBorder="1" applyAlignment="1">
      <alignment horizontal="center"/>
    </xf>
    <xf numFmtId="0" fontId="0" fillId="0" borderId="0" xfId="2" applyNumberFormat="1" applyFont="1" applyAlignment="1">
      <alignment horizontal="center" vertical="center"/>
    </xf>
    <xf numFmtId="0" fontId="5" fillId="12" borderId="10" xfId="0" applyFont="1" applyFill="1" applyBorder="1" applyAlignment="1">
      <alignment horizontal="center"/>
    </xf>
    <xf numFmtId="4" fontId="5" fillId="12" borderId="10" xfId="0" applyNumberFormat="1" applyFont="1" applyFill="1" applyBorder="1" applyAlignment="1">
      <alignment horizontal="center"/>
    </xf>
    <xf numFmtId="0" fontId="0" fillId="0" borderId="10" xfId="2" applyNumberFormat="1" applyFont="1" applyBorder="1" applyAlignment="1">
      <alignment horizontal="center"/>
    </xf>
    <xf numFmtId="0" fontId="0" fillId="0" borderId="1" xfId="2" applyNumberFormat="1" applyFont="1" applyBorder="1" applyAlignment="1">
      <alignment horizontal="center"/>
    </xf>
    <xf numFmtId="0" fontId="0" fillId="0" borderId="3" xfId="2" applyNumberFormat="1" applyFont="1" applyBorder="1" applyAlignment="1">
      <alignment horizontal="center"/>
    </xf>
    <xf numFmtId="0" fontId="0" fillId="0" borderId="19" xfId="0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43" fontId="0" fillId="0" borderId="1" xfId="2" applyFont="1" applyBorder="1" applyAlignment="1">
      <alignment horizontal="center"/>
    </xf>
    <xf numFmtId="0" fontId="11" fillId="0" borderId="0" xfId="0" applyFont="1" applyAlignment="1">
      <alignment horizontal="center"/>
    </xf>
    <xf numFmtId="0" fontId="4" fillId="0" borderId="9" xfId="0" applyFont="1" applyBorder="1" applyAlignment="1">
      <alignment horizontal="center"/>
    </xf>
    <xf numFmtId="0" fontId="11" fillId="0" borderId="6" xfId="0" applyFont="1" applyBorder="1" applyAlignment="1">
      <alignment horizontal="center"/>
    </xf>
    <xf numFmtId="43" fontId="11" fillId="0" borderId="0" xfId="2" applyFont="1"/>
    <xf numFmtId="164" fontId="0" fillId="0" borderId="0" xfId="0" applyNumberFormat="1"/>
    <xf numFmtId="164" fontId="10" fillId="0" borderId="1" xfId="0" applyNumberFormat="1" applyFont="1" applyBorder="1" applyAlignment="1">
      <alignment horizontal="center" vertical="center"/>
    </xf>
    <xf numFmtId="4" fontId="0" fillId="2" borderId="3" xfId="0" applyNumberFormat="1" applyFill="1" applyBorder="1" applyAlignment="1">
      <alignment horizontal="center" vertical="center"/>
    </xf>
    <xf numFmtId="0" fontId="0" fillId="6" borderId="9" xfId="0" applyFill="1" applyBorder="1" applyAlignment="1">
      <alignment horizontal="center"/>
    </xf>
    <xf numFmtId="43" fontId="0" fillId="6" borderId="10" xfId="2" applyFont="1" applyFill="1" applyBorder="1"/>
    <xf numFmtId="0" fontId="0" fillId="6" borderId="10" xfId="0" applyFill="1" applyBorder="1" applyAlignment="1">
      <alignment horizontal="center"/>
    </xf>
    <xf numFmtId="0" fontId="0" fillId="2" borderId="1" xfId="2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43" fontId="0" fillId="0" borderId="0" xfId="2" applyFont="1" applyBorder="1"/>
    <xf numFmtId="0" fontId="0" fillId="6" borderId="3" xfId="0" applyFill="1" applyBorder="1" applyAlignment="1">
      <alignment horizontal="center"/>
    </xf>
    <xf numFmtId="164" fontId="10" fillId="0" borderId="0" xfId="0" applyNumberFormat="1" applyFont="1" applyBorder="1" applyAlignment="1">
      <alignment horizontal="center"/>
    </xf>
    <xf numFmtId="0" fontId="0" fillId="2" borderId="0" xfId="0" applyFill="1" applyBorder="1" applyAlignment="1">
      <alignment horizontal="center"/>
    </xf>
    <xf numFmtId="10" fontId="0" fillId="2" borderId="0" xfId="1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0" fontId="0" fillId="2" borderId="0" xfId="1" applyNumberFormat="1" applyFont="1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10" fontId="0" fillId="2" borderId="15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6" borderId="8" xfId="0" applyFont="1" applyFill="1" applyBorder="1" applyAlignment="1">
      <alignment horizontal="center" wrapText="1"/>
    </xf>
    <xf numFmtId="0" fontId="0" fillId="0" borderId="1" xfId="0" applyBorder="1"/>
    <xf numFmtId="0" fontId="3" fillId="0" borderId="0" xfId="0" applyFont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0" fillId="6" borderId="3" xfId="0" applyFill="1" applyBorder="1"/>
    <xf numFmtId="0" fontId="0" fillId="6" borderId="4" xfId="0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43" fontId="0" fillId="0" borderId="3" xfId="2" applyFont="1" applyBorder="1" applyAlignment="1">
      <alignment horizontal="center" vertical="center"/>
    </xf>
    <xf numFmtId="10" fontId="0" fillId="2" borderId="15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0" xfId="0" applyNumberFormat="1" applyBorder="1" applyAlignment="1">
      <alignment horizontal="center"/>
    </xf>
    <xf numFmtId="2" fontId="2" fillId="0" borderId="0" xfId="0" applyNumberFormat="1" applyFont="1"/>
    <xf numFmtId="4" fontId="5" fillId="2" borderId="0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10" fontId="0" fillId="2" borderId="15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5" xfId="0" applyFont="1" applyBorder="1" applyAlignment="1">
      <alignment horizontal="center" wrapText="1"/>
    </xf>
    <xf numFmtId="43" fontId="0" fillId="0" borderId="10" xfId="2" applyFont="1" applyBorder="1" applyAlignment="1">
      <alignment vertical="center"/>
    </xf>
    <xf numFmtId="0" fontId="0" fillId="2" borderId="15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0" fontId="0" fillId="2" borderId="15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5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0" fontId="0" fillId="2" borderId="15" xfId="1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2" borderId="15" xfId="1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 vertical="center"/>
    </xf>
    <xf numFmtId="0" fontId="0" fillId="0" borderId="1" xfId="0" applyBorder="1"/>
    <xf numFmtId="43" fontId="0" fillId="0" borderId="0" xfId="2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10" fontId="0" fillId="2" borderId="15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11" fillId="0" borderId="3" xfId="0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2" borderId="15" xfId="1" applyNumberFormat="1" applyFont="1" applyFill="1" applyBorder="1" applyAlignment="1">
      <alignment horizontal="center"/>
    </xf>
    <xf numFmtId="0" fontId="0" fillId="0" borderId="1" xfId="0" applyBorder="1"/>
    <xf numFmtId="43" fontId="0" fillId="0" borderId="0" xfId="2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10" fontId="0" fillId="2" borderId="15" xfId="1" applyNumberFormat="1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1" xfId="0" applyBorder="1"/>
    <xf numFmtId="0" fontId="2" fillId="0" borderId="6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0" borderId="10" xfId="0" applyBorder="1" applyAlignment="1">
      <alignment horizontal="center" wrapText="1"/>
    </xf>
    <xf numFmtId="0" fontId="2" fillId="2" borderId="1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 wrapText="1"/>
    </xf>
    <xf numFmtId="0" fontId="2" fillId="2" borderId="15" xfId="0" applyFont="1" applyFill="1" applyBorder="1"/>
    <xf numFmtId="0" fontId="0" fillId="13" borderId="0" xfId="0" applyFill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11" fillId="0" borderId="10" xfId="0" applyFont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0" fillId="14" borderId="2" xfId="0" applyFill="1" applyBorder="1" applyAlignment="1">
      <alignment horizontal="center"/>
    </xf>
    <xf numFmtId="0" fontId="0" fillId="14" borderId="3" xfId="0" applyFill="1" applyBorder="1" applyAlignment="1">
      <alignment horizontal="center"/>
    </xf>
    <xf numFmtId="0" fontId="4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0" fillId="14" borderId="9" xfId="0" applyFill="1" applyBorder="1" applyAlignment="1">
      <alignment horizontal="center"/>
    </xf>
    <xf numFmtId="0" fontId="0" fillId="14" borderId="10" xfId="0" applyFill="1" applyBorder="1" applyAlignment="1">
      <alignment horizontal="center"/>
    </xf>
    <xf numFmtId="0" fontId="4" fillId="0" borderId="11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0" fontId="0" fillId="14" borderId="9" xfId="0" applyFill="1" applyBorder="1" applyAlignment="1">
      <alignment horizontal="center" vertical="center"/>
    </xf>
    <xf numFmtId="2" fontId="0" fillId="14" borderId="10" xfId="0" applyNumberFormat="1" applyFill="1" applyBorder="1" applyAlignment="1">
      <alignment horizontal="center" vertical="center"/>
    </xf>
    <xf numFmtId="0" fontId="0" fillId="14" borderId="10" xfId="0" applyFill="1" applyBorder="1" applyAlignment="1">
      <alignment horizontal="center" vertical="center"/>
    </xf>
    <xf numFmtId="0" fontId="4" fillId="14" borderId="9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2" fontId="4" fillId="0" borderId="10" xfId="0" applyNumberFormat="1" applyFont="1" applyBorder="1" applyAlignment="1">
      <alignment horizontal="center" vertical="center"/>
    </xf>
    <xf numFmtId="0" fontId="16" fillId="0" borderId="10" xfId="0" applyFont="1" applyBorder="1"/>
    <xf numFmtId="0" fontId="16" fillId="0" borderId="10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2" fillId="6" borderId="8" xfId="0" applyFont="1" applyFill="1" applyBorder="1" applyAlignment="1">
      <alignment horizontal="center" wrapText="1"/>
    </xf>
    <xf numFmtId="0" fontId="4" fillId="0" borderId="1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2" borderId="5" xfId="1" applyNumberFormat="1" applyFont="1" applyFill="1" applyBorder="1" applyAlignment="1">
      <alignment horizontal="center"/>
    </xf>
    <xf numFmtId="10" fontId="0" fillId="2" borderId="15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0" fontId="0" fillId="0" borderId="1" xfId="0" applyBorder="1"/>
    <xf numFmtId="0" fontId="4" fillId="0" borderId="0" xfId="0" applyFont="1"/>
    <xf numFmtId="0" fontId="4" fillId="0" borderId="1" xfId="0" applyFont="1" applyBorder="1"/>
    <xf numFmtId="165" fontId="4" fillId="0" borderId="1" xfId="0" applyNumberFormat="1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9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15" borderId="1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5" borderId="1" xfId="0" applyFill="1" applyBorder="1" applyAlignment="1">
      <alignment horizontal="center"/>
    </xf>
    <xf numFmtId="0" fontId="0" fillId="15" borderId="0" xfId="0" applyFill="1" applyAlignment="1">
      <alignment horizontal="center"/>
    </xf>
    <xf numFmtId="4" fontId="5" fillId="2" borderId="15" xfId="0" applyNumberFormat="1" applyFont="1" applyFill="1" applyBorder="1" applyAlignment="1">
      <alignment horizontal="center"/>
    </xf>
    <xf numFmtId="43" fontId="2" fillId="0" borderId="0" xfId="2" applyFont="1" applyAlignment="1">
      <alignment horizontal="center"/>
    </xf>
    <xf numFmtId="2" fontId="0" fillId="2" borderId="10" xfId="0" applyNumberForma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0" borderId="10" xfId="0" applyFont="1" applyBorder="1" applyAlignment="1">
      <alignment horizontal="center" vertical="center"/>
    </xf>
    <xf numFmtId="0" fontId="0" fillId="16" borderId="3" xfId="0" applyFill="1" applyBorder="1" applyAlignment="1">
      <alignment horizontal="center"/>
    </xf>
    <xf numFmtId="0" fontId="0" fillId="16" borderId="1" xfId="0" applyFill="1" applyBorder="1" applyAlignment="1">
      <alignment horizontal="center"/>
    </xf>
    <xf numFmtId="0" fontId="0" fillId="16" borderId="0" xfId="0" applyFill="1" applyAlignment="1">
      <alignment horizontal="center"/>
    </xf>
    <xf numFmtId="0" fontId="0" fillId="16" borderId="10" xfId="0" applyFill="1" applyBorder="1" applyAlignment="1">
      <alignment horizontal="center"/>
    </xf>
    <xf numFmtId="0" fontId="0" fillId="0" borderId="10" xfId="2" applyNumberFormat="1" applyFont="1" applyFill="1" applyBorder="1" applyAlignment="1">
      <alignment horizontal="center" vertical="center"/>
    </xf>
    <xf numFmtId="0" fontId="0" fillId="0" borderId="3" xfId="2" applyNumberFormat="1" applyFont="1" applyFill="1" applyBorder="1" applyAlignment="1">
      <alignment horizontal="center" vertical="center"/>
    </xf>
    <xf numFmtId="0" fontId="0" fillId="2" borderId="3" xfId="2" applyNumberFormat="1" applyFont="1" applyFill="1" applyBorder="1" applyAlignment="1">
      <alignment horizontal="center" vertical="center"/>
    </xf>
    <xf numFmtId="0" fontId="0" fillId="2" borderId="10" xfId="2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21" xfId="0" applyBorder="1" applyAlignment="1">
      <alignment horizontal="center" vertical="center"/>
    </xf>
    <xf numFmtId="0" fontId="0" fillId="0" borderId="21" xfId="0" applyBorder="1"/>
    <xf numFmtId="0" fontId="0" fillId="0" borderId="21" xfId="0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0" fontId="0" fillId="0" borderId="1" xfId="0" applyBorder="1"/>
    <xf numFmtId="0" fontId="0" fillId="16" borderId="0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17" borderId="10" xfId="0" applyFill="1" applyBorder="1" applyAlignment="1">
      <alignment horizontal="center"/>
    </xf>
    <xf numFmtId="0" fontId="0" fillId="10" borderId="1" xfId="0" applyFill="1" applyBorder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4" fillId="10" borderId="1" xfId="0" applyFont="1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2" fillId="0" borderId="15" xfId="0" applyFont="1" applyBorder="1" applyAlignment="1">
      <alignment horizontal="center" wrapText="1"/>
    </xf>
    <xf numFmtId="43" fontId="0" fillId="0" borderId="0" xfId="2" applyFont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0" xfId="0" applyFill="1" applyBorder="1"/>
    <xf numFmtId="0" fontId="0" fillId="18" borderId="10" xfId="0" applyFill="1" applyBorder="1" applyAlignment="1">
      <alignment horizontal="center"/>
    </xf>
    <xf numFmtId="0" fontId="0" fillId="18" borderId="14" xfId="0" applyFill="1" applyBorder="1" applyAlignment="1">
      <alignment horizontal="center" vertical="center"/>
    </xf>
    <xf numFmtId="10" fontId="0" fillId="18" borderId="14" xfId="1" applyNumberFormat="1" applyFont="1" applyFill="1" applyBorder="1" applyAlignment="1">
      <alignment horizontal="center" vertical="center"/>
    </xf>
    <xf numFmtId="0" fontId="4" fillId="18" borderId="12" xfId="0" applyFont="1" applyFill="1" applyBorder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0" fontId="0" fillId="18" borderId="1" xfId="0" applyFill="1" applyBorder="1" applyAlignment="1">
      <alignment horizontal="center"/>
    </xf>
    <xf numFmtId="0" fontId="0" fillId="18" borderId="1" xfId="0" applyFill="1" applyBorder="1"/>
    <xf numFmtId="10" fontId="0" fillId="18" borderId="14" xfId="1" applyNumberFormat="1" applyFont="1" applyFill="1" applyBorder="1" applyAlignment="1">
      <alignment horizontal="center"/>
    </xf>
    <xf numFmtId="0" fontId="0" fillId="18" borderId="9" xfId="0" applyFill="1" applyBorder="1" applyAlignment="1">
      <alignment horizontal="center"/>
    </xf>
    <xf numFmtId="0" fontId="0" fillId="18" borderId="14" xfId="0" applyFill="1" applyBorder="1" applyAlignment="1">
      <alignment horizontal="center"/>
    </xf>
    <xf numFmtId="0" fontId="0" fillId="18" borderId="3" xfId="0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3" xfId="0" applyFill="1" applyBorder="1"/>
    <xf numFmtId="0" fontId="0" fillId="18" borderId="5" xfId="0" applyFill="1" applyBorder="1" applyAlignment="1">
      <alignment horizontal="center"/>
    </xf>
    <xf numFmtId="0" fontId="0" fillId="18" borderId="0" xfId="0" applyFill="1"/>
    <xf numFmtId="0" fontId="0" fillId="18" borderId="8" xfId="0" applyFill="1" applyBorder="1" applyAlignment="1">
      <alignment horizontal="center"/>
    </xf>
    <xf numFmtId="0" fontId="0" fillId="18" borderId="15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19" borderId="3" xfId="0" applyFill="1" applyBorder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1" xfId="0" applyFill="1" applyBorder="1" applyAlignment="1">
      <alignment horizontal="center" vertical="center"/>
    </xf>
    <xf numFmtId="0" fontId="0" fillId="19" borderId="10" xfId="0" applyFill="1" applyBorder="1" applyAlignment="1">
      <alignment horizontal="center" vertical="center"/>
    </xf>
    <xf numFmtId="0" fontId="0" fillId="13" borderId="10" xfId="0" applyFill="1" applyBorder="1" applyAlignment="1">
      <alignment horizontal="center" vertical="center"/>
    </xf>
    <xf numFmtId="43" fontId="0" fillId="0" borderId="10" xfId="2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6" borderId="15" xfId="0" applyFont="1" applyFill="1" applyBorder="1" applyAlignment="1">
      <alignment horizontal="center" wrapText="1"/>
    </xf>
    <xf numFmtId="0" fontId="2" fillId="6" borderId="8" xfId="0" applyFont="1" applyFill="1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2" borderId="2" xfId="0" applyFill="1" applyBorder="1" applyAlignment="1">
      <alignment horizontal="center"/>
    </xf>
    <xf numFmtId="10" fontId="0" fillId="2" borderId="15" xfId="1" applyNumberFormat="1" applyFont="1" applyFill="1" applyBorder="1" applyAlignment="1">
      <alignment horizontal="center"/>
    </xf>
    <xf numFmtId="43" fontId="0" fillId="2" borderId="3" xfId="2" applyFont="1" applyFill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2" fontId="0" fillId="2" borderId="3" xfId="0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 wrapText="1"/>
    </xf>
    <xf numFmtId="0" fontId="0" fillId="0" borderId="1" xfId="0" applyBorder="1"/>
    <xf numFmtId="0" fontId="0" fillId="0" borderId="1" xfId="0" applyFill="1" applyBorder="1" applyAlignment="1">
      <alignment horizontal="center" vertical="center"/>
    </xf>
    <xf numFmtId="0" fontId="2" fillId="0" borderId="15" xfId="0" applyFont="1" applyBorder="1" applyAlignment="1">
      <alignment horizontal="center" wrapText="1"/>
    </xf>
    <xf numFmtId="0" fontId="0" fillId="13" borderId="0" xfId="0" applyFill="1" applyBorder="1" applyAlignment="1">
      <alignment horizontal="center"/>
    </xf>
    <xf numFmtId="0" fontId="0" fillId="20" borderId="3" xfId="0" applyFill="1" applyBorder="1" applyAlignment="1">
      <alignment horizontal="center"/>
    </xf>
    <xf numFmtId="0" fontId="0" fillId="20" borderId="1" xfId="0" applyFill="1" applyBorder="1" applyAlignment="1">
      <alignment horizontal="center"/>
    </xf>
    <xf numFmtId="0" fontId="0" fillId="20" borderId="10" xfId="0" applyFill="1" applyBorder="1" applyAlignment="1">
      <alignment horizontal="center"/>
    </xf>
    <xf numFmtId="0" fontId="0" fillId="20" borderId="0" xfId="0" applyFill="1" applyAlignment="1">
      <alignment horizontal="center"/>
    </xf>
    <xf numFmtId="0" fontId="18" fillId="20" borderId="3" xfId="0" applyFont="1" applyFill="1" applyBorder="1" applyAlignment="1">
      <alignment horizontal="center"/>
    </xf>
    <xf numFmtId="0" fontId="18" fillId="20" borderId="1" xfId="0" applyFont="1" applyFill="1" applyBorder="1" applyAlignment="1">
      <alignment horizontal="center"/>
    </xf>
    <xf numFmtId="0" fontId="18" fillId="20" borderId="0" xfId="0" applyFont="1" applyFill="1" applyAlignment="1">
      <alignment horizontal="center"/>
    </xf>
    <xf numFmtId="49" fontId="0" fillId="0" borderId="10" xfId="0" applyNumberFormat="1" applyBorder="1" applyAlignment="1">
      <alignment horizontal="center" vertical="center"/>
    </xf>
    <xf numFmtId="0" fontId="18" fillId="20" borderId="10" xfId="0" applyFont="1" applyFill="1" applyBorder="1" applyAlignment="1">
      <alignment horizontal="center"/>
    </xf>
    <xf numFmtId="49" fontId="0" fillId="0" borderId="1" xfId="0" applyNumberFormat="1" applyBorder="1" applyAlignment="1">
      <alignment horizontal="center" vertical="center"/>
    </xf>
    <xf numFmtId="0" fontId="18" fillId="0" borderId="1" xfId="0" applyFont="1" applyBorder="1" applyAlignment="1">
      <alignment horizontal="center"/>
    </xf>
    <xf numFmtId="0" fontId="18" fillId="21" borderId="10" xfId="0" applyFont="1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21" borderId="0" xfId="0" applyFill="1" applyAlignment="1">
      <alignment horizontal="center"/>
    </xf>
    <xf numFmtId="0" fontId="0" fillId="21" borderId="1" xfId="0" applyFill="1" applyBorder="1" applyAlignment="1">
      <alignment horizontal="center"/>
    </xf>
    <xf numFmtId="0" fontId="0" fillId="21" borderId="1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16" borderId="3" xfId="0" applyFill="1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22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/>
    </xf>
    <xf numFmtId="43" fontId="0" fillId="0" borderId="10" xfId="2" applyFont="1" applyFill="1" applyBorder="1"/>
    <xf numFmtId="43" fontId="0" fillId="0" borderId="0" xfId="2" applyFont="1" applyFill="1" applyBorder="1"/>
    <xf numFmtId="43" fontId="0" fillId="0" borderId="0" xfId="2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/>
    </xf>
    <xf numFmtId="0" fontId="11" fillId="4" borderId="10" xfId="0" applyFont="1" applyFill="1" applyBorder="1" applyAlignment="1">
      <alignment horizontal="center" vertical="center"/>
    </xf>
    <xf numFmtId="0" fontId="11" fillId="4" borderId="10" xfId="0" applyFont="1" applyFill="1" applyBorder="1"/>
    <xf numFmtId="0" fontId="0" fillId="0" borderId="10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10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0" borderId="1" xfId="0" applyFont="1" applyBorder="1" applyAlignment="1">
      <alignment horizontal="center" wrapText="1"/>
    </xf>
    <xf numFmtId="0" fontId="19" fillId="0" borderId="1" xfId="0" applyFont="1" applyBorder="1"/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2" xfId="0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5" xfId="0" applyFont="1" applyFill="1" applyBorder="1" applyAlignment="1">
      <alignment horizontal="center" wrapText="1"/>
    </xf>
    <xf numFmtId="0" fontId="0" fillId="0" borderId="1" xfId="0" applyBorder="1"/>
    <xf numFmtId="0" fontId="2" fillId="2" borderId="8" xfId="0" applyFont="1" applyFill="1" applyBorder="1" applyAlignment="1">
      <alignment horizontal="center" wrapText="1"/>
    </xf>
    <xf numFmtId="0" fontId="0" fillId="23" borderId="0" xfId="0" applyFill="1" applyAlignment="1">
      <alignment horizontal="center"/>
    </xf>
    <xf numFmtId="0" fontId="0" fillId="23" borderId="3" xfId="0" applyFill="1" applyBorder="1" applyAlignment="1">
      <alignment horizontal="center"/>
    </xf>
    <xf numFmtId="0" fontId="0" fillId="23" borderId="1" xfId="0" applyFill="1" applyBorder="1" applyAlignment="1">
      <alignment horizontal="center"/>
    </xf>
    <xf numFmtId="0" fontId="0" fillId="23" borderId="10" xfId="0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10" xfId="0" applyFill="1" applyBorder="1" applyAlignment="1">
      <alignment horizontal="center"/>
    </xf>
    <xf numFmtId="0" fontId="0" fillId="22" borderId="0" xfId="0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2" borderId="15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43" fontId="0" fillId="0" borderId="1" xfId="2" applyFont="1" applyFill="1" applyBorder="1" applyAlignment="1">
      <alignment horizontal="center" vertical="center"/>
    </xf>
    <xf numFmtId="43" fontId="0" fillId="0" borderId="0" xfId="2" applyFont="1" applyFill="1" applyBorder="1" applyAlignment="1">
      <alignment horizontal="center" vertical="center"/>
    </xf>
    <xf numFmtId="0" fontId="11" fillId="0" borderId="3" xfId="0" applyFont="1" applyBorder="1"/>
    <xf numFmtId="0" fontId="11" fillId="21" borderId="3" xfId="0" applyFont="1" applyFill="1" applyBorder="1" applyAlignment="1">
      <alignment horizontal="center"/>
    </xf>
    <xf numFmtId="0" fontId="11" fillId="0" borderId="0" xfId="0" applyFont="1"/>
    <xf numFmtId="0" fontId="11" fillId="23" borderId="0" xfId="0" applyFont="1" applyFill="1" applyAlignment="1">
      <alignment horizontal="center"/>
    </xf>
    <xf numFmtId="164" fontId="11" fillId="0" borderId="10" xfId="0" applyNumberFormat="1" applyFont="1" applyBorder="1" applyAlignment="1">
      <alignment horizontal="center" vertical="center"/>
    </xf>
    <xf numFmtId="0" fontId="11" fillId="0" borderId="10" xfId="0" applyFont="1" applyBorder="1"/>
    <xf numFmtId="0" fontId="11" fillId="21" borderId="10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10" fontId="11" fillId="2" borderId="14" xfId="1" applyNumberFormat="1" applyFont="1" applyFill="1" applyBorder="1" applyAlignment="1">
      <alignment horizontal="center"/>
    </xf>
    <xf numFmtId="0" fontId="11" fillId="19" borderId="10" xfId="0" applyFont="1" applyFill="1" applyBorder="1" applyAlignment="1">
      <alignment horizontal="center" vertical="center"/>
    </xf>
    <xf numFmtId="10" fontId="11" fillId="2" borderId="11" xfId="1" applyNumberFormat="1" applyFont="1" applyFill="1" applyBorder="1" applyAlignment="1">
      <alignment horizontal="center"/>
    </xf>
    <xf numFmtId="0" fontId="11" fillId="0" borderId="1" xfId="0" applyFont="1" applyBorder="1"/>
    <xf numFmtId="0" fontId="3" fillId="0" borderId="0" xfId="0" applyFont="1" applyAlignment="1">
      <alignment horizontal="center"/>
    </xf>
    <xf numFmtId="0" fontId="2" fillId="2" borderId="6" xfId="0" applyFont="1" applyFill="1" applyBorder="1" applyAlignment="1">
      <alignment horizontal="center" wrapText="1"/>
    </xf>
    <xf numFmtId="0" fontId="2" fillId="2" borderId="0" xfId="0" applyFont="1" applyFill="1" applyAlignment="1">
      <alignment horizontal="center" wrapText="1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6" fontId="0" fillId="0" borderId="3" xfId="2" applyNumberFormat="1" applyFont="1" applyBorder="1" applyAlignment="1">
      <alignment horizontal="center"/>
    </xf>
    <xf numFmtId="166" fontId="0" fillId="0" borderId="1" xfId="2" applyNumberFormat="1" applyFont="1" applyBorder="1" applyAlignment="1">
      <alignment horizontal="center"/>
    </xf>
    <xf numFmtId="166" fontId="0" fillId="0" borderId="1" xfId="2" applyNumberFormat="1" applyFont="1" applyFill="1" applyBorder="1" applyAlignment="1">
      <alignment horizontal="center"/>
    </xf>
    <xf numFmtId="166" fontId="0" fillId="0" borderId="10" xfId="2" applyNumberFormat="1" applyFont="1" applyFill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0" fillId="3" borderId="14" xfId="0" applyFill="1" applyBorder="1" applyAlignment="1">
      <alignment horizontal="center"/>
    </xf>
    <xf numFmtId="10" fontId="0" fillId="3" borderId="11" xfId="1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2" borderId="15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10" fontId="0" fillId="2" borderId="8" xfId="1" applyNumberFormat="1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2" borderId="13" xfId="1" applyNumberFormat="1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wrapText="1"/>
    </xf>
    <xf numFmtId="0" fontId="2" fillId="6" borderId="15" xfId="0" applyFont="1" applyFill="1" applyBorder="1" applyAlignment="1">
      <alignment horizontal="center" wrapText="1"/>
    </xf>
    <xf numFmtId="0" fontId="2" fillId="6" borderId="4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/>
    </xf>
    <xf numFmtId="0" fontId="2" fillId="6" borderId="3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 wrapText="1"/>
    </xf>
    <xf numFmtId="0" fontId="7" fillId="0" borderId="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1" fontId="0" fillId="2" borderId="2" xfId="0" applyNumberFormat="1" applyFill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1" fontId="0" fillId="2" borderId="1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12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12" xfId="0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8" borderId="2" xfId="0" applyFill="1" applyBorder="1" applyAlignment="1">
      <alignment horizontal="center" vertical="center"/>
    </xf>
    <xf numFmtId="0" fontId="0" fillId="8" borderId="12" xfId="0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 wrapText="1"/>
    </xf>
    <xf numFmtId="10" fontId="0" fillId="2" borderId="8" xfId="1" applyNumberFormat="1" applyFont="1" applyFill="1" applyBorder="1" applyAlignment="1">
      <alignment horizontal="center" vertical="center" wrapText="1"/>
    </xf>
    <xf numFmtId="10" fontId="0" fillId="2" borderId="15" xfId="1" applyNumberFormat="1" applyFont="1" applyFill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12" xfId="0" applyFont="1" applyFill="1" applyBorder="1" applyAlignment="1">
      <alignment horizontal="center" vertical="center"/>
    </xf>
    <xf numFmtId="10" fontId="11" fillId="2" borderId="5" xfId="1" applyNumberFormat="1" applyFont="1" applyFill="1" applyBorder="1" applyAlignment="1">
      <alignment horizontal="center" vertical="center"/>
    </xf>
    <xf numFmtId="10" fontId="11" fillId="2" borderId="15" xfId="1" applyNumberFormat="1" applyFont="1" applyFill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49" fontId="0" fillId="0" borderId="3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14" borderId="2" xfId="0" applyFill="1" applyBorder="1" applyAlignment="1">
      <alignment horizontal="center" vertical="center"/>
    </xf>
    <xf numFmtId="0" fontId="0" fillId="14" borderId="12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4" borderId="1" xfId="0" applyFill="1" applyBorder="1" applyAlignment="1">
      <alignment horizontal="center" vertical="center"/>
    </xf>
    <xf numFmtId="43" fontId="0" fillId="0" borderId="3" xfId="2" applyFont="1" applyBorder="1" applyAlignment="1">
      <alignment horizontal="center" vertical="center"/>
    </xf>
    <xf numFmtId="43" fontId="0" fillId="0" borderId="1" xfId="2" applyFont="1" applyBorder="1" applyAlignment="1">
      <alignment horizontal="center" vertical="center"/>
    </xf>
    <xf numFmtId="43" fontId="0" fillId="0" borderId="0" xfId="2" applyFont="1" applyAlignment="1">
      <alignment horizontal="center" vertical="center"/>
    </xf>
    <xf numFmtId="164" fontId="10" fillId="0" borderId="3" xfId="0" applyNumberFormat="1" applyFont="1" applyBorder="1" applyAlignment="1">
      <alignment horizontal="center" vertical="center"/>
    </xf>
    <xf numFmtId="164" fontId="10" fillId="0" borderId="1" xfId="0" applyNumberFormat="1" applyFont="1" applyBorder="1" applyAlignment="1">
      <alignment horizontal="center" vertical="center"/>
    </xf>
    <xf numFmtId="43" fontId="0" fillId="3" borderId="3" xfId="2" applyFont="1" applyFill="1" applyBorder="1" applyAlignment="1">
      <alignment horizontal="center" vertical="center"/>
    </xf>
    <xf numFmtId="43" fontId="0" fillId="3" borderId="1" xfId="2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0" fontId="0" fillId="2" borderId="5" xfId="1" applyNumberFormat="1" applyFont="1" applyFill="1" applyBorder="1" applyAlignment="1">
      <alignment horizontal="center"/>
    </xf>
    <xf numFmtId="10" fontId="0" fillId="2" borderId="15" xfId="1" applyNumberFormat="1" applyFont="1" applyFill="1" applyBorder="1" applyAlignment="1">
      <alignment horizontal="center"/>
    </xf>
    <xf numFmtId="0" fontId="0" fillId="3" borderId="6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2" fontId="0" fillId="3" borderId="3" xfId="0" applyNumberFormat="1" applyFill="1" applyBorder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43" fontId="0" fillId="2" borderId="3" xfId="2" applyFont="1" applyFill="1" applyBorder="1" applyAlignment="1">
      <alignment horizontal="center" vertical="center"/>
    </xf>
    <xf numFmtId="43" fontId="0" fillId="2" borderId="1" xfId="2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164" fontId="10" fillId="0" borderId="0" xfId="0" applyNumberFormat="1" applyFont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164" fontId="10" fillId="14" borderId="0" xfId="0" applyNumberFormat="1" applyFont="1" applyFill="1" applyAlignment="1">
      <alignment horizontal="center" vertical="center"/>
    </xf>
    <xf numFmtId="164" fontId="10" fillId="14" borderId="1" xfId="0" applyNumberFormat="1" applyFont="1" applyFill="1" applyBorder="1" applyAlignment="1">
      <alignment horizontal="center" vertical="center"/>
    </xf>
    <xf numFmtId="0" fontId="0" fillId="14" borderId="0" xfId="0" applyFill="1" applyAlignment="1">
      <alignment horizontal="center" vertical="center"/>
    </xf>
    <xf numFmtId="164" fontId="10" fillId="2" borderId="3" xfId="0" applyNumberFormat="1" applyFont="1" applyFill="1" applyBorder="1" applyAlignment="1">
      <alignment horizontal="center" vertical="center"/>
    </xf>
    <xf numFmtId="164" fontId="10" fillId="2" borderId="1" xfId="0" applyNumberFormat="1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0" fillId="2" borderId="3" xfId="0" applyNumberFormat="1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0" fillId="6" borderId="3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3" xfId="2" applyNumberFormat="1" applyFont="1" applyBorder="1" applyAlignment="1">
      <alignment horizontal="center" vertical="center"/>
    </xf>
    <xf numFmtId="0" fontId="0" fillId="0" borderId="1" xfId="2" applyNumberFormat="1" applyFont="1" applyBorder="1" applyAlignment="1">
      <alignment horizontal="center" vertical="center"/>
    </xf>
    <xf numFmtId="43" fontId="0" fillId="6" borderId="3" xfId="2" applyFont="1" applyFill="1" applyBorder="1" applyAlignment="1">
      <alignment horizontal="center" vertical="center"/>
    </xf>
    <xf numFmtId="43" fontId="0" fillId="6" borderId="1" xfId="2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14" borderId="3" xfId="0" applyNumberFormat="1" applyFill="1" applyBorder="1" applyAlignment="1">
      <alignment horizontal="center" vertical="center"/>
    </xf>
    <xf numFmtId="2" fontId="0" fillId="14" borderId="1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2" xfId="2" applyNumberFormat="1" applyFont="1" applyBorder="1" applyAlignment="1">
      <alignment horizontal="center" vertical="center"/>
    </xf>
    <xf numFmtId="0" fontId="0" fillId="0" borderId="12" xfId="2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 wrapText="1"/>
    </xf>
    <xf numFmtId="0" fontId="2" fillId="2" borderId="15" xfId="0" applyFont="1" applyFill="1" applyBorder="1" applyAlignment="1">
      <alignment horizontal="center" wrapText="1"/>
    </xf>
    <xf numFmtId="2" fontId="0" fillId="2" borderId="2" xfId="0" applyNumberFormat="1" applyFill="1" applyBorder="1" applyAlignment="1">
      <alignment horizontal="center" vertical="center"/>
    </xf>
    <xf numFmtId="2" fontId="0" fillId="2" borderId="12" xfId="0" applyNumberFormat="1" applyFill="1" applyBorder="1" applyAlignment="1">
      <alignment horizontal="center" vertical="center"/>
    </xf>
    <xf numFmtId="2" fontId="0" fillId="2" borderId="5" xfId="0" applyNumberFormat="1" applyFill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0" fontId="0" fillId="4" borderId="3" xfId="2" applyNumberFormat="1" applyFont="1" applyFill="1" applyBorder="1" applyAlignment="1">
      <alignment horizontal="center" vertical="center"/>
    </xf>
    <xf numFmtId="0" fontId="0" fillId="4" borderId="1" xfId="2" applyNumberFormat="1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center" wrapText="1"/>
    </xf>
    <xf numFmtId="0" fontId="2" fillId="7" borderId="15" xfId="0" applyFont="1" applyFill="1" applyBorder="1" applyAlignment="1">
      <alignment horizontal="center" wrapText="1"/>
    </xf>
    <xf numFmtId="2" fontId="0" fillId="2" borderId="8" xfId="0" applyNumberFormat="1" applyFill="1" applyBorder="1" applyAlignment="1">
      <alignment horizontal="center" vertical="center"/>
    </xf>
    <xf numFmtId="4" fontId="0" fillId="0" borderId="3" xfId="0" applyNumberFormat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12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" xfId="0" applyBorder="1" applyAlignment="1">
      <alignment horizontal="right"/>
    </xf>
    <xf numFmtId="0" fontId="0" fillId="0" borderId="12" xfId="0" applyBorder="1" applyAlignment="1">
      <alignment horizontal="right"/>
    </xf>
    <xf numFmtId="1" fontId="0" fillId="2" borderId="5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 vertical="center"/>
    </xf>
    <xf numFmtId="1" fontId="0" fillId="0" borderId="3" xfId="0" applyNumberFormat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4" fillId="4" borderId="6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2" fontId="0" fillId="4" borderId="0" xfId="0" applyNumberFormat="1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6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0" fillId="4" borderId="12" xfId="0" applyFill="1" applyBorder="1"/>
    <xf numFmtId="0" fontId="0" fillId="4" borderId="1" xfId="0" applyFill="1" applyBorder="1"/>
    <xf numFmtId="0" fontId="0" fillId="0" borderId="1" xfId="0" applyBorder="1"/>
    <xf numFmtId="1" fontId="0" fillId="3" borderId="3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" fontId="5" fillId="2" borderId="5" xfId="0" applyNumberFormat="1" applyFont="1" applyFill="1" applyBorder="1" applyAlignment="1">
      <alignment horizontal="center" vertical="center"/>
    </xf>
    <xf numFmtId="4" fontId="5" fillId="2" borderId="15" xfId="0" applyNumberFormat="1" applyFont="1" applyFill="1" applyBorder="1" applyAlignment="1">
      <alignment horizontal="center" vertical="center"/>
    </xf>
    <xf numFmtId="4" fontId="5" fillId="2" borderId="8" xfId="0" applyNumberFormat="1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2" fillId="0" borderId="15" xfId="0" applyFont="1" applyBorder="1" applyAlignment="1">
      <alignment horizont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4" fontId="0" fillId="0" borderId="1" xfId="0" applyNumberFormat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4" fontId="0" fillId="2" borderId="3" xfId="0" applyNumberFormat="1" applyFill="1" applyBorder="1" applyAlignment="1">
      <alignment horizontal="center" vertical="center"/>
    </xf>
    <xf numFmtId="4" fontId="0" fillId="2" borderId="1" xfId="0" applyNumberFormat="1" applyFill="1" applyBorder="1" applyAlignment="1">
      <alignment horizontal="center" vertical="center"/>
    </xf>
    <xf numFmtId="43" fontId="0" fillId="0" borderId="0" xfId="2" applyFont="1" applyBorder="1" applyAlignment="1">
      <alignment horizontal="center" vertical="center"/>
    </xf>
    <xf numFmtId="4" fontId="12" fillId="2" borderId="5" xfId="0" applyNumberFormat="1" applyFont="1" applyFill="1" applyBorder="1" applyAlignment="1">
      <alignment horizontal="center" vertical="center"/>
    </xf>
    <xf numFmtId="4" fontId="12" fillId="2" borderId="15" xfId="0" applyNumberFormat="1" applyFont="1" applyFill="1" applyBorder="1" applyAlignment="1">
      <alignment horizontal="center" vertical="center"/>
    </xf>
    <xf numFmtId="43" fontId="11" fillId="0" borderId="3" xfId="2" applyFont="1" applyBorder="1" applyAlignment="1">
      <alignment horizontal="center" vertical="center"/>
    </xf>
    <xf numFmtId="43" fontId="11" fillId="0" borderId="1" xfId="2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3" fontId="0" fillId="0" borderId="3" xfId="2" applyFont="1" applyBorder="1" applyAlignment="1">
      <alignment horizontal="center"/>
    </xf>
    <xf numFmtId="43" fontId="0" fillId="0" borderId="1" xfId="2" applyFont="1" applyBorder="1" applyAlignment="1">
      <alignment horizontal="center"/>
    </xf>
    <xf numFmtId="43" fontId="0" fillId="0" borderId="2" xfId="2" applyFont="1" applyFill="1" applyBorder="1" applyAlignment="1">
      <alignment horizontal="right" vertical="center"/>
    </xf>
    <xf numFmtId="43" fontId="0" fillId="0" borderId="12" xfId="2" applyFont="1" applyFill="1" applyBorder="1" applyAlignment="1">
      <alignment horizontal="right" vertical="center"/>
    </xf>
    <xf numFmtId="43" fontId="0" fillId="0" borderId="3" xfId="2" applyFont="1" applyFill="1" applyBorder="1" applyAlignment="1">
      <alignment horizontal="center" vertical="center"/>
    </xf>
    <xf numFmtId="43" fontId="0" fillId="0" borderId="1" xfId="2" applyFont="1" applyFill="1" applyBorder="1" applyAlignment="1">
      <alignment horizontal="center" vertical="center"/>
    </xf>
    <xf numFmtId="43" fontId="0" fillId="2" borderId="0" xfId="2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wrapText="1"/>
    </xf>
    <xf numFmtId="0" fontId="0" fillId="18" borderId="2" xfId="0" applyFill="1" applyBorder="1" applyAlignment="1">
      <alignment horizontal="center" vertical="center"/>
    </xf>
    <xf numFmtId="0" fontId="0" fillId="18" borderId="6" xfId="0" applyFill="1" applyBorder="1" applyAlignment="1">
      <alignment horizontal="center" vertical="center"/>
    </xf>
    <xf numFmtId="0" fontId="0" fillId="18" borderId="12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8" borderId="1" xfId="0" applyFill="1" applyBorder="1" applyAlignment="1">
      <alignment horizontal="center" vertical="center"/>
    </xf>
    <xf numFmtId="4" fontId="5" fillId="18" borderId="5" xfId="0" applyNumberFormat="1" applyFont="1" applyFill="1" applyBorder="1" applyAlignment="1">
      <alignment horizontal="center" vertical="center"/>
    </xf>
    <xf numFmtId="4" fontId="5" fillId="18" borderId="8" xfId="0" applyNumberFormat="1" applyFont="1" applyFill="1" applyBorder="1" applyAlignment="1">
      <alignment horizontal="center" vertical="center"/>
    </xf>
    <xf numFmtId="4" fontId="5" fillId="18" borderId="15" xfId="0" applyNumberFormat="1" applyFont="1" applyFill="1" applyBorder="1" applyAlignment="1">
      <alignment horizontal="center" vertical="center"/>
    </xf>
    <xf numFmtId="10" fontId="0" fillId="18" borderId="5" xfId="1" applyNumberFormat="1" applyFont="1" applyFill="1" applyBorder="1" applyAlignment="1">
      <alignment horizontal="center" vertical="center"/>
    </xf>
    <xf numFmtId="10" fontId="0" fillId="18" borderId="8" xfId="1" applyNumberFormat="1" applyFont="1" applyFill="1" applyBorder="1" applyAlignment="1">
      <alignment horizontal="center" vertical="center"/>
    </xf>
    <xf numFmtId="10" fontId="0" fillId="18" borderId="15" xfId="1" applyNumberFormat="1" applyFont="1" applyFill="1" applyBorder="1" applyAlignment="1">
      <alignment horizontal="center" vertical="center"/>
    </xf>
    <xf numFmtId="0" fontId="0" fillId="0" borderId="3" xfId="2" applyNumberFormat="1" applyFont="1" applyFill="1" applyBorder="1" applyAlignment="1">
      <alignment horizontal="center" vertical="center"/>
    </xf>
    <xf numFmtId="0" fontId="0" fillId="0" borderId="0" xfId="2" applyNumberFormat="1" applyFont="1" applyFill="1" applyBorder="1" applyAlignment="1">
      <alignment horizontal="center" vertical="center"/>
    </xf>
    <xf numFmtId="0" fontId="0" fillId="0" borderId="0" xfId="2" applyNumberFormat="1" applyFont="1" applyAlignment="1">
      <alignment horizontal="center" vertical="center"/>
    </xf>
    <xf numFmtId="43" fontId="0" fillId="0" borderId="0" xfId="2" applyFont="1" applyFill="1" applyBorder="1" applyAlignment="1">
      <alignment horizontal="center" vertical="center"/>
    </xf>
    <xf numFmtId="10" fontId="0" fillId="3" borderId="11" xfId="1" applyNumberFormat="1" applyFont="1" applyFill="1" applyBorder="1" applyAlignment="1">
      <alignment horizontal="center"/>
    </xf>
  </cellXfs>
  <cellStyles count="3">
    <cellStyle name="Millares" xfId="2" builtinId="3"/>
    <cellStyle name="Normal" xfId="0" builtinId="0"/>
    <cellStyle name="Porcentaje" xfId="1" builtinId="5"/>
  </cellStyles>
  <dxfs count="0"/>
  <tableStyles count="0" defaultTableStyle="TableStyleMedium9" defaultPivotStyle="PivotStyleLight16"/>
  <colors>
    <mruColors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heetMetadata" Target="metadata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70"/>
  <sheetViews>
    <sheetView zoomScale="80" zoomScaleNormal="80" workbookViewId="0">
      <pane xSplit="3" ySplit="4" topLeftCell="D951" activePane="bottomRight" state="frozen"/>
      <selection pane="topRight" activeCell="D1" sqref="D1"/>
      <selection pane="bottomLeft" activeCell="A5" sqref="A5"/>
      <selection pane="bottomRight" activeCell="A967" sqref="A967:L969"/>
    </sheetView>
  </sheetViews>
  <sheetFormatPr baseColWidth="10" defaultColWidth="8.88671875" defaultRowHeight="14.4" x14ac:dyDescent="0.3"/>
  <cols>
    <col min="1" max="1" width="12" customWidth="1"/>
    <col min="2" max="2" width="15.109375" bestFit="1" customWidth="1"/>
    <col min="3" max="3" width="10.44140625" customWidth="1"/>
    <col min="4" max="4" width="12.33203125" bestFit="1" customWidth="1"/>
    <col min="5" max="5" width="15.109375" bestFit="1" customWidth="1"/>
    <col min="7" max="7" width="12.33203125" bestFit="1" customWidth="1"/>
    <col min="8" max="8" width="13.109375" hidden="1" customWidth="1"/>
    <col min="9" max="9" width="6.33203125" hidden="1" customWidth="1"/>
    <col min="10" max="10" width="9.88671875" hidden="1" customWidth="1"/>
    <col min="11" max="11" width="9.5546875" customWidth="1"/>
    <col min="12" max="12" width="12" bestFit="1" customWidth="1"/>
  </cols>
  <sheetData>
    <row r="1" spans="1:12" ht="23.4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2"/>
    </row>
    <row r="2" spans="1:12" ht="24" thickBot="1" x14ac:dyDescent="0.35">
      <c r="A2" s="1"/>
      <c r="B2" s="1"/>
      <c r="C2" s="1"/>
      <c r="D2" s="1"/>
      <c r="E2" s="1"/>
      <c r="F2" s="1"/>
      <c r="G2" s="1"/>
      <c r="H2" s="1"/>
      <c r="I2" s="1"/>
      <c r="J2" s="2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67" t="s">
        <v>4</v>
      </c>
      <c r="I3" s="68"/>
      <c r="J3" s="153"/>
      <c r="K3" s="915" t="s">
        <v>91</v>
      </c>
      <c r="L3" s="917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72" t="s">
        <v>8</v>
      </c>
      <c r="G4" s="923"/>
      <c r="H4" s="73" t="s">
        <v>9</v>
      </c>
      <c r="I4" s="72" t="s">
        <v>5</v>
      </c>
      <c r="J4" s="154" t="s">
        <v>10</v>
      </c>
      <c r="K4" s="916"/>
      <c r="L4" s="918"/>
    </row>
    <row r="5" spans="1:12" ht="15" thickBot="1" x14ac:dyDescent="0.35">
      <c r="A5" s="19">
        <v>1180</v>
      </c>
      <c r="B5" s="20">
        <v>54677</v>
      </c>
      <c r="C5" s="20" t="s">
        <v>11</v>
      </c>
      <c r="D5" s="27">
        <f t="shared" ref="D5:E7" si="0">+I5</f>
        <v>1181</v>
      </c>
      <c r="E5" s="27">
        <f t="shared" si="0"/>
        <v>52506.100000000006</v>
      </c>
      <c r="F5" s="27" t="s">
        <v>12</v>
      </c>
      <c r="G5" s="27">
        <v>86281</v>
      </c>
      <c r="H5" s="8"/>
      <c r="I5" s="8">
        <v>1181</v>
      </c>
      <c r="J5" s="8">
        <v>52506.100000000006</v>
      </c>
      <c r="K5" s="54">
        <f>+A5-D5</f>
        <v>-1</v>
      </c>
      <c r="L5" s="138">
        <f>((+B5/A5)-(E5/D5))/(B5/A5)</f>
        <v>4.0517201342091497E-2</v>
      </c>
    </row>
    <row r="6" spans="1:12" ht="15" thickBot="1" x14ac:dyDescent="0.35">
      <c r="A6" s="19">
        <v>226</v>
      </c>
      <c r="B6" s="20">
        <v>11340</v>
      </c>
      <c r="C6" s="20" t="s">
        <v>13</v>
      </c>
      <c r="D6" s="27">
        <f t="shared" si="0"/>
        <v>226</v>
      </c>
      <c r="E6" s="27">
        <f t="shared" si="0"/>
        <v>10975.7</v>
      </c>
      <c r="F6" s="27" t="s">
        <v>14</v>
      </c>
      <c r="G6" s="27">
        <v>86291</v>
      </c>
      <c r="H6" s="8"/>
      <c r="I6" s="8">
        <v>226</v>
      </c>
      <c r="J6" s="8">
        <v>10975.7</v>
      </c>
      <c r="K6" s="54">
        <f>+A6-D6</f>
        <v>0</v>
      </c>
      <c r="L6" s="138">
        <f t="shared" ref="L6:L7" si="1">+(B6-E6)/B6</f>
        <v>3.2125220458553726E-2</v>
      </c>
    </row>
    <row r="7" spans="1:12" ht="15" thickBot="1" x14ac:dyDescent="0.35">
      <c r="A7" s="21">
        <v>140</v>
      </c>
      <c r="B7" s="22">
        <v>7032.25</v>
      </c>
      <c r="C7" s="22" t="s">
        <v>15</v>
      </c>
      <c r="D7" s="28">
        <f t="shared" si="0"/>
        <v>140</v>
      </c>
      <c r="E7" s="28">
        <f t="shared" si="0"/>
        <v>6849.7</v>
      </c>
      <c r="F7" s="28" t="s">
        <v>16</v>
      </c>
      <c r="G7" s="28">
        <v>86301</v>
      </c>
      <c r="H7" s="10"/>
      <c r="I7" s="10">
        <v>140</v>
      </c>
      <c r="J7" s="10">
        <v>6849.7</v>
      </c>
      <c r="K7" s="55">
        <f>+A7-D7</f>
        <v>0</v>
      </c>
      <c r="L7" s="138">
        <f t="shared" si="1"/>
        <v>2.5958974723594892E-2</v>
      </c>
    </row>
    <row r="8" spans="1:12" x14ac:dyDescent="0.3">
      <c r="A8" s="891">
        <v>590</v>
      </c>
      <c r="B8" s="894">
        <v>25542.25</v>
      </c>
      <c r="C8" s="894" t="s">
        <v>17</v>
      </c>
      <c r="D8" s="905">
        <f>+I8+I9</f>
        <v>590</v>
      </c>
      <c r="E8" s="905">
        <f>+J8+J9</f>
        <v>24864.7</v>
      </c>
      <c r="F8" s="29" t="s">
        <v>18</v>
      </c>
      <c r="G8" s="29">
        <v>86311</v>
      </c>
      <c r="H8" s="12"/>
      <c r="I8" s="12">
        <v>300</v>
      </c>
      <c r="J8" s="12">
        <v>12644.5</v>
      </c>
      <c r="K8" s="877">
        <f>+A8-D8</f>
        <v>0</v>
      </c>
      <c r="L8" s="911">
        <f t="shared" ref="L8" si="2">+(B8-E8)/B8</f>
        <v>2.6526637238301218E-2</v>
      </c>
    </row>
    <row r="9" spans="1:12" ht="15" thickBot="1" x14ac:dyDescent="0.35">
      <c r="A9" s="893"/>
      <c r="B9" s="896"/>
      <c r="C9" s="896"/>
      <c r="D9" s="907"/>
      <c r="E9" s="907"/>
      <c r="F9" s="28" t="s">
        <v>18</v>
      </c>
      <c r="G9" s="28">
        <v>86311</v>
      </c>
      <c r="H9" s="10"/>
      <c r="I9" s="10">
        <v>290</v>
      </c>
      <c r="J9" s="10">
        <v>12220.2</v>
      </c>
      <c r="K9" s="878"/>
      <c r="L9" s="912"/>
    </row>
    <row r="10" spans="1:12" ht="15" thickBot="1" x14ac:dyDescent="0.35">
      <c r="A10" s="19">
        <v>500</v>
      </c>
      <c r="B10" s="20">
        <v>22173.599999999999</v>
      </c>
      <c r="C10" s="20" t="s">
        <v>19</v>
      </c>
      <c r="D10" s="27">
        <f t="shared" ref="D10:E17" si="3">+I10</f>
        <v>500</v>
      </c>
      <c r="E10" s="27">
        <f t="shared" si="3"/>
        <v>21461.600000000002</v>
      </c>
      <c r="F10" s="27" t="s">
        <v>20</v>
      </c>
      <c r="G10" s="27">
        <v>86401</v>
      </c>
      <c r="H10" s="8"/>
      <c r="I10" s="8">
        <v>500</v>
      </c>
      <c r="J10" s="8">
        <v>21461.600000000002</v>
      </c>
      <c r="K10" s="54">
        <f t="shared" ref="K10:K18" si="4">+A10-D10</f>
        <v>0</v>
      </c>
      <c r="L10" s="138">
        <f t="shared" ref="L10:L18" si="5">+(B10-E10)/B10</f>
        <v>3.211025724284719E-2</v>
      </c>
    </row>
    <row r="11" spans="1:12" ht="15" thickBot="1" x14ac:dyDescent="0.35">
      <c r="A11" s="19">
        <v>683</v>
      </c>
      <c r="B11" s="20">
        <v>36238.25</v>
      </c>
      <c r="C11" s="20" t="s">
        <v>21</v>
      </c>
      <c r="D11" s="27">
        <f t="shared" si="3"/>
        <v>683</v>
      </c>
      <c r="E11" s="27">
        <f t="shared" si="3"/>
        <v>35059.800000000003</v>
      </c>
      <c r="F11" s="27" t="s">
        <v>22</v>
      </c>
      <c r="G11" s="27">
        <v>86411</v>
      </c>
      <c r="H11" s="8"/>
      <c r="I11" s="8">
        <v>683</v>
      </c>
      <c r="J11" s="8">
        <v>35059.800000000003</v>
      </c>
      <c r="K11" s="54">
        <f t="shared" si="4"/>
        <v>0</v>
      </c>
      <c r="L11" s="138">
        <f t="shared" si="5"/>
        <v>3.2519506322739013E-2</v>
      </c>
    </row>
    <row r="12" spans="1:12" ht="15" thickBot="1" x14ac:dyDescent="0.35">
      <c r="A12" s="19">
        <v>484</v>
      </c>
      <c r="B12" s="20">
        <v>22438</v>
      </c>
      <c r="C12" s="20" t="s">
        <v>23</v>
      </c>
      <c r="D12" s="27">
        <f t="shared" si="3"/>
        <v>484</v>
      </c>
      <c r="E12" s="27">
        <f t="shared" si="3"/>
        <v>22003.100000000002</v>
      </c>
      <c r="F12" s="27" t="s">
        <v>24</v>
      </c>
      <c r="G12" s="27">
        <v>86421</v>
      </c>
      <c r="H12" s="8"/>
      <c r="I12" s="8">
        <v>484</v>
      </c>
      <c r="J12" s="8">
        <v>22003.100000000002</v>
      </c>
      <c r="K12" s="54">
        <f t="shared" si="4"/>
        <v>0</v>
      </c>
      <c r="L12" s="138">
        <f t="shared" si="5"/>
        <v>1.9382297887512157E-2</v>
      </c>
    </row>
    <row r="13" spans="1:12" ht="15" thickBot="1" x14ac:dyDescent="0.35">
      <c r="A13" s="19">
        <v>206</v>
      </c>
      <c r="B13" s="20">
        <v>9179.5</v>
      </c>
      <c r="C13" s="20" t="s">
        <v>25</v>
      </c>
      <c r="D13" s="27">
        <f t="shared" si="3"/>
        <v>206</v>
      </c>
      <c r="E13" s="27">
        <f t="shared" si="3"/>
        <v>8939.7999999999993</v>
      </c>
      <c r="F13" s="27" t="s">
        <v>26</v>
      </c>
      <c r="G13" s="27">
        <v>86481</v>
      </c>
      <c r="H13" s="14"/>
      <c r="I13" s="8">
        <v>206</v>
      </c>
      <c r="J13" s="8">
        <v>8939.7999999999993</v>
      </c>
      <c r="K13" s="54">
        <f t="shared" si="4"/>
        <v>0</v>
      </c>
      <c r="L13" s="138">
        <f t="shared" si="5"/>
        <v>2.6112533362383651E-2</v>
      </c>
    </row>
    <row r="14" spans="1:12" ht="15" thickBot="1" x14ac:dyDescent="0.35">
      <c r="A14" s="23">
        <v>832</v>
      </c>
      <c r="B14" s="24">
        <v>45540</v>
      </c>
      <c r="C14" s="24" t="s">
        <v>27</v>
      </c>
      <c r="D14" s="29">
        <f t="shared" si="3"/>
        <v>832</v>
      </c>
      <c r="E14" s="29">
        <f t="shared" si="3"/>
        <v>43936.100000000006</v>
      </c>
      <c r="F14" s="29" t="s">
        <v>28</v>
      </c>
      <c r="G14" s="29">
        <v>86491</v>
      </c>
      <c r="H14" s="12"/>
      <c r="I14" s="12">
        <v>832</v>
      </c>
      <c r="J14" s="12">
        <v>43936.100000000006</v>
      </c>
      <c r="K14" s="56">
        <f t="shared" si="4"/>
        <v>0</v>
      </c>
      <c r="L14" s="138">
        <f t="shared" si="5"/>
        <v>3.5219587176108791E-2</v>
      </c>
    </row>
    <row r="15" spans="1:12" ht="15" thickBot="1" x14ac:dyDescent="0.35">
      <c r="A15" s="23">
        <v>283</v>
      </c>
      <c r="B15" s="24">
        <v>12768</v>
      </c>
      <c r="C15" s="24" t="s">
        <v>29</v>
      </c>
      <c r="D15" s="29">
        <f t="shared" si="3"/>
        <v>283</v>
      </c>
      <c r="E15" s="29">
        <f t="shared" si="3"/>
        <v>12548.6</v>
      </c>
      <c r="F15" s="29" t="s">
        <v>30</v>
      </c>
      <c r="G15" s="29">
        <v>86501</v>
      </c>
      <c r="H15" s="12"/>
      <c r="I15" s="12">
        <v>283</v>
      </c>
      <c r="J15" s="12">
        <v>12548.6</v>
      </c>
      <c r="K15" s="56">
        <f t="shared" si="4"/>
        <v>0</v>
      </c>
      <c r="L15" s="138">
        <f t="shared" si="5"/>
        <v>1.7183583959899721E-2</v>
      </c>
    </row>
    <row r="16" spans="1:12" ht="15" thickBot="1" x14ac:dyDescent="0.35">
      <c r="A16" s="19">
        <v>1406</v>
      </c>
      <c r="B16" s="20">
        <v>74004.25</v>
      </c>
      <c r="C16" s="20" t="s">
        <v>31</v>
      </c>
      <c r="D16" s="27">
        <f t="shared" si="3"/>
        <v>1408</v>
      </c>
      <c r="E16" s="27">
        <f t="shared" si="3"/>
        <v>69403.7</v>
      </c>
      <c r="F16" s="27" t="s">
        <v>32</v>
      </c>
      <c r="G16" s="27">
        <v>86511</v>
      </c>
      <c r="H16" s="8"/>
      <c r="I16" s="8">
        <v>1408</v>
      </c>
      <c r="J16" s="8">
        <v>69403.7</v>
      </c>
      <c r="K16" s="54">
        <f t="shared" si="4"/>
        <v>-2</v>
      </c>
      <c r="L16" s="138">
        <f>((+B16/A16)-(E16/D16))/(B16/A16)</f>
        <v>6.3498174782345151E-2</v>
      </c>
    </row>
    <row r="17" spans="1:12" ht="15" thickBot="1" x14ac:dyDescent="0.35">
      <c r="A17" s="25">
        <v>835</v>
      </c>
      <c r="B17" s="26">
        <v>44747.75</v>
      </c>
      <c r="C17" s="26" t="s">
        <v>33</v>
      </c>
      <c r="D17" s="30">
        <f t="shared" si="3"/>
        <v>835</v>
      </c>
      <c r="E17" s="30">
        <f t="shared" si="3"/>
        <v>42137.799999999996</v>
      </c>
      <c r="F17" s="30" t="s">
        <v>34</v>
      </c>
      <c r="G17" s="30">
        <v>86521</v>
      </c>
      <c r="H17" s="15"/>
      <c r="I17" s="15">
        <v>835</v>
      </c>
      <c r="J17" s="15">
        <v>42137.799999999996</v>
      </c>
      <c r="K17" s="57">
        <f t="shared" si="4"/>
        <v>0</v>
      </c>
      <c r="L17" s="138">
        <f t="shared" si="5"/>
        <v>5.8325837611947068E-2</v>
      </c>
    </row>
    <row r="18" spans="1:12" x14ac:dyDescent="0.3">
      <c r="A18" s="891">
        <v>1246</v>
      </c>
      <c r="B18" s="894">
        <v>66685</v>
      </c>
      <c r="C18" s="894" t="s">
        <v>35</v>
      </c>
      <c r="D18" s="905">
        <f>+I18+I19</f>
        <v>1246</v>
      </c>
      <c r="E18" s="905">
        <f>+J18+J19</f>
        <v>63019.399999999994</v>
      </c>
      <c r="F18" s="29" t="s">
        <v>36</v>
      </c>
      <c r="G18" s="29">
        <v>86551</v>
      </c>
      <c r="H18" s="12"/>
      <c r="I18" s="12">
        <v>400</v>
      </c>
      <c r="J18" s="12">
        <v>20209.8</v>
      </c>
      <c r="K18" s="877">
        <f t="shared" si="4"/>
        <v>0</v>
      </c>
      <c r="L18" s="911">
        <f t="shared" si="5"/>
        <v>5.4968883557021904E-2</v>
      </c>
    </row>
    <row r="19" spans="1:12" ht="15" thickBot="1" x14ac:dyDescent="0.35">
      <c r="A19" s="893"/>
      <c r="B19" s="896"/>
      <c r="C19" s="896"/>
      <c r="D19" s="907"/>
      <c r="E19" s="907"/>
      <c r="F19" s="28" t="s">
        <v>36</v>
      </c>
      <c r="G19" s="28">
        <v>86551</v>
      </c>
      <c r="H19" s="10"/>
      <c r="I19" s="10">
        <v>846</v>
      </c>
      <c r="J19" s="10">
        <v>42809.599999999999</v>
      </c>
      <c r="K19" s="878"/>
      <c r="L19" s="912"/>
    </row>
    <row r="20" spans="1:12" ht="15" thickBot="1" x14ac:dyDescent="0.35">
      <c r="A20" s="19">
        <v>455</v>
      </c>
      <c r="B20" s="20">
        <v>19668.75</v>
      </c>
      <c r="C20" s="20" t="s">
        <v>37</v>
      </c>
      <c r="D20" s="27">
        <f>+I20</f>
        <v>457</v>
      </c>
      <c r="E20" s="27">
        <f>+J20</f>
        <v>19137.099999999999</v>
      </c>
      <c r="F20" s="27" t="s">
        <v>38</v>
      </c>
      <c r="G20" s="27">
        <v>86561</v>
      </c>
      <c r="H20" s="8"/>
      <c r="I20" s="8">
        <v>457</v>
      </c>
      <c r="J20" s="8">
        <v>19137.099999999999</v>
      </c>
      <c r="K20" s="54">
        <f>+A20-D20</f>
        <v>-2</v>
      </c>
      <c r="L20" s="32">
        <f>((+B20/A20)-(E20/D20))/(B20/A20)</f>
        <v>3.1288261057907378E-2</v>
      </c>
    </row>
    <row r="21" spans="1:12" ht="15" thickBot="1" x14ac:dyDescent="0.35">
      <c r="A21" s="23">
        <v>744</v>
      </c>
      <c r="B21" s="24">
        <v>34178.5</v>
      </c>
      <c r="C21" s="24" t="s">
        <v>39</v>
      </c>
      <c r="D21" s="29">
        <f>+I21</f>
        <v>737</v>
      </c>
      <c r="E21" s="29">
        <f>+J21</f>
        <v>33506.9</v>
      </c>
      <c r="F21" s="29" t="s">
        <v>40</v>
      </c>
      <c r="G21" s="29">
        <v>86571</v>
      </c>
      <c r="H21" s="12"/>
      <c r="I21" s="12">
        <v>737</v>
      </c>
      <c r="J21" s="12">
        <v>33506.9</v>
      </c>
      <c r="K21" s="56">
        <f>+A21-D21</f>
        <v>7</v>
      </c>
      <c r="L21" s="32">
        <f>((+B21/A21)-(E21/D21))/(B21/A21)</f>
        <v>1.0338448026145084E-2</v>
      </c>
    </row>
    <row r="22" spans="1:12" x14ac:dyDescent="0.3">
      <c r="A22" s="891">
        <v>2621</v>
      </c>
      <c r="B22" s="894">
        <v>133093</v>
      </c>
      <c r="C22" s="894" t="s">
        <v>41</v>
      </c>
      <c r="D22" s="905">
        <f>+I22+I23</f>
        <v>2621</v>
      </c>
      <c r="E22" s="905">
        <f>+J22+J23</f>
        <v>129064.00000000001</v>
      </c>
      <c r="F22" s="29" t="s">
        <v>42</v>
      </c>
      <c r="G22" s="29">
        <v>86591</v>
      </c>
      <c r="H22" s="12"/>
      <c r="I22" s="12">
        <v>2421</v>
      </c>
      <c r="J22" s="12">
        <v>119009.20000000001</v>
      </c>
      <c r="K22" s="877">
        <f>+A22-D22</f>
        <v>0</v>
      </c>
      <c r="L22" s="911">
        <f t="shared" ref="L22" si="6">+(B22-E22)/B22</f>
        <v>3.027206539787957E-2</v>
      </c>
    </row>
    <row r="23" spans="1:12" ht="15" thickBot="1" x14ac:dyDescent="0.35">
      <c r="A23" s="893"/>
      <c r="B23" s="896"/>
      <c r="C23" s="896"/>
      <c r="D23" s="907"/>
      <c r="E23" s="907"/>
      <c r="F23" s="28" t="s">
        <v>42</v>
      </c>
      <c r="G23" s="28">
        <v>86591</v>
      </c>
      <c r="H23" s="10"/>
      <c r="I23" s="10">
        <v>200</v>
      </c>
      <c r="J23" s="10">
        <v>10054.799999999999</v>
      </c>
      <c r="K23" s="878"/>
      <c r="L23" s="912"/>
    </row>
    <row r="24" spans="1:12" ht="15" thickBot="1" x14ac:dyDescent="0.35">
      <c r="A24" s="25">
        <v>63</v>
      </c>
      <c r="B24" s="26">
        <v>3067</v>
      </c>
      <c r="C24" s="26" t="s">
        <v>43</v>
      </c>
      <c r="D24" s="30">
        <f t="shared" ref="D24:E40" si="7">+I24</f>
        <v>63</v>
      </c>
      <c r="E24" s="30">
        <f t="shared" si="7"/>
        <v>2991.9</v>
      </c>
      <c r="F24" s="30" t="s">
        <v>44</v>
      </c>
      <c r="G24" s="30">
        <v>86651</v>
      </c>
      <c r="H24" s="15"/>
      <c r="I24" s="15">
        <v>63</v>
      </c>
      <c r="J24" s="15">
        <v>2991.9</v>
      </c>
      <c r="K24" s="57">
        <f>+A24-D24</f>
        <v>0</v>
      </c>
      <c r="L24" s="33">
        <f t="shared" ref="L24:L28" si="8">+(B24-E24)/B24</f>
        <v>2.4486468862080179E-2</v>
      </c>
    </row>
    <row r="25" spans="1:12" ht="15" thickBot="1" x14ac:dyDescent="0.35">
      <c r="A25" s="19">
        <v>2697</v>
      </c>
      <c r="B25" s="20">
        <v>121000.1</v>
      </c>
      <c r="C25" s="20" t="s">
        <v>45</v>
      </c>
      <c r="D25" s="27">
        <f t="shared" si="7"/>
        <v>2697</v>
      </c>
      <c r="E25" s="27">
        <f t="shared" si="7"/>
        <v>117033.1</v>
      </c>
      <c r="F25" s="27" t="s">
        <v>46</v>
      </c>
      <c r="G25" s="27">
        <v>86661</v>
      </c>
      <c r="H25" s="8"/>
      <c r="I25" s="8">
        <v>2697</v>
      </c>
      <c r="J25" s="8">
        <v>117033.1</v>
      </c>
      <c r="K25" s="54">
        <f>+A25-D25</f>
        <v>0</v>
      </c>
      <c r="L25" s="34">
        <f t="shared" si="8"/>
        <v>3.2785096871820768E-2</v>
      </c>
    </row>
    <row r="26" spans="1:12" ht="15" thickBot="1" x14ac:dyDescent="0.35">
      <c r="A26" s="25">
        <v>365</v>
      </c>
      <c r="B26" s="26">
        <v>14873.75</v>
      </c>
      <c r="C26" s="26" t="s">
        <v>47</v>
      </c>
      <c r="D26" s="30">
        <f t="shared" si="7"/>
        <v>367</v>
      </c>
      <c r="E26" s="30">
        <f t="shared" si="7"/>
        <v>14620.7</v>
      </c>
      <c r="F26" s="30" t="s">
        <v>48</v>
      </c>
      <c r="G26" s="30">
        <v>86721</v>
      </c>
      <c r="H26" s="15"/>
      <c r="I26" s="15">
        <v>367</v>
      </c>
      <c r="J26" s="15">
        <v>14620.7</v>
      </c>
      <c r="K26" s="57">
        <f>+A26-D26</f>
        <v>-2</v>
      </c>
      <c r="L26" s="33">
        <f>((+B26/A26)-(E26/D26))/(B26/A26)</f>
        <v>2.2370070710954319E-2</v>
      </c>
    </row>
    <row r="27" spans="1:12" ht="15" thickBot="1" x14ac:dyDescent="0.35">
      <c r="A27" s="19">
        <v>370</v>
      </c>
      <c r="B27" s="20">
        <v>16483.25</v>
      </c>
      <c r="C27" s="20" t="s">
        <v>49</v>
      </c>
      <c r="D27" s="27">
        <f t="shared" si="7"/>
        <v>370</v>
      </c>
      <c r="E27" s="27">
        <f t="shared" si="7"/>
        <v>16476.8</v>
      </c>
      <c r="F27" s="27" t="s">
        <v>50</v>
      </c>
      <c r="G27" s="27">
        <v>86731</v>
      </c>
      <c r="H27" s="8"/>
      <c r="I27" s="8">
        <v>370</v>
      </c>
      <c r="J27" s="8">
        <v>16476.8</v>
      </c>
      <c r="K27" s="54">
        <f>+A27-D27</f>
        <v>0</v>
      </c>
      <c r="L27" s="34">
        <f t="shared" si="8"/>
        <v>3.9130632611898307E-4</v>
      </c>
    </row>
    <row r="28" spans="1:12" x14ac:dyDescent="0.3">
      <c r="A28" s="891">
        <v>904</v>
      </c>
      <c r="B28" s="894">
        <v>41043</v>
      </c>
      <c r="C28" s="894" t="s">
        <v>51</v>
      </c>
      <c r="D28" s="905">
        <f>+I28+I29</f>
        <v>904</v>
      </c>
      <c r="E28" s="905">
        <f>+J28+J29</f>
        <v>40129.9</v>
      </c>
      <c r="F28" s="30" t="s">
        <v>52</v>
      </c>
      <c r="G28" s="30">
        <v>86741</v>
      </c>
      <c r="H28" s="15"/>
      <c r="I28" s="15">
        <v>392</v>
      </c>
      <c r="J28" s="15">
        <v>17578.400000000001</v>
      </c>
      <c r="K28" s="877">
        <f>+A28-D28</f>
        <v>0</v>
      </c>
      <c r="L28" s="911">
        <f t="shared" si="8"/>
        <v>2.2247399069268779E-2</v>
      </c>
    </row>
    <row r="29" spans="1:12" ht="15" thickBot="1" x14ac:dyDescent="0.35">
      <c r="A29" s="893"/>
      <c r="B29" s="896"/>
      <c r="C29" s="896"/>
      <c r="D29" s="907"/>
      <c r="E29" s="907"/>
      <c r="F29" s="30" t="s">
        <v>52</v>
      </c>
      <c r="G29" s="30">
        <v>86741</v>
      </c>
      <c r="H29" s="15"/>
      <c r="I29" s="15">
        <v>512</v>
      </c>
      <c r="J29" s="15">
        <v>22551.5</v>
      </c>
      <c r="K29" s="878"/>
      <c r="L29" s="912"/>
    </row>
    <row r="30" spans="1:12" ht="15" thickBot="1" x14ac:dyDescent="0.35">
      <c r="A30" s="19">
        <v>50</v>
      </c>
      <c r="B30" s="20">
        <v>2325.5</v>
      </c>
      <c r="C30" s="20" t="s">
        <v>53</v>
      </c>
      <c r="D30" s="27">
        <f t="shared" si="7"/>
        <v>50</v>
      </c>
      <c r="E30" s="27">
        <f t="shared" si="7"/>
        <v>2233.1999999999998</v>
      </c>
      <c r="F30" s="27" t="s">
        <v>54</v>
      </c>
      <c r="G30" s="27">
        <v>86801</v>
      </c>
      <c r="H30" s="8"/>
      <c r="I30" s="8">
        <v>50</v>
      </c>
      <c r="J30" s="8">
        <v>2233.1999999999998</v>
      </c>
      <c r="K30" s="54">
        <f t="shared" ref="K30:K42" si="9">+A30-D30</f>
        <v>0</v>
      </c>
      <c r="L30" s="35">
        <f t="shared" ref="L30:L41" si="10">+(B30-E30)/B30</f>
        <v>3.9690389163620804E-2</v>
      </c>
    </row>
    <row r="31" spans="1:12" ht="15" thickBot="1" x14ac:dyDescent="0.35">
      <c r="A31" s="19">
        <v>49</v>
      </c>
      <c r="B31" s="20">
        <v>2247.5</v>
      </c>
      <c r="C31" s="20" t="s">
        <v>55</v>
      </c>
      <c r="D31" s="27">
        <f>+I31</f>
        <v>49</v>
      </c>
      <c r="E31" s="27">
        <f t="shared" si="7"/>
        <v>2184.5</v>
      </c>
      <c r="F31" s="27" t="s">
        <v>56</v>
      </c>
      <c r="G31" s="27">
        <v>86811</v>
      </c>
      <c r="H31" s="8"/>
      <c r="I31" s="8">
        <v>49</v>
      </c>
      <c r="J31" s="8">
        <v>2184.5</v>
      </c>
      <c r="K31" s="54">
        <f t="shared" si="9"/>
        <v>0</v>
      </c>
      <c r="L31" s="33">
        <f t="shared" si="10"/>
        <v>2.8031145717463849E-2</v>
      </c>
    </row>
    <row r="32" spans="1:12" ht="15" thickBot="1" x14ac:dyDescent="0.35">
      <c r="A32" s="19">
        <v>442</v>
      </c>
      <c r="B32" s="20">
        <v>21131.75</v>
      </c>
      <c r="C32" s="20" t="s">
        <v>57</v>
      </c>
      <c r="D32" s="27">
        <f t="shared" ref="D32:E41" si="11">+I32</f>
        <v>442</v>
      </c>
      <c r="E32" s="27">
        <f t="shared" si="7"/>
        <v>20440.3</v>
      </c>
      <c r="F32" s="27" t="s">
        <v>58</v>
      </c>
      <c r="G32" s="27">
        <v>86821</v>
      </c>
      <c r="H32" s="8"/>
      <c r="I32" s="8">
        <v>442</v>
      </c>
      <c r="J32" s="8">
        <v>20440.3</v>
      </c>
      <c r="K32" s="54">
        <f t="shared" si="9"/>
        <v>0</v>
      </c>
      <c r="L32" s="35">
        <f t="shared" si="10"/>
        <v>3.2720905746093001E-2</v>
      </c>
    </row>
    <row r="33" spans="1:12" ht="15" thickBot="1" x14ac:dyDescent="0.35">
      <c r="A33" s="21">
        <v>204</v>
      </c>
      <c r="B33" s="22">
        <v>8764.75</v>
      </c>
      <c r="C33" s="22" t="s">
        <v>59</v>
      </c>
      <c r="D33" s="27">
        <f t="shared" si="11"/>
        <v>204</v>
      </c>
      <c r="E33" s="27">
        <f t="shared" si="7"/>
        <v>8475.1</v>
      </c>
      <c r="F33" s="28" t="s">
        <v>60</v>
      </c>
      <c r="G33" s="28">
        <v>86831</v>
      </c>
      <c r="H33" s="10"/>
      <c r="I33" s="10">
        <v>204</v>
      </c>
      <c r="J33" s="10">
        <v>8475.1</v>
      </c>
      <c r="K33" s="55">
        <f t="shared" si="9"/>
        <v>0</v>
      </c>
      <c r="L33" s="35">
        <f t="shared" si="10"/>
        <v>3.3047149091531378E-2</v>
      </c>
    </row>
    <row r="34" spans="1:12" ht="15" thickBot="1" x14ac:dyDescent="0.35">
      <c r="A34" s="21">
        <v>1400</v>
      </c>
      <c r="B34" s="22">
        <v>73469.5</v>
      </c>
      <c r="C34" s="22" t="s">
        <v>61</v>
      </c>
      <c r="D34" s="27">
        <f t="shared" si="11"/>
        <v>1400</v>
      </c>
      <c r="E34" s="27">
        <f t="shared" si="7"/>
        <v>69501.3</v>
      </c>
      <c r="F34" s="28" t="s">
        <v>62</v>
      </c>
      <c r="G34" s="28">
        <v>86841</v>
      </c>
      <c r="H34" s="10"/>
      <c r="I34" s="10">
        <v>1400</v>
      </c>
      <c r="J34" s="10">
        <v>69501.3</v>
      </c>
      <c r="K34" s="55">
        <f t="shared" si="9"/>
        <v>0</v>
      </c>
      <c r="L34" s="35">
        <f t="shared" si="10"/>
        <v>5.4011528593497941E-2</v>
      </c>
    </row>
    <row r="35" spans="1:12" ht="15" thickBot="1" x14ac:dyDescent="0.35">
      <c r="A35" s="21">
        <v>1066</v>
      </c>
      <c r="B35" s="22">
        <v>45915.25</v>
      </c>
      <c r="C35" s="22" t="s">
        <v>63</v>
      </c>
      <c r="D35" s="27">
        <f t="shared" si="11"/>
        <v>1061</v>
      </c>
      <c r="E35" s="27">
        <f t="shared" si="7"/>
        <v>44676.400000000009</v>
      </c>
      <c r="F35" s="28" t="s">
        <v>64</v>
      </c>
      <c r="G35" s="28">
        <v>86851</v>
      </c>
      <c r="H35" s="10"/>
      <c r="I35" s="10">
        <v>1061</v>
      </c>
      <c r="J35" s="10">
        <v>44676.400000000009</v>
      </c>
      <c r="K35" s="55">
        <f t="shared" si="9"/>
        <v>5</v>
      </c>
      <c r="L35" s="35">
        <f>((+B35/A35)-(E35/D35))/(B35/A35)</f>
        <v>2.2395846389960599E-2</v>
      </c>
    </row>
    <row r="36" spans="1:12" ht="15" thickBot="1" x14ac:dyDescent="0.35">
      <c r="A36" s="21">
        <v>223</v>
      </c>
      <c r="B36" s="22">
        <v>10329.25</v>
      </c>
      <c r="C36" s="22" t="s">
        <v>65</v>
      </c>
      <c r="D36" s="27">
        <f t="shared" si="11"/>
        <v>223</v>
      </c>
      <c r="E36" s="27">
        <f t="shared" si="7"/>
        <v>10198</v>
      </c>
      <c r="F36" s="28" t="s">
        <v>66</v>
      </c>
      <c r="G36" s="28">
        <v>86931</v>
      </c>
      <c r="H36" s="10"/>
      <c r="I36" s="10">
        <v>223</v>
      </c>
      <c r="J36" s="10">
        <v>10198</v>
      </c>
      <c r="K36" s="55">
        <f t="shared" si="9"/>
        <v>0</v>
      </c>
      <c r="L36" s="35">
        <f t="shared" si="10"/>
        <v>1.2706634073141806E-2</v>
      </c>
    </row>
    <row r="37" spans="1:12" ht="15" thickBot="1" x14ac:dyDescent="0.35">
      <c r="A37" s="21">
        <v>209</v>
      </c>
      <c r="B37" s="22">
        <v>8477.5</v>
      </c>
      <c r="C37" s="22" t="s">
        <v>67</v>
      </c>
      <c r="D37" s="27">
        <f t="shared" si="11"/>
        <v>207</v>
      </c>
      <c r="E37" s="27">
        <f t="shared" si="7"/>
        <v>8225.6</v>
      </c>
      <c r="F37" s="28" t="s">
        <v>68</v>
      </c>
      <c r="G37" s="28">
        <v>86941</v>
      </c>
      <c r="H37" s="10"/>
      <c r="I37" s="10">
        <v>207</v>
      </c>
      <c r="J37" s="10">
        <v>8225.6</v>
      </c>
      <c r="K37" s="55">
        <f t="shared" si="9"/>
        <v>2</v>
      </c>
      <c r="L37" s="35">
        <f>((+B37/A37)-(E37/D37))/(B37/A37)</f>
        <v>2.0339204230579062E-2</v>
      </c>
    </row>
    <row r="38" spans="1:12" ht="15" thickBot="1" x14ac:dyDescent="0.35">
      <c r="A38" s="21">
        <v>536</v>
      </c>
      <c r="B38" s="22">
        <v>22485.75</v>
      </c>
      <c r="C38" s="22" t="s">
        <v>69</v>
      </c>
      <c r="D38" s="27">
        <f t="shared" si="11"/>
        <v>536</v>
      </c>
      <c r="E38" s="27">
        <f t="shared" si="7"/>
        <v>21988.1</v>
      </c>
      <c r="F38" s="28" t="s">
        <v>70</v>
      </c>
      <c r="G38" s="28">
        <v>86951</v>
      </c>
      <c r="H38" s="10"/>
      <c r="I38" s="10">
        <v>536</v>
      </c>
      <c r="J38" s="10">
        <v>21988.1</v>
      </c>
      <c r="K38" s="55">
        <f t="shared" si="9"/>
        <v>0</v>
      </c>
      <c r="L38" s="35">
        <f t="shared" si="10"/>
        <v>2.2131794581012484E-2</v>
      </c>
    </row>
    <row r="39" spans="1:12" ht="15" thickBot="1" x14ac:dyDescent="0.35">
      <c r="A39" s="21">
        <v>238</v>
      </c>
      <c r="B39" s="22">
        <v>10042.25</v>
      </c>
      <c r="C39" s="22" t="s">
        <v>71</v>
      </c>
      <c r="D39" s="27">
        <f t="shared" si="11"/>
        <v>238</v>
      </c>
      <c r="E39" s="27">
        <f t="shared" si="7"/>
        <v>9695.5</v>
      </c>
      <c r="F39" s="28" t="s">
        <v>72</v>
      </c>
      <c r="G39" s="28">
        <v>86961</v>
      </c>
      <c r="H39" s="10"/>
      <c r="I39" s="10">
        <v>238</v>
      </c>
      <c r="J39" s="10">
        <v>9695.5</v>
      </c>
      <c r="K39" s="55">
        <f t="shared" si="9"/>
        <v>0</v>
      </c>
      <c r="L39" s="35">
        <f t="shared" si="10"/>
        <v>3.4529114491274368E-2</v>
      </c>
    </row>
    <row r="40" spans="1:12" ht="15" thickBot="1" x14ac:dyDescent="0.35">
      <c r="A40" s="21">
        <v>1697</v>
      </c>
      <c r="B40" s="22">
        <v>78765.600000000006</v>
      </c>
      <c r="C40" s="22" t="s">
        <v>73</v>
      </c>
      <c r="D40" s="27">
        <f t="shared" si="11"/>
        <v>1697</v>
      </c>
      <c r="E40" s="27">
        <f t="shared" si="7"/>
        <v>77243.500000000015</v>
      </c>
      <c r="F40" s="28" t="s">
        <v>74</v>
      </c>
      <c r="G40" s="28">
        <v>97011</v>
      </c>
      <c r="H40" s="10"/>
      <c r="I40" s="10">
        <v>1697</v>
      </c>
      <c r="J40" s="10">
        <v>77243.500000000015</v>
      </c>
      <c r="K40" s="55">
        <f t="shared" si="9"/>
        <v>0</v>
      </c>
      <c r="L40" s="35">
        <f t="shared" si="10"/>
        <v>1.9324425891505823E-2</v>
      </c>
    </row>
    <row r="41" spans="1:12" ht="15" thickBot="1" x14ac:dyDescent="0.35">
      <c r="A41" s="21">
        <v>1540</v>
      </c>
      <c r="B41" s="22">
        <v>70570.600000000006</v>
      </c>
      <c r="C41" s="22" t="s">
        <v>75</v>
      </c>
      <c r="D41" s="27">
        <f t="shared" si="11"/>
        <v>1540</v>
      </c>
      <c r="E41" s="27">
        <f t="shared" si="11"/>
        <v>68830.3</v>
      </c>
      <c r="F41" s="28" t="s">
        <v>76</v>
      </c>
      <c r="G41" s="28">
        <v>97061</v>
      </c>
      <c r="H41" s="10"/>
      <c r="I41" s="10">
        <v>1540</v>
      </c>
      <c r="J41" s="10">
        <v>68830.3</v>
      </c>
      <c r="K41" s="55">
        <f t="shared" si="9"/>
        <v>0</v>
      </c>
      <c r="L41" s="32">
        <f t="shared" si="10"/>
        <v>2.466041099267971E-2</v>
      </c>
    </row>
    <row r="42" spans="1:12" x14ac:dyDescent="0.3">
      <c r="A42" s="891">
        <v>2307</v>
      </c>
      <c r="B42" s="894">
        <v>104193.3</v>
      </c>
      <c r="C42" s="894" t="s">
        <v>77</v>
      </c>
      <c r="D42" s="905">
        <f>+I42+I44+I43</f>
        <v>2307</v>
      </c>
      <c r="E42" s="905">
        <f>+J42+J44+J43</f>
        <v>101330.29999999999</v>
      </c>
      <c r="F42" s="29" t="s">
        <v>78</v>
      </c>
      <c r="G42" s="29">
        <v>87151</v>
      </c>
      <c r="H42" s="12"/>
      <c r="I42" s="12">
        <v>490</v>
      </c>
      <c r="J42" s="12">
        <v>21508.400000000001</v>
      </c>
      <c r="K42" s="877">
        <f t="shared" si="9"/>
        <v>0</v>
      </c>
      <c r="L42" s="911">
        <f t="shared" ref="L42" si="12">+(B42-E42)/B42</f>
        <v>2.7477774482620423E-2</v>
      </c>
    </row>
    <row r="43" spans="1:12" x14ac:dyDescent="0.3">
      <c r="A43" s="892"/>
      <c r="B43" s="895"/>
      <c r="C43" s="895"/>
      <c r="D43" s="906"/>
      <c r="E43" s="906"/>
      <c r="F43" s="30" t="s">
        <v>78</v>
      </c>
      <c r="G43" s="30">
        <v>87151</v>
      </c>
      <c r="H43" s="15"/>
      <c r="I43" s="15">
        <v>140</v>
      </c>
      <c r="J43" s="15">
        <v>6265.9</v>
      </c>
      <c r="K43" s="886"/>
      <c r="L43" s="919"/>
    </row>
    <row r="44" spans="1:12" ht="15" thickBot="1" x14ac:dyDescent="0.35">
      <c r="A44" s="893"/>
      <c r="B44" s="896"/>
      <c r="C44" s="896"/>
      <c r="D44" s="907"/>
      <c r="E44" s="907"/>
      <c r="F44" s="28" t="s">
        <v>78</v>
      </c>
      <c r="G44" s="28">
        <v>87151</v>
      </c>
      <c r="H44" s="10"/>
      <c r="I44" s="10">
        <v>1677</v>
      </c>
      <c r="J44" s="10">
        <v>73556</v>
      </c>
      <c r="K44" s="878"/>
      <c r="L44" s="912"/>
    </row>
    <row r="45" spans="1:12" ht="15" thickBot="1" x14ac:dyDescent="0.35">
      <c r="A45" s="19">
        <v>981</v>
      </c>
      <c r="B45" s="20">
        <v>42637.5</v>
      </c>
      <c r="C45" s="20" t="s">
        <v>79</v>
      </c>
      <c r="D45" s="27">
        <f>+I45</f>
        <v>981</v>
      </c>
      <c r="E45" s="27">
        <f>+J45</f>
        <v>41798.800000000003</v>
      </c>
      <c r="F45" s="27" t="s">
        <v>80</v>
      </c>
      <c r="G45" s="27">
        <v>87211</v>
      </c>
      <c r="H45" s="8"/>
      <c r="I45" s="8">
        <v>981</v>
      </c>
      <c r="J45" s="8">
        <v>41798.800000000003</v>
      </c>
      <c r="K45" s="54">
        <f>+A45-D45</f>
        <v>0</v>
      </c>
      <c r="L45" s="35">
        <f t="shared" ref="L45" si="13">+(B45-E45)/B45</f>
        <v>1.9670477865728456E-2</v>
      </c>
    </row>
    <row r="46" spans="1:12" ht="15" thickBot="1" x14ac:dyDescent="0.35">
      <c r="A46" s="19">
        <v>99</v>
      </c>
      <c r="B46" s="20">
        <v>4451.75</v>
      </c>
      <c r="C46" s="20" t="s">
        <v>81</v>
      </c>
      <c r="D46" s="27">
        <f>+I46</f>
        <v>100</v>
      </c>
      <c r="E46" s="27">
        <f>+J46</f>
        <v>4300.3</v>
      </c>
      <c r="F46" s="27" t="s">
        <v>82</v>
      </c>
      <c r="G46" s="27">
        <v>87221</v>
      </c>
      <c r="H46" s="8"/>
      <c r="I46" s="8">
        <v>100</v>
      </c>
      <c r="J46" s="8">
        <v>4300.3</v>
      </c>
      <c r="K46" s="54">
        <f>+A46-D46</f>
        <v>-1</v>
      </c>
      <c r="L46" s="32">
        <f>((+B46/A46)-(E46/D46))/(B46/A46)</f>
        <v>4.3680125793227359E-2</v>
      </c>
    </row>
    <row r="47" spans="1:12" x14ac:dyDescent="0.3">
      <c r="A47" s="891">
        <v>1105</v>
      </c>
      <c r="B47" s="894">
        <v>50663.25</v>
      </c>
      <c r="C47" s="894" t="s">
        <v>83</v>
      </c>
      <c r="D47" s="905">
        <f>+I47+I48+I49</f>
        <v>1105</v>
      </c>
      <c r="E47" s="905">
        <f>+J47+J48+J49</f>
        <v>49630.400000000009</v>
      </c>
      <c r="F47" s="29" t="s">
        <v>84</v>
      </c>
      <c r="G47" s="29">
        <v>87261</v>
      </c>
      <c r="H47" s="12"/>
      <c r="I47" s="12">
        <v>773</v>
      </c>
      <c r="J47" s="12">
        <v>34390.9</v>
      </c>
      <c r="K47" s="877">
        <f>+A47-D47</f>
        <v>0</v>
      </c>
      <c r="L47" s="911">
        <f t="shared" ref="L47" si="14">+(B47-E47)/B47</f>
        <v>2.0386572120817185E-2</v>
      </c>
    </row>
    <row r="48" spans="1:12" x14ac:dyDescent="0.3">
      <c r="A48" s="892"/>
      <c r="B48" s="895"/>
      <c r="C48" s="895"/>
      <c r="D48" s="906"/>
      <c r="E48" s="906"/>
      <c r="F48" s="30" t="s">
        <v>84</v>
      </c>
      <c r="G48" s="30">
        <v>87261</v>
      </c>
      <c r="H48" s="15"/>
      <c r="I48" s="15">
        <v>215</v>
      </c>
      <c r="J48" s="15">
        <v>9986.7000000000007</v>
      </c>
      <c r="K48" s="886"/>
      <c r="L48" s="919"/>
    </row>
    <row r="49" spans="1:12" ht="15" thickBot="1" x14ac:dyDescent="0.35">
      <c r="A49" s="893"/>
      <c r="B49" s="896"/>
      <c r="C49" s="896"/>
      <c r="D49" s="907"/>
      <c r="E49" s="907"/>
      <c r="F49" s="28" t="s">
        <v>84</v>
      </c>
      <c r="G49" s="28">
        <v>87261</v>
      </c>
      <c r="H49" s="10"/>
      <c r="I49" s="10">
        <v>117</v>
      </c>
      <c r="J49" s="10">
        <v>5252.8</v>
      </c>
      <c r="K49" s="878"/>
      <c r="L49" s="912"/>
    </row>
    <row r="50" spans="1:12" ht="15" thickBot="1" x14ac:dyDescent="0.35">
      <c r="A50" s="23">
        <v>1005</v>
      </c>
      <c r="B50" s="24">
        <v>55608.75</v>
      </c>
      <c r="C50" s="24" t="s">
        <v>85</v>
      </c>
      <c r="D50" s="29">
        <f t="shared" ref="D50:E57" si="15">+I50</f>
        <v>1007</v>
      </c>
      <c r="E50" s="29">
        <f t="shared" si="15"/>
        <v>53578.9</v>
      </c>
      <c r="F50" s="29" t="s">
        <v>86</v>
      </c>
      <c r="G50" s="29">
        <v>87271</v>
      </c>
      <c r="H50" s="12"/>
      <c r="I50" s="12">
        <v>1007</v>
      </c>
      <c r="J50" s="12">
        <v>53578.9</v>
      </c>
      <c r="K50" s="56">
        <f>+A50-D50</f>
        <v>-2</v>
      </c>
      <c r="L50" s="34">
        <f>((+B50/A50)-(E50/D50))/(B50/A50)</f>
        <v>3.8415949102121011E-2</v>
      </c>
    </row>
    <row r="51" spans="1:12" x14ac:dyDescent="0.3">
      <c r="A51" s="891">
        <v>2561</v>
      </c>
      <c r="B51" s="894">
        <v>140401.75</v>
      </c>
      <c r="C51" s="894" t="s">
        <v>87</v>
      </c>
      <c r="D51" s="905">
        <f>+I51+I52+I53</f>
        <v>2564</v>
      </c>
      <c r="E51" s="905">
        <f>+J51+J52+J53</f>
        <v>135299.09999999998</v>
      </c>
      <c r="F51" s="29" t="s">
        <v>88</v>
      </c>
      <c r="G51" s="29">
        <v>87351</v>
      </c>
      <c r="H51" s="12"/>
      <c r="I51" s="12">
        <v>1070</v>
      </c>
      <c r="J51" s="12">
        <v>56260.4</v>
      </c>
      <c r="K51" s="877">
        <f>+A51-D51</f>
        <v>-3</v>
      </c>
      <c r="L51" s="911">
        <f>((+B51/A51)-(E51/D51))/(B51/A51)</f>
        <v>3.7470731520448997E-2</v>
      </c>
    </row>
    <row r="52" spans="1:12" x14ac:dyDescent="0.3">
      <c r="A52" s="892"/>
      <c r="B52" s="895"/>
      <c r="C52" s="895"/>
      <c r="D52" s="906"/>
      <c r="E52" s="906"/>
      <c r="F52" s="30" t="s">
        <v>88</v>
      </c>
      <c r="G52" s="30">
        <v>87351</v>
      </c>
      <c r="H52" s="15"/>
      <c r="I52" s="15">
        <v>833</v>
      </c>
      <c r="J52" s="15">
        <v>43998.899999999994</v>
      </c>
      <c r="K52" s="886"/>
      <c r="L52" s="919"/>
    </row>
    <row r="53" spans="1:12" ht="15" thickBot="1" x14ac:dyDescent="0.35">
      <c r="A53" s="893"/>
      <c r="B53" s="896"/>
      <c r="C53" s="896"/>
      <c r="D53" s="907"/>
      <c r="E53" s="907"/>
      <c r="F53" s="28" t="s">
        <v>88</v>
      </c>
      <c r="G53" s="28">
        <v>87351</v>
      </c>
      <c r="H53" s="10"/>
      <c r="I53" s="10">
        <v>661</v>
      </c>
      <c r="J53" s="10">
        <v>35039.800000000003</v>
      </c>
      <c r="K53" s="878"/>
      <c r="L53" s="912"/>
    </row>
    <row r="54" spans="1:12" ht="15" thickBot="1" x14ac:dyDescent="0.35">
      <c r="A54" s="21">
        <v>203</v>
      </c>
      <c r="B54" s="22">
        <v>7819</v>
      </c>
      <c r="C54" s="22" t="s">
        <v>89</v>
      </c>
      <c r="D54" s="28">
        <f t="shared" si="15"/>
        <v>203</v>
      </c>
      <c r="E54" s="28">
        <f t="shared" si="15"/>
        <v>7735.7</v>
      </c>
      <c r="F54" s="28" t="s">
        <v>90</v>
      </c>
      <c r="G54" s="28">
        <v>87361</v>
      </c>
      <c r="H54" s="10"/>
      <c r="I54" s="10">
        <v>203</v>
      </c>
      <c r="J54" s="10">
        <v>7735.7</v>
      </c>
      <c r="K54" s="55">
        <f>+A54-D54</f>
        <v>0</v>
      </c>
      <c r="L54" s="35">
        <f t="shared" ref="L54:L57" si="16">+(B54-E54)/B54</f>
        <v>1.0653536257833506E-2</v>
      </c>
    </row>
    <row r="55" spans="1:12" ht="15" thickBot="1" x14ac:dyDescent="0.35">
      <c r="A55" s="19">
        <v>1043</v>
      </c>
      <c r="B55" s="20">
        <v>55960</v>
      </c>
      <c r="C55" s="20" t="s">
        <v>318</v>
      </c>
      <c r="D55" s="27">
        <f t="shared" si="15"/>
        <v>1044</v>
      </c>
      <c r="E55" s="27">
        <f t="shared" si="15"/>
        <v>53731.299999999996</v>
      </c>
      <c r="F55" s="27" t="s">
        <v>319</v>
      </c>
      <c r="G55" s="27">
        <v>87421</v>
      </c>
      <c r="H55" s="8"/>
      <c r="I55" s="8">
        <v>1044</v>
      </c>
      <c r="J55" s="8">
        <v>53731.299999999996</v>
      </c>
      <c r="K55" s="55">
        <f>+A55-D55</f>
        <v>-1</v>
      </c>
      <c r="L55" s="33">
        <f>((+B55/A55)-(E55/D55))/(B55/A55)</f>
        <v>4.0746368163904791E-2</v>
      </c>
    </row>
    <row r="56" spans="1:12" ht="15" thickBot="1" x14ac:dyDescent="0.35">
      <c r="A56" s="19">
        <v>600</v>
      </c>
      <c r="B56" s="20">
        <v>27444.25</v>
      </c>
      <c r="C56" s="20" t="s">
        <v>320</v>
      </c>
      <c r="D56" s="27">
        <f t="shared" si="15"/>
        <v>600</v>
      </c>
      <c r="E56" s="27">
        <f t="shared" si="15"/>
        <v>27243.1</v>
      </c>
      <c r="F56" s="27" t="s">
        <v>321</v>
      </c>
      <c r="G56" s="27">
        <v>87441</v>
      </c>
      <c r="H56" s="8"/>
      <c r="I56" s="8">
        <v>600</v>
      </c>
      <c r="J56" s="8">
        <v>27243.1</v>
      </c>
      <c r="K56" s="55">
        <f>+A56-D56</f>
        <v>0</v>
      </c>
      <c r="L56" s="35">
        <f t="shared" si="16"/>
        <v>7.3294041556975125E-3</v>
      </c>
    </row>
    <row r="57" spans="1:12" ht="15" thickBot="1" x14ac:dyDescent="0.35">
      <c r="A57" s="19">
        <v>1002</v>
      </c>
      <c r="B57" s="20">
        <v>45769.25</v>
      </c>
      <c r="C57" s="20" t="s">
        <v>322</v>
      </c>
      <c r="D57" s="27">
        <f t="shared" si="15"/>
        <v>1002</v>
      </c>
      <c r="E57" s="27">
        <f t="shared" si="15"/>
        <v>45629.9</v>
      </c>
      <c r="F57" s="27" t="s">
        <v>323</v>
      </c>
      <c r="G57" s="27">
        <v>87491</v>
      </c>
      <c r="H57" s="8"/>
      <c r="I57" s="8">
        <v>1002</v>
      </c>
      <c r="J57" s="8">
        <v>45629.9</v>
      </c>
      <c r="K57" s="55">
        <f>+A57-D57</f>
        <v>0</v>
      </c>
      <c r="L57" s="35">
        <f t="shared" si="16"/>
        <v>3.0446205694871237E-3</v>
      </c>
    </row>
    <row r="58" spans="1:12" x14ac:dyDescent="0.3">
      <c r="A58" s="891">
        <v>2713</v>
      </c>
      <c r="B58" s="894">
        <v>137226.79999999999</v>
      </c>
      <c r="C58" s="894" t="s">
        <v>324</v>
      </c>
      <c r="D58" s="905">
        <f>+I58+I60+I59</f>
        <v>2716</v>
      </c>
      <c r="E58" s="905">
        <f>+J58+J60+J59</f>
        <v>133008.6</v>
      </c>
      <c r="F58" s="29" t="s">
        <v>325</v>
      </c>
      <c r="G58" s="29">
        <v>87501</v>
      </c>
      <c r="H58" s="12"/>
      <c r="I58" s="12">
        <v>1819</v>
      </c>
      <c r="J58" s="12">
        <v>89015.8</v>
      </c>
      <c r="K58" s="877">
        <f>+A58-D58</f>
        <v>-3</v>
      </c>
      <c r="L58" s="911">
        <f>((+B58/A58)-(E58/D58))/(B58/A58)</f>
        <v>3.1809505983951013E-2</v>
      </c>
    </row>
    <row r="59" spans="1:12" x14ac:dyDescent="0.3">
      <c r="A59" s="892"/>
      <c r="B59" s="895"/>
      <c r="C59" s="895"/>
      <c r="D59" s="906"/>
      <c r="E59" s="906"/>
      <c r="F59" s="30" t="s">
        <v>325</v>
      </c>
      <c r="G59" s="30">
        <v>87501</v>
      </c>
      <c r="H59" s="15"/>
      <c r="I59" s="15">
        <v>677</v>
      </c>
      <c r="J59" s="15">
        <v>33176.6</v>
      </c>
      <c r="K59" s="886"/>
      <c r="L59" s="919"/>
    </row>
    <row r="60" spans="1:12" ht="15" thickBot="1" x14ac:dyDescent="0.35">
      <c r="A60" s="893"/>
      <c r="B60" s="896"/>
      <c r="C60" s="896"/>
      <c r="D60" s="907"/>
      <c r="E60" s="907"/>
      <c r="F60" s="28" t="s">
        <v>325</v>
      </c>
      <c r="G60" s="28">
        <v>87501</v>
      </c>
      <c r="H60" s="10"/>
      <c r="I60" s="10">
        <v>220</v>
      </c>
      <c r="J60" s="10">
        <v>10816.2</v>
      </c>
      <c r="K60" s="878"/>
      <c r="L60" s="912"/>
    </row>
    <row r="61" spans="1:12" x14ac:dyDescent="0.3">
      <c r="A61" s="23">
        <v>1894</v>
      </c>
      <c r="B61" s="24">
        <v>81227.5</v>
      </c>
      <c r="C61" s="24" t="s">
        <v>399</v>
      </c>
      <c r="D61" s="29">
        <f>+I61+I62</f>
        <v>1894</v>
      </c>
      <c r="E61" s="29">
        <f>+J61+J62</f>
        <v>80196.099999999991</v>
      </c>
      <c r="F61" s="29" t="s">
        <v>406</v>
      </c>
      <c r="G61" s="29">
        <v>87551</v>
      </c>
      <c r="H61" s="12"/>
      <c r="I61" s="12">
        <v>820</v>
      </c>
      <c r="J61" s="12">
        <v>34876.899999999994</v>
      </c>
      <c r="K61" s="56">
        <f>+A61-D61</f>
        <v>0</v>
      </c>
      <c r="L61" s="911">
        <f t="shared" ref="L61" si="17">+(B61-E61)/B61</f>
        <v>1.2697670124034456E-2</v>
      </c>
    </row>
    <row r="62" spans="1:12" ht="15" thickBot="1" x14ac:dyDescent="0.35">
      <c r="A62" s="21"/>
      <c r="B62" s="22"/>
      <c r="C62" s="22"/>
      <c r="D62" s="28"/>
      <c r="E62" s="28"/>
      <c r="F62" s="28" t="s">
        <v>406</v>
      </c>
      <c r="G62" s="28">
        <v>87551</v>
      </c>
      <c r="H62" s="10"/>
      <c r="I62" s="10">
        <v>1074</v>
      </c>
      <c r="J62" s="10">
        <v>45319.199999999997</v>
      </c>
      <c r="K62" s="55"/>
      <c r="L62" s="912"/>
    </row>
    <row r="63" spans="1:12" x14ac:dyDescent="0.3">
      <c r="A63" s="23">
        <v>1649</v>
      </c>
      <c r="B63" s="24">
        <v>75686.600000000006</v>
      </c>
      <c r="C63" s="24" t="s">
        <v>400</v>
      </c>
      <c r="D63" s="29">
        <f>+I63+I64</f>
        <v>1649</v>
      </c>
      <c r="E63" s="29">
        <f>+J63+J64</f>
        <v>75221</v>
      </c>
      <c r="F63" s="29" t="s">
        <v>407</v>
      </c>
      <c r="G63" s="29">
        <v>87651</v>
      </c>
      <c r="H63" s="12"/>
      <c r="I63" s="12">
        <v>1458</v>
      </c>
      <c r="J63" s="12">
        <v>66796.100000000006</v>
      </c>
      <c r="K63" s="56">
        <f>+A63-D63</f>
        <v>0</v>
      </c>
      <c r="L63" s="911">
        <f t="shared" ref="L63" si="18">+(B63-E63)/B63</f>
        <v>6.1516833891336878E-3</v>
      </c>
    </row>
    <row r="64" spans="1:12" ht="15" thickBot="1" x14ac:dyDescent="0.35">
      <c r="A64" s="21"/>
      <c r="B64" s="22"/>
      <c r="C64" s="22"/>
      <c r="D64" s="28"/>
      <c r="E64" s="28"/>
      <c r="F64" s="28" t="s">
        <v>407</v>
      </c>
      <c r="G64" s="28">
        <v>87651</v>
      </c>
      <c r="H64" s="10"/>
      <c r="I64" s="10">
        <v>191</v>
      </c>
      <c r="J64" s="10">
        <v>8424.9</v>
      </c>
      <c r="K64" s="55"/>
      <c r="L64" s="912"/>
    </row>
    <row r="65" spans="1:12" x14ac:dyDescent="0.3">
      <c r="A65" s="23">
        <v>2769</v>
      </c>
      <c r="B65" s="24">
        <v>140948.79999999999</v>
      </c>
      <c r="C65" s="24" t="s">
        <v>401</v>
      </c>
      <c r="D65" s="29">
        <f>+I65+I66</f>
        <v>2769</v>
      </c>
      <c r="E65" s="29">
        <f>+J65+J66</f>
        <v>136238.90000000002</v>
      </c>
      <c r="F65" s="29" t="s">
        <v>408</v>
      </c>
      <c r="G65" s="29">
        <v>87741</v>
      </c>
      <c r="H65" s="12"/>
      <c r="I65" s="12">
        <v>1003</v>
      </c>
      <c r="J65" s="12">
        <v>48830.3</v>
      </c>
      <c r="K65" s="56">
        <f>+A65-D65</f>
        <v>0</v>
      </c>
      <c r="L65" s="911">
        <f t="shared" ref="L65" si="19">+(B65-E65)/B65</f>
        <v>3.341568001997864E-2</v>
      </c>
    </row>
    <row r="66" spans="1:12" ht="15" thickBot="1" x14ac:dyDescent="0.35">
      <c r="A66" s="21"/>
      <c r="B66" s="22"/>
      <c r="C66" s="22"/>
      <c r="D66" s="28"/>
      <c r="E66" s="28"/>
      <c r="F66" s="28" t="s">
        <v>408</v>
      </c>
      <c r="G66" s="28">
        <v>87741</v>
      </c>
      <c r="H66" s="10"/>
      <c r="I66" s="10">
        <v>1766</v>
      </c>
      <c r="J66" s="10">
        <v>87408.6</v>
      </c>
      <c r="K66" s="55"/>
      <c r="L66" s="912"/>
    </row>
    <row r="67" spans="1:12" ht="15" thickBot="1" x14ac:dyDescent="0.35">
      <c r="A67" s="19">
        <v>973</v>
      </c>
      <c r="B67" s="20">
        <v>52111.5</v>
      </c>
      <c r="C67" s="20" t="s">
        <v>402</v>
      </c>
      <c r="D67" s="27">
        <f>+I67</f>
        <v>973</v>
      </c>
      <c r="E67" s="27">
        <f>+J67</f>
        <v>49651.7</v>
      </c>
      <c r="F67" s="27" t="s">
        <v>409</v>
      </c>
      <c r="G67" s="27">
        <v>87751</v>
      </c>
      <c r="H67" s="8"/>
      <c r="I67" s="8">
        <v>973</v>
      </c>
      <c r="J67" s="8">
        <v>49651.7</v>
      </c>
      <c r="K67" s="56">
        <f t="shared" ref="K67:K85" si="20">+A67-D67</f>
        <v>0</v>
      </c>
      <c r="L67" s="35">
        <f t="shared" ref="L67:L69" si="21">+(B67-E67)/B67</f>
        <v>4.7202632816173068E-2</v>
      </c>
    </row>
    <row r="68" spans="1:12" ht="15" thickBot="1" x14ac:dyDescent="0.35">
      <c r="A68" s="19">
        <v>336</v>
      </c>
      <c r="B68" s="20">
        <v>15000.5</v>
      </c>
      <c r="C68" s="20" t="s">
        <v>403</v>
      </c>
      <c r="D68" s="27">
        <f t="shared" ref="D68:D73" si="22">+I68</f>
        <v>336</v>
      </c>
      <c r="E68" s="27">
        <f t="shared" ref="E68:E73" si="23">+J68</f>
        <v>14756.4</v>
      </c>
      <c r="F68" s="27" t="s">
        <v>410</v>
      </c>
      <c r="G68" s="27">
        <v>87791</v>
      </c>
      <c r="H68" s="8"/>
      <c r="I68" s="8">
        <v>336</v>
      </c>
      <c r="J68" s="8">
        <v>14756.4</v>
      </c>
      <c r="K68" s="56">
        <f t="shared" si="20"/>
        <v>0</v>
      </c>
      <c r="L68" s="35">
        <f t="shared" si="21"/>
        <v>1.6272790906969793E-2</v>
      </c>
    </row>
    <row r="69" spans="1:12" ht="15" thickBot="1" x14ac:dyDescent="0.35">
      <c r="A69" s="19">
        <v>1336</v>
      </c>
      <c r="B69" s="20">
        <v>72803.25</v>
      </c>
      <c r="C69" s="20" t="s">
        <v>404</v>
      </c>
      <c r="D69" s="27">
        <f t="shared" si="22"/>
        <v>1336</v>
      </c>
      <c r="E69" s="27">
        <f t="shared" si="23"/>
        <v>70254.8</v>
      </c>
      <c r="F69" s="27" t="s">
        <v>411</v>
      </c>
      <c r="G69" s="27">
        <v>87811</v>
      </c>
      <c r="H69" s="8"/>
      <c r="I69" s="8">
        <v>1336</v>
      </c>
      <c r="J69" s="8">
        <v>70254.8</v>
      </c>
      <c r="K69" s="56">
        <f t="shared" si="20"/>
        <v>0</v>
      </c>
      <c r="L69" s="35">
        <f t="shared" si="21"/>
        <v>3.5004618612493224E-2</v>
      </c>
    </row>
    <row r="70" spans="1:12" ht="15" thickBot="1" x14ac:dyDescent="0.35">
      <c r="A70" s="19">
        <v>1685</v>
      </c>
      <c r="B70" s="20">
        <v>89230</v>
      </c>
      <c r="C70" s="20" t="s">
        <v>405</v>
      </c>
      <c r="D70" s="27">
        <f t="shared" si="22"/>
        <v>1686</v>
      </c>
      <c r="E70" s="27">
        <f t="shared" si="23"/>
        <v>85883.8</v>
      </c>
      <c r="F70" s="27" t="s">
        <v>412</v>
      </c>
      <c r="G70" s="27">
        <v>87891</v>
      </c>
      <c r="H70" s="8"/>
      <c r="I70" s="8">
        <v>1686</v>
      </c>
      <c r="J70" s="8">
        <v>85883.8</v>
      </c>
      <c r="K70" s="56">
        <f t="shared" si="20"/>
        <v>-1</v>
      </c>
      <c r="L70" s="33">
        <f>((+B70/A70)-(E70/D70))/(B70/A70)</f>
        <v>3.8071717843274643E-2</v>
      </c>
    </row>
    <row r="71" spans="1:12" ht="15" thickBot="1" x14ac:dyDescent="0.35">
      <c r="A71" s="19">
        <v>623</v>
      </c>
      <c r="B71" s="20">
        <v>32933.120000000003</v>
      </c>
      <c r="C71" s="20" t="s">
        <v>483</v>
      </c>
      <c r="D71" s="27">
        <f t="shared" ref="D71:D72" si="24">+I71</f>
        <v>624</v>
      </c>
      <c r="E71" s="27">
        <f t="shared" ref="E71:E72" si="25">+J71</f>
        <v>31732</v>
      </c>
      <c r="F71" s="27" t="s">
        <v>484</v>
      </c>
      <c r="G71" s="27">
        <v>87931</v>
      </c>
      <c r="H71" s="8"/>
      <c r="I71" s="8">
        <v>624</v>
      </c>
      <c r="J71" s="8">
        <v>31732</v>
      </c>
      <c r="K71" s="56">
        <f t="shared" si="20"/>
        <v>-1</v>
      </c>
      <c r="L71" s="33">
        <f>((+B71/A71)-(E71/D71))/(B71/A71)</f>
        <v>3.8015607513122503E-2</v>
      </c>
    </row>
    <row r="72" spans="1:12" ht="15" thickBot="1" x14ac:dyDescent="0.35">
      <c r="A72" s="19">
        <v>561</v>
      </c>
      <c r="B72" s="20">
        <v>29250.25</v>
      </c>
      <c r="C72" s="20" t="s">
        <v>482</v>
      </c>
      <c r="D72" s="27">
        <f t="shared" si="24"/>
        <v>561</v>
      </c>
      <c r="E72" s="27">
        <f t="shared" si="25"/>
        <v>28503.9</v>
      </c>
      <c r="F72" s="27" t="s">
        <v>481</v>
      </c>
      <c r="G72" s="27">
        <v>87941</v>
      </c>
      <c r="H72" s="8"/>
      <c r="I72" s="8">
        <v>561</v>
      </c>
      <c r="J72" s="8">
        <v>28503.9</v>
      </c>
      <c r="K72" s="56">
        <f t="shared" si="20"/>
        <v>0</v>
      </c>
      <c r="L72" s="35">
        <f t="shared" ref="L72" si="26">+(B72-E72)/B72</f>
        <v>2.5516021230587722E-2</v>
      </c>
    </row>
    <row r="73" spans="1:12" ht="15" thickBot="1" x14ac:dyDescent="0.35">
      <c r="A73" s="19">
        <v>440</v>
      </c>
      <c r="B73" s="20">
        <v>17151.25</v>
      </c>
      <c r="C73" s="20" t="s">
        <v>413</v>
      </c>
      <c r="D73" s="27">
        <f t="shared" si="22"/>
        <v>440</v>
      </c>
      <c r="E73" s="27">
        <f t="shared" si="23"/>
        <v>17132.099999999999</v>
      </c>
      <c r="F73" s="27" t="s">
        <v>414</v>
      </c>
      <c r="G73" s="27">
        <v>87951</v>
      </c>
      <c r="H73" s="8"/>
      <c r="I73" s="8">
        <v>440</v>
      </c>
      <c r="J73" s="8">
        <v>17132.099999999999</v>
      </c>
      <c r="K73" s="54">
        <f t="shared" si="20"/>
        <v>0</v>
      </c>
      <c r="L73" s="35">
        <f t="shared" ref="L73:L87" si="27">+(B73-E73)/B73</f>
        <v>1.116536695576209E-3</v>
      </c>
    </row>
    <row r="74" spans="1:12" ht="15" thickBot="1" x14ac:dyDescent="0.35">
      <c r="A74" s="19">
        <v>1199</v>
      </c>
      <c r="B74" s="20">
        <v>54437.25</v>
      </c>
      <c r="C74" s="20" t="s">
        <v>485</v>
      </c>
      <c r="D74" s="27">
        <f>+I74</f>
        <v>1200</v>
      </c>
      <c r="E74" s="27">
        <f>+J74</f>
        <v>53367.499999999993</v>
      </c>
      <c r="F74" s="27" t="s">
        <v>489</v>
      </c>
      <c r="G74" s="27">
        <v>88011</v>
      </c>
      <c r="H74" s="8"/>
      <c r="I74" s="8">
        <v>1200</v>
      </c>
      <c r="J74" s="8">
        <v>53367.499999999993</v>
      </c>
      <c r="K74" s="54">
        <f t="shared" si="20"/>
        <v>-1</v>
      </c>
      <c r="L74" s="33">
        <f>((+B74/A74)-(E74/D74))/(B74/A74)</f>
        <v>2.0468023580667079E-2</v>
      </c>
    </row>
    <row r="75" spans="1:12" ht="15" thickBot="1" x14ac:dyDescent="0.35">
      <c r="A75" s="19">
        <v>1250</v>
      </c>
      <c r="B75" s="20">
        <v>58252.25</v>
      </c>
      <c r="C75" s="162" t="s">
        <v>486</v>
      </c>
      <c r="D75" s="27">
        <f t="shared" ref="D75:E84" si="28">+I75</f>
        <v>1250</v>
      </c>
      <c r="E75" s="27">
        <f t="shared" si="28"/>
        <v>57030.200000000004</v>
      </c>
      <c r="F75" s="27" t="s">
        <v>490</v>
      </c>
      <c r="G75" s="27">
        <v>88041</v>
      </c>
      <c r="H75" s="8"/>
      <c r="I75" s="8">
        <v>1250</v>
      </c>
      <c r="J75" s="8">
        <v>57030.200000000004</v>
      </c>
      <c r="K75" s="54">
        <f t="shared" si="20"/>
        <v>0</v>
      </c>
      <c r="L75" s="33">
        <f t="shared" si="27"/>
        <v>2.0978588809874223E-2</v>
      </c>
    </row>
    <row r="76" spans="1:12" ht="15" thickBot="1" x14ac:dyDescent="0.35">
      <c r="A76" s="19">
        <v>1999</v>
      </c>
      <c r="B76" s="20">
        <v>86083</v>
      </c>
      <c r="C76" s="20" t="s">
        <v>487</v>
      </c>
      <c r="D76" s="27">
        <f t="shared" si="28"/>
        <v>1999</v>
      </c>
      <c r="E76" s="27">
        <f t="shared" si="28"/>
        <v>84785.2</v>
      </c>
      <c r="F76" s="27" t="s">
        <v>491</v>
      </c>
      <c r="G76" s="27">
        <v>88051</v>
      </c>
      <c r="H76" s="8"/>
      <c r="I76" s="8">
        <v>1999</v>
      </c>
      <c r="J76" s="8">
        <v>84785.2</v>
      </c>
      <c r="K76" s="54">
        <f t="shared" si="20"/>
        <v>0</v>
      </c>
      <c r="L76" s="33">
        <f t="shared" si="27"/>
        <v>1.5076147439099508E-2</v>
      </c>
    </row>
    <row r="77" spans="1:12" ht="15" thickBot="1" x14ac:dyDescent="0.35">
      <c r="A77" s="19">
        <v>57</v>
      </c>
      <c r="B77" s="20">
        <v>3052.75</v>
      </c>
      <c r="C77" s="20" t="s">
        <v>488</v>
      </c>
      <c r="D77" s="27">
        <f t="shared" si="28"/>
        <v>57</v>
      </c>
      <c r="E77" s="27">
        <f t="shared" si="28"/>
        <v>3068.9</v>
      </c>
      <c r="F77" s="27" t="s">
        <v>492</v>
      </c>
      <c r="G77" s="27">
        <v>88161</v>
      </c>
      <c r="H77" s="8"/>
      <c r="I77" s="8">
        <v>57</v>
      </c>
      <c r="J77" s="8">
        <v>3068.9</v>
      </c>
      <c r="K77" s="54">
        <f t="shared" si="20"/>
        <v>0</v>
      </c>
      <c r="L77" s="33">
        <f t="shared" si="27"/>
        <v>-5.2903120137581172E-3</v>
      </c>
    </row>
    <row r="78" spans="1:12" ht="15" thickBot="1" x14ac:dyDescent="0.35">
      <c r="A78" s="19">
        <v>919</v>
      </c>
      <c r="B78" s="20">
        <v>43380.25</v>
      </c>
      <c r="C78" s="164" t="s">
        <v>559</v>
      </c>
      <c r="D78" s="27">
        <f t="shared" si="28"/>
        <v>919</v>
      </c>
      <c r="E78" s="27">
        <f t="shared" si="28"/>
        <v>42470.399999999994</v>
      </c>
      <c r="F78" s="27" t="s">
        <v>560</v>
      </c>
      <c r="G78" s="27">
        <v>88061</v>
      </c>
      <c r="H78" s="8"/>
      <c r="I78" s="8">
        <v>919</v>
      </c>
      <c r="J78" s="8">
        <v>42470.399999999994</v>
      </c>
      <c r="K78" s="54">
        <f t="shared" si="20"/>
        <v>0</v>
      </c>
      <c r="L78" s="33">
        <f t="shared" si="27"/>
        <v>2.0973830256856653E-2</v>
      </c>
    </row>
    <row r="79" spans="1:12" ht="15" thickBot="1" x14ac:dyDescent="0.35">
      <c r="A79" s="26">
        <v>717</v>
      </c>
      <c r="B79" s="26">
        <v>31653</v>
      </c>
      <c r="C79" s="165" t="s">
        <v>561</v>
      </c>
      <c r="D79" s="30">
        <f t="shared" si="28"/>
        <v>717</v>
      </c>
      <c r="E79" s="30">
        <f t="shared" si="28"/>
        <v>31294.1</v>
      </c>
      <c r="F79" s="30" t="s">
        <v>562</v>
      </c>
      <c r="G79" s="30">
        <v>88071</v>
      </c>
      <c r="H79" s="15"/>
      <c r="I79" s="15">
        <v>717</v>
      </c>
      <c r="J79" s="15">
        <v>31294.1</v>
      </c>
      <c r="K79" s="54">
        <f t="shared" si="20"/>
        <v>0</v>
      </c>
      <c r="L79" s="33">
        <f t="shared" si="27"/>
        <v>1.1338577701955626E-2</v>
      </c>
    </row>
    <row r="80" spans="1:12" ht="15" thickBot="1" x14ac:dyDescent="0.35">
      <c r="A80" s="19">
        <v>1322</v>
      </c>
      <c r="B80" s="20">
        <v>61179.5</v>
      </c>
      <c r="C80" s="164" t="s">
        <v>563</v>
      </c>
      <c r="D80" s="27">
        <f t="shared" si="28"/>
        <v>1326</v>
      </c>
      <c r="E80" s="27">
        <f t="shared" si="28"/>
        <v>60283.4</v>
      </c>
      <c r="F80" s="27" t="s">
        <v>564</v>
      </c>
      <c r="G80" s="27">
        <v>88171</v>
      </c>
      <c r="H80" s="8"/>
      <c r="I80" s="8">
        <v>1326</v>
      </c>
      <c r="J80" s="8">
        <v>60283.4</v>
      </c>
      <c r="K80" s="55">
        <f t="shared" si="20"/>
        <v>-4</v>
      </c>
      <c r="L80" s="33">
        <f>((+B80/A80)-(E80/D80))/(B80/A80)</f>
        <v>1.7619470199558833E-2</v>
      </c>
    </row>
    <row r="81" spans="1:12" ht="15" thickBot="1" x14ac:dyDescent="0.35">
      <c r="A81" s="19">
        <v>291</v>
      </c>
      <c r="B81" s="20">
        <v>13150</v>
      </c>
      <c r="C81" s="164" t="s">
        <v>567</v>
      </c>
      <c r="D81" s="27">
        <f t="shared" si="28"/>
        <v>291</v>
      </c>
      <c r="E81" s="27">
        <f t="shared" si="28"/>
        <v>12755.3</v>
      </c>
      <c r="F81" s="27" t="s">
        <v>568</v>
      </c>
      <c r="G81" s="27">
        <v>88181</v>
      </c>
      <c r="H81" s="8"/>
      <c r="I81" s="8">
        <v>291</v>
      </c>
      <c r="J81" s="9">
        <v>12755.3</v>
      </c>
      <c r="K81" s="55">
        <f t="shared" si="20"/>
        <v>0</v>
      </c>
      <c r="L81" s="33">
        <f t="shared" si="27"/>
        <v>3.0015209125475339E-2</v>
      </c>
    </row>
    <row r="82" spans="1:12" ht="15" thickBot="1" x14ac:dyDescent="0.35">
      <c r="A82" s="19">
        <v>610</v>
      </c>
      <c r="B82" s="20">
        <v>26777.25</v>
      </c>
      <c r="C82" s="164" t="s">
        <v>569</v>
      </c>
      <c r="D82" s="27">
        <f t="shared" si="28"/>
        <v>610</v>
      </c>
      <c r="E82" s="27">
        <f t="shared" si="28"/>
        <v>26095.200000000004</v>
      </c>
      <c r="F82" s="27" t="s">
        <v>570</v>
      </c>
      <c r="G82" s="27">
        <v>88191</v>
      </c>
      <c r="H82" s="8"/>
      <c r="I82" s="8">
        <v>610</v>
      </c>
      <c r="J82" s="9">
        <v>26095.200000000004</v>
      </c>
      <c r="K82" s="55">
        <f t="shared" si="20"/>
        <v>0</v>
      </c>
      <c r="L82" s="33">
        <f t="shared" si="27"/>
        <v>2.5471248914656869E-2</v>
      </c>
    </row>
    <row r="83" spans="1:12" ht="15" thickBot="1" x14ac:dyDescent="0.35">
      <c r="A83" s="19">
        <v>571</v>
      </c>
      <c r="B83" s="20">
        <v>27795.75</v>
      </c>
      <c r="C83" s="164" t="s">
        <v>571</v>
      </c>
      <c r="D83" s="27">
        <f t="shared" si="28"/>
        <v>583</v>
      </c>
      <c r="E83" s="27">
        <f t="shared" si="28"/>
        <v>27992.800000000003</v>
      </c>
      <c r="F83" s="27" t="s">
        <v>572</v>
      </c>
      <c r="G83" s="27">
        <v>88251</v>
      </c>
      <c r="H83" s="8"/>
      <c r="I83" s="8">
        <v>583</v>
      </c>
      <c r="J83" s="9">
        <v>27992.800000000003</v>
      </c>
      <c r="K83" s="55">
        <f t="shared" si="20"/>
        <v>-12</v>
      </c>
      <c r="L83" s="33">
        <f>((+B83/A83)-(E83/D83))/(B83/A83)</f>
        <v>1.3639895742171684E-2</v>
      </c>
    </row>
    <row r="84" spans="1:12" ht="15" thickBot="1" x14ac:dyDescent="0.35">
      <c r="A84" s="23">
        <v>1682</v>
      </c>
      <c r="B84" s="24">
        <v>71728.800000000003</v>
      </c>
      <c r="C84" s="166" t="s">
        <v>573</v>
      </c>
      <c r="D84" s="29">
        <f t="shared" si="28"/>
        <v>1682</v>
      </c>
      <c r="E84" s="29">
        <f t="shared" si="28"/>
        <v>70629.600000000006</v>
      </c>
      <c r="F84" s="29" t="s">
        <v>574</v>
      </c>
      <c r="G84" s="29">
        <v>88261</v>
      </c>
      <c r="H84" s="12"/>
      <c r="I84" s="12">
        <v>1682</v>
      </c>
      <c r="J84" s="13">
        <v>70629.600000000006</v>
      </c>
      <c r="K84" s="55">
        <f t="shared" si="20"/>
        <v>0</v>
      </c>
      <c r="L84" s="33">
        <f t="shared" si="27"/>
        <v>1.5324388530130116E-2</v>
      </c>
    </row>
    <row r="85" spans="1:12" x14ac:dyDescent="0.3">
      <c r="A85" s="891">
        <v>585</v>
      </c>
      <c r="B85" s="894">
        <v>28022.75</v>
      </c>
      <c r="C85" s="894" t="s">
        <v>575</v>
      </c>
      <c r="D85" s="905">
        <f>+I85+I86</f>
        <v>585</v>
      </c>
      <c r="E85" s="905">
        <f>+J85+J86</f>
        <v>27999.8</v>
      </c>
      <c r="F85" s="29" t="s">
        <v>576</v>
      </c>
      <c r="G85" s="29">
        <v>88341</v>
      </c>
      <c r="H85" s="39"/>
      <c r="I85" s="39">
        <v>80</v>
      </c>
      <c r="J85" s="41">
        <v>3862.5</v>
      </c>
      <c r="K85" s="877">
        <f t="shared" si="20"/>
        <v>0</v>
      </c>
      <c r="L85" s="879">
        <f t="shared" si="27"/>
        <v>8.1897743797452885E-4</v>
      </c>
    </row>
    <row r="86" spans="1:12" ht="15" thickBot="1" x14ac:dyDescent="0.35">
      <c r="A86" s="893"/>
      <c r="B86" s="896"/>
      <c r="C86" s="896"/>
      <c r="D86" s="907"/>
      <c r="E86" s="907"/>
      <c r="F86" s="28" t="s">
        <v>576</v>
      </c>
      <c r="G86" s="28">
        <v>88341</v>
      </c>
      <c r="H86" s="42"/>
      <c r="I86" s="42">
        <v>505</v>
      </c>
      <c r="J86" s="44">
        <v>24137.3</v>
      </c>
      <c r="K86" s="878"/>
      <c r="L86" s="880"/>
    </row>
    <row r="87" spans="1:12" ht="15" thickBot="1" x14ac:dyDescent="0.35">
      <c r="A87" s="23">
        <v>107</v>
      </c>
      <c r="B87" s="24">
        <v>4764.25</v>
      </c>
      <c r="C87" s="24" t="s">
        <v>577</v>
      </c>
      <c r="D87" s="29">
        <f>+I87</f>
        <v>107</v>
      </c>
      <c r="E87" s="29">
        <f>+J87</f>
        <v>4680.3</v>
      </c>
      <c r="F87" s="29" t="s">
        <v>578</v>
      </c>
      <c r="G87" s="29">
        <v>88351</v>
      </c>
      <c r="H87" s="39"/>
      <c r="I87" s="39">
        <v>107</v>
      </c>
      <c r="J87" s="41">
        <v>4680.3</v>
      </c>
      <c r="K87" s="55">
        <f>+A87-D87</f>
        <v>0</v>
      </c>
      <c r="L87" s="33">
        <f t="shared" si="27"/>
        <v>1.7620821745290408E-2</v>
      </c>
    </row>
    <row r="88" spans="1:12" x14ac:dyDescent="0.3">
      <c r="A88" s="891">
        <v>1714</v>
      </c>
      <c r="B88" s="894">
        <v>74397.7</v>
      </c>
      <c r="C88" s="894" t="s">
        <v>579</v>
      </c>
      <c r="D88" s="905">
        <f>+I88+I89</f>
        <v>1715</v>
      </c>
      <c r="E88" s="905">
        <f>+J88+J89</f>
        <v>72908.100000000006</v>
      </c>
      <c r="F88" s="63" t="s">
        <v>580</v>
      </c>
      <c r="G88" s="63">
        <v>88361</v>
      </c>
      <c r="H88" s="39"/>
      <c r="I88" s="39">
        <v>805</v>
      </c>
      <c r="J88" s="41">
        <v>34494.6</v>
      </c>
      <c r="K88" s="877">
        <f>+A88-D88</f>
        <v>-1</v>
      </c>
      <c r="L88" s="911">
        <f>((+B88/A88)-(E88/D88))/(B88/A88)</f>
        <v>2.0593540010804101E-2</v>
      </c>
    </row>
    <row r="89" spans="1:12" ht="15" thickBot="1" x14ac:dyDescent="0.35">
      <c r="A89" s="893"/>
      <c r="B89" s="896"/>
      <c r="C89" s="896"/>
      <c r="D89" s="907"/>
      <c r="E89" s="907"/>
      <c r="F89" s="64" t="s">
        <v>580</v>
      </c>
      <c r="G89" s="64">
        <v>88361</v>
      </c>
      <c r="H89" s="42"/>
      <c r="I89" s="42">
        <v>910</v>
      </c>
      <c r="J89" s="44">
        <v>38413.5</v>
      </c>
      <c r="K89" s="878"/>
      <c r="L89" s="912"/>
    </row>
    <row r="90" spans="1:12" ht="15" thickBot="1" x14ac:dyDescent="0.35">
      <c r="A90" s="61">
        <v>260</v>
      </c>
      <c r="B90" s="62">
        <v>11807</v>
      </c>
      <c r="C90" s="62" t="s">
        <v>581</v>
      </c>
      <c r="D90" s="65">
        <f t="shared" ref="D90:E91" si="29">+I90</f>
        <v>261</v>
      </c>
      <c r="E90" s="65">
        <f t="shared" si="29"/>
        <v>11616.9</v>
      </c>
      <c r="F90" s="65" t="s">
        <v>582</v>
      </c>
      <c r="G90" s="65">
        <v>88421</v>
      </c>
      <c r="H90" s="45"/>
      <c r="I90" s="45">
        <v>261</v>
      </c>
      <c r="J90" s="46">
        <v>11616.9</v>
      </c>
      <c r="K90" s="55">
        <f>+A90-D90</f>
        <v>-1</v>
      </c>
      <c r="L90" s="35">
        <f>((+B90/A90)-(E90/D90))/(B90/A90)</f>
        <v>1.9870347709180929E-2</v>
      </c>
    </row>
    <row r="91" spans="1:12" ht="15" thickBot="1" x14ac:dyDescent="0.35">
      <c r="A91" s="59">
        <v>1415</v>
      </c>
      <c r="B91" s="60">
        <v>57685.4</v>
      </c>
      <c r="C91" s="60" t="s">
        <v>583</v>
      </c>
      <c r="D91" s="63">
        <f t="shared" si="29"/>
        <v>1415</v>
      </c>
      <c r="E91" s="63">
        <f t="shared" si="29"/>
        <v>56915.9</v>
      </c>
      <c r="F91" s="63" t="s">
        <v>584</v>
      </c>
      <c r="G91" s="63">
        <v>88431</v>
      </c>
      <c r="H91" s="39"/>
      <c r="I91" s="39">
        <v>1415</v>
      </c>
      <c r="J91" s="41">
        <v>56915.9</v>
      </c>
      <c r="K91" s="55">
        <f>+A91-D91</f>
        <v>0</v>
      </c>
      <c r="L91" s="33">
        <f t="shared" ref="L91:L92" si="30">+(B91-E91)/B91</f>
        <v>1.3339597194437414E-2</v>
      </c>
    </row>
    <row r="92" spans="1:12" x14ac:dyDescent="0.3">
      <c r="A92" s="891">
        <v>905</v>
      </c>
      <c r="B92" s="894">
        <v>42853.5</v>
      </c>
      <c r="C92" s="894" t="s">
        <v>585</v>
      </c>
      <c r="D92" s="905">
        <f>+I92+I93</f>
        <v>905</v>
      </c>
      <c r="E92" s="905">
        <f>+J92+J93</f>
        <v>42429.200000000004</v>
      </c>
      <c r="F92" s="63" t="s">
        <v>586</v>
      </c>
      <c r="G92" s="63">
        <v>88441</v>
      </c>
      <c r="H92" s="39"/>
      <c r="I92" s="39">
        <v>700</v>
      </c>
      <c r="J92" s="41">
        <v>33051.300000000003</v>
      </c>
      <c r="K92" s="877">
        <f>+A92-D92</f>
        <v>0</v>
      </c>
      <c r="L92" s="879">
        <f t="shared" si="30"/>
        <v>9.9011749332025539E-3</v>
      </c>
    </row>
    <row r="93" spans="1:12" ht="15" thickBot="1" x14ac:dyDescent="0.35">
      <c r="A93" s="893"/>
      <c r="B93" s="896"/>
      <c r="C93" s="896"/>
      <c r="D93" s="907"/>
      <c r="E93" s="907"/>
      <c r="F93" s="64" t="s">
        <v>586</v>
      </c>
      <c r="G93" s="64">
        <v>88441</v>
      </c>
      <c r="H93" s="42"/>
      <c r="I93" s="42">
        <v>205</v>
      </c>
      <c r="J93" s="44">
        <v>9377.9</v>
      </c>
      <c r="K93" s="878"/>
      <c r="L93" s="880"/>
    </row>
    <row r="94" spans="1:12" ht="15" thickBot="1" x14ac:dyDescent="0.35">
      <c r="A94" s="59">
        <v>1169</v>
      </c>
      <c r="B94" s="60">
        <v>56394.25</v>
      </c>
      <c r="C94" s="60" t="s">
        <v>587</v>
      </c>
      <c r="D94" s="63">
        <f>+I94</f>
        <v>1169</v>
      </c>
      <c r="E94" s="63">
        <f>+J94</f>
        <v>56058.400000000001</v>
      </c>
      <c r="F94" s="63" t="s">
        <v>588</v>
      </c>
      <c r="G94" s="63">
        <v>88491</v>
      </c>
      <c r="H94" s="39"/>
      <c r="I94" s="39">
        <v>1169</v>
      </c>
      <c r="J94" s="41">
        <v>56058.400000000001</v>
      </c>
      <c r="K94" s="55">
        <f>+A94-D94</f>
        <v>0</v>
      </c>
      <c r="L94" s="33">
        <f t="shared" ref="L94:L99" si="31">+(B94-E94)/B94</f>
        <v>5.9553943886122883E-3</v>
      </c>
    </row>
    <row r="95" spans="1:12" x14ac:dyDescent="0.3">
      <c r="A95" s="891">
        <v>1104</v>
      </c>
      <c r="B95" s="894">
        <v>52882.25</v>
      </c>
      <c r="C95" s="894" t="s">
        <v>589</v>
      </c>
      <c r="D95" s="905">
        <f>+I95+I96</f>
        <v>1104</v>
      </c>
      <c r="E95" s="905">
        <f>+J95+J96</f>
        <v>52225.599999999999</v>
      </c>
      <c r="F95" s="63" t="s">
        <v>590</v>
      </c>
      <c r="G95" s="63">
        <v>88511</v>
      </c>
      <c r="H95" s="39"/>
      <c r="I95" s="39">
        <v>204</v>
      </c>
      <c r="J95" s="41">
        <v>9691</v>
      </c>
      <c r="K95" s="877">
        <f>+A95-D95</f>
        <v>0</v>
      </c>
      <c r="L95" s="879">
        <f t="shared" si="31"/>
        <v>1.2417209933389775E-2</v>
      </c>
    </row>
    <row r="96" spans="1:12" ht="15" thickBot="1" x14ac:dyDescent="0.35">
      <c r="A96" s="893"/>
      <c r="B96" s="896"/>
      <c r="C96" s="896"/>
      <c r="D96" s="907"/>
      <c r="E96" s="907"/>
      <c r="F96" s="64" t="s">
        <v>590</v>
      </c>
      <c r="G96" s="64">
        <v>88511</v>
      </c>
      <c r="H96" s="42"/>
      <c r="I96" s="42">
        <v>900</v>
      </c>
      <c r="J96" s="44">
        <v>42534.6</v>
      </c>
      <c r="K96" s="878"/>
      <c r="L96" s="880"/>
    </row>
    <row r="97" spans="1:12" ht="15" thickBot="1" x14ac:dyDescent="0.35">
      <c r="A97" s="61">
        <v>1250</v>
      </c>
      <c r="B97" s="62">
        <v>55396.1</v>
      </c>
      <c r="C97" s="62" t="s">
        <v>591</v>
      </c>
      <c r="D97" s="65">
        <f t="shared" ref="D97:E99" si="32">+I97</f>
        <v>1250</v>
      </c>
      <c r="E97" s="65">
        <f t="shared" si="32"/>
        <v>54327.7</v>
      </c>
      <c r="F97" s="65" t="s">
        <v>592</v>
      </c>
      <c r="G97" s="65">
        <v>88561</v>
      </c>
      <c r="H97" s="45"/>
      <c r="I97" s="45">
        <v>1250</v>
      </c>
      <c r="J97" s="46">
        <v>54327.7</v>
      </c>
      <c r="K97" s="55">
        <f>+A97-D97</f>
        <v>0</v>
      </c>
      <c r="L97" s="33">
        <f t="shared" si="31"/>
        <v>1.9286556273817135E-2</v>
      </c>
    </row>
    <row r="98" spans="1:12" ht="15" thickBot="1" x14ac:dyDescent="0.35">
      <c r="A98" s="61">
        <v>484</v>
      </c>
      <c r="B98" s="62">
        <v>22518.75</v>
      </c>
      <c r="C98" s="62" t="s">
        <v>659</v>
      </c>
      <c r="D98" s="27">
        <f t="shared" si="32"/>
        <v>484</v>
      </c>
      <c r="E98" s="27">
        <f t="shared" si="32"/>
        <v>22065.5</v>
      </c>
      <c r="F98" s="65" t="s">
        <v>660</v>
      </c>
      <c r="G98" s="65">
        <v>88571</v>
      </c>
      <c r="H98" s="45"/>
      <c r="I98" s="45">
        <v>484</v>
      </c>
      <c r="J98" s="46">
        <v>22065.5</v>
      </c>
      <c r="K98" s="54">
        <f>+A98-D98</f>
        <v>0</v>
      </c>
      <c r="L98" s="33">
        <f t="shared" si="31"/>
        <v>2.0127671384956979E-2</v>
      </c>
    </row>
    <row r="99" spans="1:12" ht="15" thickBot="1" x14ac:dyDescent="0.35">
      <c r="A99" s="61">
        <v>114</v>
      </c>
      <c r="B99" s="62">
        <v>5286.75</v>
      </c>
      <c r="C99" s="62" t="s">
        <v>661</v>
      </c>
      <c r="D99" s="65">
        <f t="shared" si="32"/>
        <v>114</v>
      </c>
      <c r="E99" s="65">
        <f t="shared" si="32"/>
        <v>5154</v>
      </c>
      <c r="F99" s="65" t="s">
        <v>662</v>
      </c>
      <c r="G99" s="65">
        <v>88631</v>
      </c>
      <c r="H99" s="45"/>
      <c r="I99" s="45">
        <v>114</v>
      </c>
      <c r="J99" s="46">
        <v>5154</v>
      </c>
      <c r="K99" s="54">
        <f>+A99-D99</f>
        <v>0</v>
      </c>
      <c r="L99" s="33">
        <f t="shared" si="31"/>
        <v>2.5109944673003263E-2</v>
      </c>
    </row>
    <row r="100" spans="1:12" x14ac:dyDescent="0.3">
      <c r="A100" s="891">
        <v>1537</v>
      </c>
      <c r="B100" s="894">
        <v>69031.8</v>
      </c>
      <c r="C100" s="894" t="s">
        <v>663</v>
      </c>
      <c r="D100" s="905">
        <f>+I100+I101</f>
        <v>1487</v>
      </c>
      <c r="E100" s="905">
        <f>+J100+J101</f>
        <v>67336.399999999994</v>
      </c>
      <c r="F100" s="63" t="s">
        <v>664</v>
      </c>
      <c r="G100" s="63">
        <v>88641</v>
      </c>
      <c r="H100" s="39"/>
      <c r="I100" s="39">
        <v>309</v>
      </c>
      <c r="J100" s="41">
        <v>13252</v>
      </c>
      <c r="K100" s="877">
        <f>+A100-D100</f>
        <v>50</v>
      </c>
      <c r="L100" s="32">
        <f>((+B100/A100)-(E100/D100))/(B100/A100)</f>
        <v>-8.2392385643858534E-3</v>
      </c>
    </row>
    <row r="101" spans="1:12" ht="15" thickBot="1" x14ac:dyDescent="0.35">
      <c r="A101" s="893"/>
      <c r="B101" s="896"/>
      <c r="C101" s="896"/>
      <c r="D101" s="907"/>
      <c r="E101" s="907"/>
      <c r="F101" s="64" t="s">
        <v>664</v>
      </c>
      <c r="G101" s="64">
        <v>88641</v>
      </c>
      <c r="H101" s="42"/>
      <c r="I101" s="42">
        <v>1178</v>
      </c>
      <c r="J101" s="44">
        <v>54084.4</v>
      </c>
      <c r="K101" s="878"/>
      <c r="L101" s="35"/>
    </row>
    <row r="102" spans="1:12" ht="15" thickBot="1" x14ac:dyDescent="0.35">
      <c r="A102" s="21">
        <v>279</v>
      </c>
      <c r="B102" s="22">
        <v>12485</v>
      </c>
      <c r="C102" s="22" t="s">
        <v>665</v>
      </c>
      <c r="D102" s="28">
        <f>+I102</f>
        <v>279</v>
      </c>
      <c r="E102" s="28">
        <f>+J102</f>
        <v>12422.9</v>
      </c>
      <c r="F102" s="64" t="s">
        <v>666</v>
      </c>
      <c r="G102" s="64">
        <v>88701</v>
      </c>
      <c r="H102" s="42"/>
      <c r="I102" s="42">
        <v>279</v>
      </c>
      <c r="J102" s="44">
        <v>12422.9</v>
      </c>
      <c r="K102" s="54">
        <f>+A102-D102</f>
        <v>0</v>
      </c>
      <c r="L102" s="33">
        <f t="shared" ref="L102:L106" si="33">+(B102-E102)/B102</f>
        <v>4.9739687625150472E-3</v>
      </c>
    </row>
    <row r="103" spans="1:12" ht="15" thickBot="1" x14ac:dyDescent="0.35">
      <c r="A103" s="21">
        <v>203</v>
      </c>
      <c r="B103" s="22">
        <v>9394.5</v>
      </c>
      <c r="C103" s="22" t="s">
        <v>667</v>
      </c>
      <c r="D103" s="28">
        <f>+I103</f>
        <v>203</v>
      </c>
      <c r="E103" s="28">
        <f>+J103</f>
        <v>10280.299999999999</v>
      </c>
      <c r="F103" s="64" t="s">
        <v>668</v>
      </c>
      <c r="G103" s="64">
        <v>88711</v>
      </c>
      <c r="H103" s="42"/>
      <c r="I103" s="42">
        <v>203</v>
      </c>
      <c r="J103" s="44">
        <v>10280.299999999999</v>
      </c>
      <c r="K103" s="54">
        <f>+A103-D103</f>
        <v>0</v>
      </c>
      <c r="L103" s="33">
        <f t="shared" si="33"/>
        <v>-9.4289211772845744E-2</v>
      </c>
    </row>
    <row r="104" spans="1:12" ht="15" thickBot="1" x14ac:dyDescent="0.35">
      <c r="A104" s="61">
        <f t="shared" ref="A104:A105" si="34">+D104</f>
        <v>964</v>
      </c>
      <c r="B104" s="62">
        <v>45836.25</v>
      </c>
      <c r="C104" s="62" t="s">
        <v>669</v>
      </c>
      <c r="D104" s="65">
        <f t="shared" ref="D104:E105" si="35">+I104</f>
        <v>964</v>
      </c>
      <c r="E104" s="65">
        <f t="shared" si="35"/>
        <v>45229</v>
      </c>
      <c r="F104" s="65" t="s">
        <v>670</v>
      </c>
      <c r="G104" s="65">
        <v>88731</v>
      </c>
      <c r="H104" s="45"/>
      <c r="I104" s="45">
        <v>964</v>
      </c>
      <c r="J104" s="46">
        <v>45229</v>
      </c>
      <c r="K104" s="54">
        <f>+A104-D104</f>
        <v>0</v>
      </c>
      <c r="L104" s="33">
        <f t="shared" si="33"/>
        <v>1.3248247838773897E-2</v>
      </c>
    </row>
    <row r="105" spans="1:12" ht="15" thickBot="1" x14ac:dyDescent="0.35">
      <c r="A105" s="23">
        <f t="shared" si="34"/>
        <v>312</v>
      </c>
      <c r="B105" s="24">
        <v>14765.25</v>
      </c>
      <c r="C105" s="24" t="s">
        <v>671</v>
      </c>
      <c r="D105" s="29">
        <f t="shared" si="35"/>
        <v>312</v>
      </c>
      <c r="E105" s="29">
        <f t="shared" si="35"/>
        <v>14763.199999999999</v>
      </c>
      <c r="F105" s="29" t="s">
        <v>672</v>
      </c>
      <c r="G105" s="29">
        <v>88741</v>
      </c>
      <c r="H105" s="39"/>
      <c r="I105" s="39">
        <v>312</v>
      </c>
      <c r="J105" s="41">
        <v>14763.199999999999</v>
      </c>
      <c r="K105" s="54">
        <f>+A105-D105</f>
        <v>0</v>
      </c>
      <c r="L105" s="33">
        <f t="shared" si="33"/>
        <v>1.3883950491871735E-4</v>
      </c>
    </row>
    <row r="106" spans="1:12" x14ac:dyDescent="0.3">
      <c r="A106" s="891">
        <f>+D106</f>
        <v>765</v>
      </c>
      <c r="B106" s="894">
        <v>36758.25</v>
      </c>
      <c r="C106" s="894" t="s">
        <v>673</v>
      </c>
      <c r="D106" s="905">
        <f>+I106+I107</f>
        <v>765</v>
      </c>
      <c r="E106" s="905">
        <f>+J106+J107</f>
        <v>35586.6</v>
      </c>
      <c r="F106" s="29" t="s">
        <v>674</v>
      </c>
      <c r="G106" s="29">
        <v>88751</v>
      </c>
      <c r="H106" s="39"/>
      <c r="I106" s="39">
        <v>319</v>
      </c>
      <c r="J106" s="41">
        <v>14727.3</v>
      </c>
      <c r="K106" s="877">
        <f>+A106-D106</f>
        <v>0</v>
      </c>
      <c r="L106" s="911">
        <f t="shared" si="33"/>
        <v>3.1874477158189016E-2</v>
      </c>
    </row>
    <row r="107" spans="1:12" ht="15" thickBot="1" x14ac:dyDescent="0.35">
      <c r="A107" s="893"/>
      <c r="B107" s="896"/>
      <c r="C107" s="896"/>
      <c r="D107" s="907"/>
      <c r="E107" s="907"/>
      <c r="F107" s="28" t="s">
        <v>674</v>
      </c>
      <c r="G107" s="28">
        <v>88751</v>
      </c>
      <c r="H107" s="42"/>
      <c r="I107" s="42">
        <v>446</v>
      </c>
      <c r="J107" s="44">
        <v>20859.3</v>
      </c>
      <c r="K107" s="878"/>
      <c r="L107" s="912"/>
    </row>
    <row r="108" spans="1:12" ht="15" thickBot="1" x14ac:dyDescent="0.35">
      <c r="A108" s="19">
        <v>1054</v>
      </c>
      <c r="B108" s="20">
        <v>56334.75</v>
      </c>
      <c r="C108" s="20" t="s">
        <v>675</v>
      </c>
      <c r="D108" s="27">
        <f t="shared" ref="D108:E110" si="36">+I108</f>
        <v>1055</v>
      </c>
      <c r="E108" s="27">
        <f t="shared" si="36"/>
        <v>54247.4</v>
      </c>
      <c r="F108" s="27" t="s">
        <v>676</v>
      </c>
      <c r="G108" s="27">
        <v>88771</v>
      </c>
      <c r="H108" s="45"/>
      <c r="I108" s="45">
        <v>1055</v>
      </c>
      <c r="J108" s="46">
        <v>54247.4</v>
      </c>
      <c r="K108" s="54">
        <f>+A108-D108</f>
        <v>-1</v>
      </c>
      <c r="L108" s="33">
        <f>((+B108/A108)-(E108/D108))/(B108/A108)</f>
        <v>3.7965364832414888E-2</v>
      </c>
    </row>
    <row r="109" spans="1:12" ht="15" thickBot="1" x14ac:dyDescent="0.35">
      <c r="A109" s="19">
        <v>1654</v>
      </c>
      <c r="B109" s="20">
        <v>74852.25</v>
      </c>
      <c r="C109" s="20" t="s">
        <v>731</v>
      </c>
      <c r="D109" s="27">
        <f t="shared" si="36"/>
        <v>1654</v>
      </c>
      <c r="E109" s="27">
        <f t="shared" si="36"/>
        <v>73350.7</v>
      </c>
      <c r="F109" s="27" t="s">
        <v>730</v>
      </c>
      <c r="G109" s="27">
        <v>88781</v>
      </c>
      <c r="H109" s="45"/>
      <c r="I109" s="45">
        <v>1654</v>
      </c>
      <c r="J109" s="46">
        <v>73350.7</v>
      </c>
      <c r="K109" s="54">
        <f>+A109-D109</f>
        <v>0</v>
      </c>
      <c r="L109" s="33">
        <f t="shared" ref="L109" si="37">+(B109-E109)/B109</f>
        <v>2.0060185231572904E-2</v>
      </c>
    </row>
    <row r="110" spans="1:12" ht="15" thickBot="1" x14ac:dyDescent="0.35">
      <c r="A110" s="19">
        <v>286</v>
      </c>
      <c r="B110" s="20">
        <v>10062.75</v>
      </c>
      <c r="C110" s="20" t="s">
        <v>677</v>
      </c>
      <c r="D110" s="27">
        <f t="shared" si="36"/>
        <v>289</v>
      </c>
      <c r="E110" s="27">
        <f t="shared" si="36"/>
        <v>9754.4</v>
      </c>
      <c r="F110" s="27" t="s">
        <v>678</v>
      </c>
      <c r="G110" s="27">
        <v>88811</v>
      </c>
      <c r="H110" s="45"/>
      <c r="I110" s="45">
        <v>289</v>
      </c>
      <c r="J110" s="46">
        <v>9754.4</v>
      </c>
      <c r="K110" s="54">
        <f>+A110-D110</f>
        <v>-3</v>
      </c>
      <c r="L110" s="33">
        <f>((+B110/A110)-(E110/D110))/(B110/A110)</f>
        <v>4.0705249301119989E-2</v>
      </c>
    </row>
    <row r="111" spans="1:12" x14ac:dyDescent="0.3">
      <c r="A111" s="891">
        <v>2680</v>
      </c>
      <c r="B111" s="894">
        <v>148132.75</v>
      </c>
      <c r="C111" s="894" t="s">
        <v>721</v>
      </c>
      <c r="D111" s="905">
        <f>+I111+I112</f>
        <v>2682</v>
      </c>
      <c r="E111" s="905">
        <f>+J111+J112</f>
        <v>145389.59999999998</v>
      </c>
      <c r="F111" s="29" t="s">
        <v>722</v>
      </c>
      <c r="G111" s="29">
        <v>88821</v>
      </c>
      <c r="H111" s="39"/>
      <c r="I111" s="39">
        <v>1515</v>
      </c>
      <c r="J111" s="39">
        <v>82335.899999999994</v>
      </c>
      <c r="K111" s="877">
        <f>+A111-D111</f>
        <v>-2</v>
      </c>
      <c r="L111" s="879">
        <f>((+B111/A111)-(E111/D111))/(B111/A111)</f>
        <v>1.9250090151882959E-2</v>
      </c>
    </row>
    <row r="112" spans="1:12" ht="15" thickBot="1" x14ac:dyDescent="0.35">
      <c r="A112" s="893"/>
      <c r="B112" s="896"/>
      <c r="C112" s="896"/>
      <c r="D112" s="907"/>
      <c r="E112" s="907"/>
      <c r="F112" s="28" t="s">
        <v>722</v>
      </c>
      <c r="G112" s="28">
        <v>88821</v>
      </c>
      <c r="H112" s="42"/>
      <c r="I112" s="42">
        <v>1167</v>
      </c>
      <c r="J112" s="42">
        <v>63053.7</v>
      </c>
      <c r="K112" s="878"/>
      <c r="L112" s="880"/>
    </row>
    <row r="113" spans="1:12" ht="15" thickBot="1" x14ac:dyDescent="0.35">
      <c r="A113" s="19">
        <v>616</v>
      </c>
      <c r="B113" s="20">
        <v>27683.25</v>
      </c>
      <c r="C113" s="20" t="s">
        <v>723</v>
      </c>
      <c r="D113" s="27">
        <f>+I113</f>
        <v>616</v>
      </c>
      <c r="E113" s="27">
        <f>+J113</f>
        <v>27198.7</v>
      </c>
      <c r="F113" s="27" t="s">
        <v>724</v>
      </c>
      <c r="G113" s="27">
        <v>88881</v>
      </c>
      <c r="H113" s="45"/>
      <c r="I113" s="45">
        <v>616</v>
      </c>
      <c r="J113" s="45">
        <v>27198.7</v>
      </c>
      <c r="K113" s="54">
        <f>+A113-D113</f>
        <v>0</v>
      </c>
      <c r="L113" s="33">
        <f t="shared" ref="L113:L114" si="38">+(B113-E113)/B113</f>
        <v>1.750336394751336E-2</v>
      </c>
    </row>
    <row r="114" spans="1:12" x14ac:dyDescent="0.3">
      <c r="A114" s="891">
        <f>+D114</f>
        <v>2619</v>
      </c>
      <c r="B114" s="894">
        <v>116799.7</v>
      </c>
      <c r="C114" s="894" t="s">
        <v>725</v>
      </c>
      <c r="D114" s="905">
        <f>+I114+I115+I116</f>
        <v>2619</v>
      </c>
      <c r="E114" s="905">
        <f>+J114+J115+J116</f>
        <v>113143.79999999999</v>
      </c>
      <c r="F114" s="29" t="s">
        <v>726</v>
      </c>
      <c r="G114" s="29">
        <v>88941</v>
      </c>
      <c r="H114" s="39"/>
      <c r="I114" s="39">
        <v>200</v>
      </c>
      <c r="J114" s="39">
        <v>8584.2000000000007</v>
      </c>
      <c r="K114" s="877">
        <f>+A114-D114</f>
        <v>0</v>
      </c>
      <c r="L114" s="879">
        <f t="shared" si="38"/>
        <v>3.1300594093991753E-2</v>
      </c>
    </row>
    <row r="115" spans="1:12" x14ac:dyDescent="0.3">
      <c r="A115" s="892"/>
      <c r="B115" s="895"/>
      <c r="C115" s="895"/>
      <c r="D115" s="906"/>
      <c r="E115" s="906"/>
      <c r="F115" s="66" t="s">
        <v>726</v>
      </c>
      <c r="G115" s="66" t="s">
        <v>727</v>
      </c>
      <c r="H115" s="50"/>
      <c r="I115" s="50">
        <v>1603</v>
      </c>
      <c r="J115" s="50">
        <v>69284.399999999994</v>
      </c>
      <c r="K115" s="886"/>
      <c r="L115" s="885"/>
    </row>
    <row r="116" spans="1:12" ht="15" thickBot="1" x14ac:dyDescent="0.35">
      <c r="A116" s="893"/>
      <c r="B116" s="896"/>
      <c r="C116" s="896"/>
      <c r="D116" s="907"/>
      <c r="E116" s="907"/>
      <c r="F116" s="28" t="s">
        <v>726</v>
      </c>
      <c r="G116" s="28">
        <v>88942</v>
      </c>
      <c r="H116" s="10"/>
      <c r="I116" s="10">
        <v>816</v>
      </c>
      <c r="J116" s="10">
        <v>35275.199999999997</v>
      </c>
      <c r="K116" s="878"/>
      <c r="L116" s="880"/>
    </row>
    <row r="117" spans="1:12" ht="15" thickBot="1" x14ac:dyDescent="0.35">
      <c r="A117" s="19">
        <v>1229</v>
      </c>
      <c r="B117" s="20">
        <v>67749.5</v>
      </c>
      <c r="C117" s="20" t="s">
        <v>728</v>
      </c>
      <c r="D117" s="27">
        <v>1229</v>
      </c>
      <c r="E117" s="27">
        <v>66427.199999999997</v>
      </c>
      <c r="F117" s="27" t="s">
        <v>729</v>
      </c>
      <c r="G117" s="27">
        <v>89031</v>
      </c>
      <c r="H117" s="8"/>
      <c r="I117" s="8">
        <v>500</v>
      </c>
      <c r="J117" s="8">
        <v>27035.799999999996</v>
      </c>
      <c r="K117" s="54">
        <f>+A117-D117</f>
        <v>0</v>
      </c>
      <c r="L117" s="33">
        <f>((+B117/A117)-(E117/D117))/(B117/A117)</f>
        <v>1.951748721392773E-2</v>
      </c>
    </row>
    <row r="118" spans="1:12" x14ac:dyDescent="0.3">
      <c r="A118" s="891">
        <v>1128</v>
      </c>
      <c r="B118" s="894">
        <v>55237.25</v>
      </c>
      <c r="C118" s="894" t="s">
        <v>779</v>
      </c>
      <c r="D118" s="905">
        <f>+I118+I119</f>
        <v>1128</v>
      </c>
      <c r="E118" s="905">
        <f>+J118+J119</f>
        <v>53441.900000000009</v>
      </c>
      <c r="F118" s="29" t="s">
        <v>780</v>
      </c>
      <c r="G118" s="29">
        <v>89041</v>
      </c>
      <c r="H118" s="12"/>
      <c r="I118" s="12">
        <v>499</v>
      </c>
      <c r="J118" s="12">
        <v>24163.800000000003</v>
      </c>
      <c r="K118" s="877">
        <f>+A118-D118</f>
        <v>0</v>
      </c>
      <c r="L118" s="911">
        <f t="shared" ref="L118" si="39">+(B118-E118)/B118</f>
        <v>3.2502523206712701E-2</v>
      </c>
    </row>
    <row r="119" spans="1:12" ht="15" thickBot="1" x14ac:dyDescent="0.35">
      <c r="A119" s="893"/>
      <c r="B119" s="896"/>
      <c r="C119" s="896"/>
      <c r="D119" s="907"/>
      <c r="E119" s="907"/>
      <c r="F119" s="28" t="s">
        <v>780</v>
      </c>
      <c r="G119" s="28">
        <v>89041</v>
      </c>
      <c r="H119" s="10"/>
      <c r="I119" s="10">
        <v>629</v>
      </c>
      <c r="J119" s="10">
        <v>29278.100000000006</v>
      </c>
      <c r="K119" s="878"/>
      <c r="L119" s="912"/>
    </row>
    <row r="120" spans="1:12" ht="15" thickBot="1" x14ac:dyDescent="0.35">
      <c r="A120" s="19">
        <v>1192</v>
      </c>
      <c r="B120" s="20">
        <v>64087</v>
      </c>
      <c r="C120" s="20" t="s">
        <v>781</v>
      </c>
      <c r="D120" s="27">
        <f>+I120</f>
        <v>1193</v>
      </c>
      <c r="E120" s="27">
        <f>+J120</f>
        <v>62602.100000000006</v>
      </c>
      <c r="F120" s="27" t="s">
        <v>782</v>
      </c>
      <c r="G120" s="27">
        <v>89121</v>
      </c>
      <c r="H120" s="8"/>
      <c r="I120" s="8">
        <v>1193</v>
      </c>
      <c r="J120" s="8">
        <v>62602.100000000006</v>
      </c>
      <c r="K120" s="54">
        <f>+A120-D120</f>
        <v>-1</v>
      </c>
      <c r="L120" s="173">
        <f>((+B120/A120)-(E120/D120))/(B120/A120)</f>
        <v>2.3988866978042173E-2</v>
      </c>
    </row>
    <row r="121" spans="1:12" ht="15" thickBot="1" x14ac:dyDescent="0.35">
      <c r="A121" s="19">
        <v>115</v>
      </c>
      <c r="B121" s="20">
        <v>5373.5</v>
      </c>
      <c r="C121" s="20" t="s">
        <v>783</v>
      </c>
      <c r="D121" s="27">
        <f>+I121</f>
        <v>115</v>
      </c>
      <c r="E121" s="27">
        <f>+J121</f>
        <v>5266.5</v>
      </c>
      <c r="F121" s="27" t="s">
        <v>784</v>
      </c>
      <c r="G121" s="27">
        <v>89201</v>
      </c>
      <c r="H121" s="8"/>
      <c r="I121" s="8">
        <v>115</v>
      </c>
      <c r="J121" s="8">
        <v>5266.5</v>
      </c>
      <c r="K121" s="54">
        <f>+A121-D121</f>
        <v>0</v>
      </c>
      <c r="L121" s="33">
        <f t="shared" ref="L121" si="40">+(B121-E121)/B121</f>
        <v>1.9912533730343351E-2</v>
      </c>
    </row>
    <row r="122" spans="1:12" x14ac:dyDescent="0.3">
      <c r="A122" s="891">
        <v>290</v>
      </c>
      <c r="B122" s="894">
        <v>13225</v>
      </c>
      <c r="C122" s="894" t="s">
        <v>785</v>
      </c>
      <c r="D122" s="905">
        <f>+I122+I123</f>
        <v>290</v>
      </c>
      <c r="E122" s="905">
        <f>+J122+J123</f>
        <v>12979.599999999999</v>
      </c>
      <c r="F122" s="29" t="s">
        <v>786</v>
      </c>
      <c r="G122" s="29">
        <v>89231</v>
      </c>
      <c r="H122" s="12"/>
      <c r="I122" s="12">
        <v>100</v>
      </c>
      <c r="J122" s="12">
        <v>4543.3</v>
      </c>
      <c r="K122" s="877">
        <f>+A122-D122</f>
        <v>0</v>
      </c>
      <c r="L122" s="911">
        <f t="shared" ref="L122" si="41">+(B122-E122)/B122</f>
        <v>1.8555765595463247E-2</v>
      </c>
    </row>
    <row r="123" spans="1:12" ht="15" thickBot="1" x14ac:dyDescent="0.35">
      <c r="A123" s="893"/>
      <c r="B123" s="896"/>
      <c r="C123" s="896"/>
      <c r="D123" s="907"/>
      <c r="E123" s="907"/>
      <c r="F123" s="28" t="s">
        <v>786</v>
      </c>
      <c r="G123" s="28">
        <v>89231</v>
      </c>
      <c r="H123" s="10"/>
      <c r="I123" s="10">
        <v>190</v>
      </c>
      <c r="J123" s="10">
        <v>8436.2999999999993</v>
      </c>
      <c r="K123" s="878"/>
      <c r="L123" s="912"/>
    </row>
    <row r="124" spans="1:12" x14ac:dyDescent="0.3">
      <c r="A124" s="891">
        <v>1696</v>
      </c>
      <c r="B124" s="894">
        <v>79030</v>
      </c>
      <c r="C124" s="894" t="s">
        <v>787</v>
      </c>
      <c r="D124" s="905">
        <f>+I124+I125</f>
        <v>1702</v>
      </c>
      <c r="E124" s="905">
        <f>+J124+J125</f>
        <v>77526.399999999994</v>
      </c>
      <c r="F124" s="29" t="s">
        <v>788</v>
      </c>
      <c r="G124" s="29">
        <v>89241</v>
      </c>
      <c r="H124" s="12"/>
      <c r="I124" s="12">
        <v>545</v>
      </c>
      <c r="J124" s="12">
        <v>24935</v>
      </c>
      <c r="K124" s="877">
        <f>+A124-D124</f>
        <v>-6</v>
      </c>
      <c r="L124" s="879">
        <f>((+B124/A124)-(E124/D124))/(B124/A124)</f>
        <v>2.248388026799086E-2</v>
      </c>
    </row>
    <row r="125" spans="1:12" ht="15" thickBot="1" x14ac:dyDescent="0.35">
      <c r="A125" s="893"/>
      <c r="B125" s="896"/>
      <c r="C125" s="896"/>
      <c r="D125" s="907"/>
      <c r="E125" s="907"/>
      <c r="F125" s="28" t="s">
        <v>788</v>
      </c>
      <c r="G125" s="28">
        <v>89241</v>
      </c>
      <c r="H125" s="10"/>
      <c r="I125" s="10">
        <v>1157</v>
      </c>
      <c r="J125" s="10">
        <v>52591.399999999994</v>
      </c>
      <c r="K125" s="878"/>
      <c r="L125" s="880"/>
    </row>
    <row r="126" spans="1:12" x14ac:dyDescent="0.3">
      <c r="A126" s="891">
        <v>2507</v>
      </c>
      <c r="B126" s="894">
        <v>114363.4</v>
      </c>
      <c r="C126" s="894" t="s">
        <v>789</v>
      </c>
      <c r="D126" s="905">
        <v>2507</v>
      </c>
      <c r="E126" s="905">
        <v>111450.9</v>
      </c>
      <c r="F126" s="29" t="s">
        <v>790</v>
      </c>
      <c r="G126" s="29">
        <v>89301</v>
      </c>
      <c r="H126" s="12"/>
      <c r="I126" s="12">
        <v>600</v>
      </c>
      <c r="J126" s="12">
        <v>26029.199999999997</v>
      </c>
      <c r="K126" s="877">
        <f>+A126-D126</f>
        <v>0</v>
      </c>
      <c r="L126" s="879">
        <f t="shared" ref="L126" si="42">+(B126-E126)/B126</f>
        <v>2.5467063763406825E-2</v>
      </c>
    </row>
    <row r="127" spans="1:12" x14ac:dyDescent="0.3">
      <c r="A127" s="892"/>
      <c r="B127" s="895"/>
      <c r="C127" s="895"/>
      <c r="D127" s="906"/>
      <c r="E127" s="906"/>
      <c r="F127" s="30" t="s">
        <v>790</v>
      </c>
      <c r="G127" s="30">
        <v>89301</v>
      </c>
      <c r="H127" s="15"/>
      <c r="I127" s="15">
        <v>811</v>
      </c>
      <c r="J127" s="15">
        <v>35775.699999999997</v>
      </c>
      <c r="K127" s="886"/>
      <c r="L127" s="885"/>
    </row>
    <row r="128" spans="1:12" ht="15" thickBot="1" x14ac:dyDescent="0.35">
      <c r="A128" s="893"/>
      <c r="B128" s="896"/>
      <c r="C128" s="896"/>
      <c r="D128" s="907"/>
      <c r="E128" s="907"/>
      <c r="F128" s="28" t="s">
        <v>790</v>
      </c>
      <c r="G128" s="28">
        <v>89301</v>
      </c>
      <c r="H128" s="10"/>
      <c r="I128" s="10">
        <v>1033</v>
      </c>
      <c r="J128" s="10">
        <v>46781.8</v>
      </c>
      <c r="K128" s="878"/>
      <c r="L128" s="880"/>
    </row>
    <row r="129" spans="1:12" x14ac:dyDescent="0.3">
      <c r="A129" s="871">
        <v>3000</v>
      </c>
      <c r="B129" s="873">
        <v>134605.1</v>
      </c>
      <c r="C129" s="873" t="s">
        <v>861</v>
      </c>
      <c r="D129" s="873">
        <f>+I129+I130+I131</f>
        <v>3000</v>
      </c>
      <c r="E129" s="873">
        <f>+J129+J130+J131</f>
        <v>131351.5</v>
      </c>
      <c r="F129" s="12" t="s">
        <v>862</v>
      </c>
      <c r="G129" s="12">
        <v>89351</v>
      </c>
      <c r="H129" s="39"/>
      <c r="I129" s="39">
        <v>1800</v>
      </c>
      <c r="J129" s="41">
        <v>79046.2</v>
      </c>
      <c r="K129" s="877">
        <f>+A129-D129</f>
        <v>0</v>
      </c>
      <c r="L129" s="879">
        <f t="shared" ref="L129" si="43">+(B129-E129)/B129</f>
        <v>2.4171446698527811E-2</v>
      </c>
    </row>
    <row r="130" spans="1:12" x14ac:dyDescent="0.3">
      <c r="A130" s="875"/>
      <c r="B130" s="881"/>
      <c r="C130" s="881"/>
      <c r="D130" s="881"/>
      <c r="E130" s="881"/>
      <c r="F130" s="15" t="s">
        <v>862</v>
      </c>
      <c r="G130" s="15">
        <v>89351</v>
      </c>
      <c r="H130" s="50"/>
      <c r="I130" s="50">
        <v>400</v>
      </c>
      <c r="J130" s="51">
        <v>18044.2</v>
      </c>
      <c r="K130" s="886"/>
      <c r="L130" s="885"/>
    </row>
    <row r="131" spans="1:12" ht="15" thickBot="1" x14ac:dyDescent="0.35">
      <c r="A131" s="872"/>
      <c r="B131" s="874"/>
      <c r="C131" s="874"/>
      <c r="D131" s="874"/>
      <c r="E131" s="874"/>
      <c r="F131" s="10" t="s">
        <v>862</v>
      </c>
      <c r="G131" s="10">
        <v>89351</v>
      </c>
      <c r="H131" s="42"/>
      <c r="I131" s="42">
        <v>800</v>
      </c>
      <c r="J131" s="44">
        <v>34261.100000000006</v>
      </c>
      <c r="K131" s="878"/>
      <c r="L131" s="880"/>
    </row>
    <row r="132" spans="1:12" x14ac:dyDescent="0.3">
      <c r="A132" s="871">
        <v>739</v>
      </c>
      <c r="B132" s="873">
        <v>37754.6</v>
      </c>
      <c r="C132" s="873" t="s">
        <v>863</v>
      </c>
      <c r="D132" s="873">
        <f>+I132+I133</f>
        <v>739</v>
      </c>
      <c r="E132" s="873">
        <f>+J132+J133</f>
        <v>37034.6</v>
      </c>
      <c r="F132" s="12" t="s">
        <v>864</v>
      </c>
      <c r="G132" s="12">
        <v>89391</v>
      </c>
      <c r="H132" s="39"/>
      <c r="I132" s="39">
        <v>639</v>
      </c>
      <c r="J132" s="41">
        <v>32177.3</v>
      </c>
      <c r="K132" s="877">
        <f>+A132-D132</f>
        <v>0</v>
      </c>
      <c r="L132" s="911">
        <f t="shared" ref="L132:L136" si="44">+(B132-E132)/B132</f>
        <v>1.9070523856695609E-2</v>
      </c>
    </row>
    <row r="133" spans="1:12" ht="15" thickBot="1" x14ac:dyDescent="0.35">
      <c r="A133" s="872"/>
      <c r="B133" s="874"/>
      <c r="C133" s="874"/>
      <c r="D133" s="874"/>
      <c r="E133" s="874"/>
      <c r="F133" s="10" t="s">
        <v>864</v>
      </c>
      <c r="G133" s="10">
        <v>89391</v>
      </c>
      <c r="H133" s="42"/>
      <c r="I133" s="42">
        <v>100</v>
      </c>
      <c r="J133" s="44">
        <v>4857.3</v>
      </c>
      <c r="K133" s="878"/>
      <c r="L133" s="912"/>
    </row>
    <row r="134" spans="1:12" ht="15" thickBot="1" x14ac:dyDescent="0.35">
      <c r="A134" s="15">
        <v>2175</v>
      </c>
      <c r="B134" s="15">
        <v>99831.5</v>
      </c>
      <c r="C134" s="15" t="s">
        <v>946</v>
      </c>
      <c r="D134" s="15">
        <f>+I134</f>
        <v>2175</v>
      </c>
      <c r="E134" s="15">
        <f>+J134</f>
        <v>95800.5</v>
      </c>
      <c r="F134" s="15" t="s">
        <v>947</v>
      </c>
      <c r="G134" s="15">
        <v>89411</v>
      </c>
      <c r="I134" s="50">
        <v>2175</v>
      </c>
      <c r="J134" s="51">
        <v>95800.5</v>
      </c>
      <c r="K134" s="54">
        <f>+A134-D134</f>
        <v>0</v>
      </c>
      <c r="L134" s="33">
        <f t="shared" ref="L134" si="45">+(B134-E134)/B134</f>
        <v>4.0378036992332077E-2</v>
      </c>
    </row>
    <row r="135" spans="1:12" ht="15" thickBot="1" x14ac:dyDescent="0.35">
      <c r="A135" s="182">
        <v>903</v>
      </c>
      <c r="B135" s="183">
        <v>42380.25</v>
      </c>
      <c r="C135" s="183" t="s">
        <v>865</v>
      </c>
      <c r="D135" s="8">
        <f>+I135</f>
        <v>903</v>
      </c>
      <c r="E135" s="8">
        <f>+J135</f>
        <v>42308.7</v>
      </c>
      <c r="F135" s="8" t="s">
        <v>866</v>
      </c>
      <c r="G135" s="8">
        <v>89601</v>
      </c>
      <c r="H135" s="14"/>
      <c r="I135" s="45">
        <v>903</v>
      </c>
      <c r="J135" s="46">
        <v>42308.7</v>
      </c>
      <c r="K135" s="54">
        <f>+A135-D135</f>
        <v>0</v>
      </c>
      <c r="L135" s="33">
        <f t="shared" si="44"/>
        <v>1.6882864069938924E-3</v>
      </c>
    </row>
    <row r="136" spans="1:12" x14ac:dyDescent="0.3">
      <c r="A136" s="940">
        <v>2320</v>
      </c>
      <c r="B136" s="913">
        <v>101693.3</v>
      </c>
      <c r="C136" s="913" t="s">
        <v>867</v>
      </c>
      <c r="D136" s="873">
        <f>+I136+I137</f>
        <v>2320</v>
      </c>
      <c r="E136" s="873">
        <f>+J136+J137</f>
        <v>99616.599999999991</v>
      </c>
      <c r="F136" s="12" t="s">
        <v>868</v>
      </c>
      <c r="G136" s="12">
        <v>89701</v>
      </c>
      <c r="H136" s="40"/>
      <c r="I136" s="39">
        <v>1651</v>
      </c>
      <c r="J136" s="41">
        <v>70949.899999999994</v>
      </c>
      <c r="K136" s="877">
        <f>+A136-D136</f>
        <v>0</v>
      </c>
      <c r="L136" s="911">
        <f t="shared" si="44"/>
        <v>2.0421207690182259E-2</v>
      </c>
    </row>
    <row r="137" spans="1:12" ht="15" thickBot="1" x14ac:dyDescent="0.35">
      <c r="A137" s="941"/>
      <c r="B137" s="914"/>
      <c r="C137" s="914"/>
      <c r="D137" s="874"/>
      <c r="E137" s="874"/>
      <c r="F137" s="10" t="s">
        <v>868</v>
      </c>
      <c r="G137" s="10">
        <v>89701</v>
      </c>
      <c r="H137" s="43"/>
      <c r="I137" s="42">
        <v>669</v>
      </c>
      <c r="J137" s="44">
        <v>28666.7</v>
      </c>
      <c r="K137" s="878"/>
      <c r="L137" s="912"/>
    </row>
    <row r="138" spans="1:12" ht="15" thickBot="1" x14ac:dyDescent="0.35">
      <c r="A138" s="182">
        <v>362</v>
      </c>
      <c r="B138" s="183">
        <v>15801</v>
      </c>
      <c r="C138" s="183" t="s">
        <v>869</v>
      </c>
      <c r="D138" s="8">
        <f>+I138</f>
        <v>362</v>
      </c>
      <c r="E138" s="8">
        <f>+J138</f>
        <v>15629.8</v>
      </c>
      <c r="F138" s="8" t="s">
        <v>870</v>
      </c>
      <c r="G138" s="8">
        <v>89711</v>
      </c>
      <c r="H138" s="14"/>
      <c r="I138" s="45">
        <v>362</v>
      </c>
      <c r="J138" s="46">
        <v>15629.8</v>
      </c>
      <c r="K138" s="54">
        <f t="shared" ref="K138:K143" si="46">+A138-D138</f>
        <v>0</v>
      </c>
      <c r="L138" s="33">
        <f t="shared" ref="L138:L149" si="47">+(B138-E138)/B138</f>
        <v>1.0834757293842208E-2</v>
      </c>
    </row>
    <row r="139" spans="1:12" ht="15" thickBot="1" x14ac:dyDescent="0.35">
      <c r="A139" s="175">
        <v>1003</v>
      </c>
      <c r="B139" s="8">
        <v>52679</v>
      </c>
      <c r="C139" s="8" t="s">
        <v>932</v>
      </c>
      <c r="D139" s="8">
        <f t="shared" ref="D139:E142" si="48">+I139</f>
        <v>1003</v>
      </c>
      <c r="E139" s="8">
        <f t="shared" si="48"/>
        <v>51381.8</v>
      </c>
      <c r="F139" s="8" t="s">
        <v>933</v>
      </c>
      <c r="G139" s="8">
        <v>89801</v>
      </c>
      <c r="H139" s="14"/>
      <c r="I139" s="45">
        <v>1003</v>
      </c>
      <c r="J139" s="46">
        <v>51381.8</v>
      </c>
      <c r="K139" s="54">
        <f t="shared" si="46"/>
        <v>0</v>
      </c>
      <c r="L139" s="33">
        <f t="shared" si="47"/>
        <v>2.4624613223485584E-2</v>
      </c>
    </row>
    <row r="140" spans="1:12" ht="15" thickBot="1" x14ac:dyDescent="0.35">
      <c r="A140" s="175">
        <v>1461</v>
      </c>
      <c r="B140" s="8">
        <v>79819.75</v>
      </c>
      <c r="C140" s="8" t="s">
        <v>934</v>
      </c>
      <c r="D140" s="8">
        <f t="shared" si="48"/>
        <v>1462</v>
      </c>
      <c r="E140" s="8">
        <f t="shared" si="48"/>
        <v>78254.3</v>
      </c>
      <c r="F140" s="8" t="s">
        <v>935</v>
      </c>
      <c r="G140" s="8">
        <v>89811</v>
      </c>
      <c r="H140" s="14"/>
      <c r="I140" s="45">
        <v>1462</v>
      </c>
      <c r="J140" s="46">
        <v>78254.3</v>
      </c>
      <c r="K140" s="54">
        <f t="shared" si="46"/>
        <v>-1</v>
      </c>
      <c r="L140" s="173">
        <f>((+B140/A140)-(E140/D140))/(B140/A140)</f>
        <v>2.0282893807558756E-2</v>
      </c>
    </row>
    <row r="141" spans="1:12" ht="15" thickBot="1" x14ac:dyDescent="0.35">
      <c r="A141" s="174">
        <v>1729</v>
      </c>
      <c r="B141" s="12">
        <v>82646.75</v>
      </c>
      <c r="C141" s="12" t="s">
        <v>936</v>
      </c>
      <c r="D141" s="12">
        <f t="shared" si="48"/>
        <v>1729</v>
      </c>
      <c r="E141" s="12">
        <f t="shared" si="48"/>
        <v>79105.999999999985</v>
      </c>
      <c r="F141" s="12" t="s">
        <v>937</v>
      </c>
      <c r="G141" s="12">
        <v>89851</v>
      </c>
      <c r="H141" s="40"/>
      <c r="I141" s="39">
        <v>1729</v>
      </c>
      <c r="J141" s="41">
        <v>79105.999999999985</v>
      </c>
      <c r="K141" s="54">
        <f t="shared" si="46"/>
        <v>0</v>
      </c>
      <c r="L141" s="33">
        <f t="shared" si="47"/>
        <v>4.2841975032291223E-2</v>
      </c>
    </row>
    <row r="142" spans="1:12" ht="15" thickBot="1" x14ac:dyDescent="0.35">
      <c r="A142" s="174">
        <v>868</v>
      </c>
      <c r="B142" s="12">
        <v>42121.25</v>
      </c>
      <c r="C142" s="12" t="s">
        <v>938</v>
      </c>
      <c r="D142" s="12">
        <f t="shared" si="48"/>
        <v>868</v>
      </c>
      <c r="E142" s="12">
        <f t="shared" si="48"/>
        <v>42129.600000000006</v>
      </c>
      <c r="F142" s="12" t="s">
        <v>939</v>
      </c>
      <c r="G142" s="12">
        <v>89941</v>
      </c>
      <c r="H142" s="40"/>
      <c r="I142" s="39">
        <v>868</v>
      </c>
      <c r="J142" s="41">
        <v>42129.600000000006</v>
      </c>
      <c r="K142" s="54">
        <f t="shared" si="46"/>
        <v>0</v>
      </c>
      <c r="L142" s="33">
        <f t="shared" si="47"/>
        <v>-1.9823723180118874E-4</v>
      </c>
    </row>
    <row r="143" spans="1:12" x14ac:dyDescent="0.3">
      <c r="A143" s="871">
        <v>2482</v>
      </c>
      <c r="B143" s="873">
        <v>108903.3</v>
      </c>
      <c r="C143" s="873" t="s">
        <v>940</v>
      </c>
      <c r="D143" s="873">
        <f>+I143+I144</f>
        <v>2482</v>
      </c>
      <c r="E143" s="873">
        <f>+J143+J144</f>
        <v>107207.70000000001</v>
      </c>
      <c r="F143" s="12" t="s">
        <v>941</v>
      </c>
      <c r="G143" s="12">
        <v>89961</v>
      </c>
      <c r="H143" s="40"/>
      <c r="I143" s="39">
        <v>1283</v>
      </c>
      <c r="J143" s="41">
        <v>55809.3</v>
      </c>
      <c r="K143" s="877">
        <f t="shared" si="46"/>
        <v>0</v>
      </c>
      <c r="L143" s="879">
        <f t="shared" si="47"/>
        <v>1.5569776122486566E-2</v>
      </c>
    </row>
    <row r="144" spans="1:12" ht="15" thickBot="1" x14ac:dyDescent="0.35">
      <c r="A144" s="872"/>
      <c r="B144" s="881"/>
      <c r="C144" s="881"/>
      <c r="D144" s="881"/>
      <c r="E144" s="881"/>
      <c r="F144" s="15" t="s">
        <v>941</v>
      </c>
      <c r="G144" s="15">
        <v>89961</v>
      </c>
      <c r="I144" s="50">
        <v>1199</v>
      </c>
      <c r="J144" s="51">
        <v>51398.400000000001</v>
      </c>
      <c r="K144" s="878"/>
      <c r="L144" s="880"/>
    </row>
    <row r="145" spans="1:12" x14ac:dyDescent="0.3">
      <c r="A145" s="871">
        <v>652</v>
      </c>
      <c r="B145" s="873">
        <v>31322.25</v>
      </c>
      <c r="C145" s="873" t="s">
        <v>942</v>
      </c>
      <c r="D145" s="873">
        <f>+I145+I146</f>
        <v>652</v>
      </c>
      <c r="E145" s="873">
        <f>+J145+J146</f>
        <v>30934.400000000001</v>
      </c>
      <c r="F145" s="12" t="s">
        <v>943</v>
      </c>
      <c r="G145" s="12">
        <v>89971</v>
      </c>
      <c r="H145" s="40"/>
      <c r="I145" s="39">
        <v>51</v>
      </c>
      <c r="J145" s="41">
        <v>2465.5</v>
      </c>
      <c r="K145" s="877">
        <f>+A145-D145</f>
        <v>0</v>
      </c>
      <c r="L145" s="879">
        <f t="shared" si="47"/>
        <v>1.2382571494704198E-2</v>
      </c>
    </row>
    <row r="146" spans="1:12" ht="15" thickBot="1" x14ac:dyDescent="0.35">
      <c r="A146" s="872"/>
      <c r="B146" s="874"/>
      <c r="C146" s="874"/>
      <c r="D146" s="874"/>
      <c r="E146" s="874"/>
      <c r="F146" s="10" t="s">
        <v>943</v>
      </c>
      <c r="G146" s="10">
        <v>89971</v>
      </c>
      <c r="H146" s="43"/>
      <c r="I146" s="42">
        <v>601</v>
      </c>
      <c r="J146" s="44">
        <v>28468.9</v>
      </c>
      <c r="K146" s="878"/>
      <c r="L146" s="885"/>
    </row>
    <row r="147" spans="1:12" ht="15" thickBot="1" x14ac:dyDescent="0.35">
      <c r="A147" s="190">
        <v>231</v>
      </c>
      <c r="B147" s="161">
        <v>11426.25</v>
      </c>
      <c r="C147" s="161" t="s">
        <v>1023</v>
      </c>
      <c r="D147" s="8">
        <f>+I147</f>
        <v>231</v>
      </c>
      <c r="E147" s="8">
        <f>+J147</f>
        <v>11033.4</v>
      </c>
      <c r="F147" s="8" t="s">
        <v>1024</v>
      </c>
      <c r="G147" s="8">
        <v>89981</v>
      </c>
      <c r="H147" s="45"/>
      <c r="I147" s="45">
        <v>231</v>
      </c>
      <c r="J147" s="46">
        <v>11033.4</v>
      </c>
      <c r="K147" s="54">
        <f>+A147-D147</f>
        <v>0</v>
      </c>
      <c r="L147" s="33">
        <f t="shared" ref="L147" si="49">+(B147-E147)/B147</f>
        <v>3.4381358713488706E-2</v>
      </c>
    </row>
    <row r="148" spans="1:12" ht="15" thickBot="1" x14ac:dyDescent="0.35">
      <c r="A148" s="178">
        <v>1718</v>
      </c>
      <c r="B148" s="8">
        <v>81820</v>
      </c>
      <c r="C148" s="8" t="s">
        <v>944</v>
      </c>
      <c r="D148" s="8">
        <v>1718</v>
      </c>
      <c r="E148" s="8">
        <v>78513.899999999994</v>
      </c>
      <c r="F148" s="8" t="s">
        <v>945</v>
      </c>
      <c r="G148" s="8">
        <v>89991</v>
      </c>
      <c r="H148" s="14"/>
      <c r="I148" s="45">
        <v>400</v>
      </c>
      <c r="J148" s="46">
        <v>18217.2</v>
      </c>
      <c r="K148" s="54">
        <f>+A148-D148</f>
        <v>0</v>
      </c>
      <c r="L148" s="33">
        <f t="shared" si="47"/>
        <v>4.040699095575661E-2</v>
      </c>
    </row>
    <row r="149" spans="1:12" x14ac:dyDescent="0.3">
      <c r="A149" s="938">
        <v>1666</v>
      </c>
      <c r="B149" s="873">
        <v>76688.25</v>
      </c>
      <c r="C149" s="873" t="s">
        <v>1011</v>
      </c>
      <c r="D149" s="873">
        <f>+I149+I150</f>
        <v>1666</v>
      </c>
      <c r="E149" s="873">
        <f>+J149+J150</f>
        <v>74993.000000000015</v>
      </c>
      <c r="F149" s="873" t="s">
        <v>1012</v>
      </c>
      <c r="G149" s="873">
        <v>90001</v>
      </c>
      <c r="H149" s="40"/>
      <c r="I149" s="39">
        <v>936</v>
      </c>
      <c r="J149" s="41">
        <v>42461.900000000009</v>
      </c>
      <c r="K149" s="877">
        <f>+A149-D149</f>
        <v>0</v>
      </c>
      <c r="L149" s="879">
        <f t="shared" si="47"/>
        <v>2.2105733277261973E-2</v>
      </c>
    </row>
    <row r="150" spans="1:12" ht="15" thickBot="1" x14ac:dyDescent="0.35">
      <c r="A150" s="939"/>
      <c r="B150" s="874"/>
      <c r="C150" s="874"/>
      <c r="D150" s="874"/>
      <c r="E150" s="874"/>
      <c r="F150" s="874"/>
      <c r="G150" s="874"/>
      <c r="H150" s="43"/>
      <c r="I150" s="42">
        <v>730</v>
      </c>
      <c r="J150" s="44">
        <v>32531.100000000002</v>
      </c>
      <c r="K150" s="878"/>
      <c r="L150" s="880"/>
    </row>
    <row r="151" spans="1:12" ht="15" thickBot="1" x14ac:dyDescent="0.35">
      <c r="A151" s="178">
        <v>937</v>
      </c>
      <c r="B151" s="8">
        <v>40537</v>
      </c>
      <c r="C151" s="8" t="s">
        <v>1013</v>
      </c>
      <c r="D151" s="8">
        <v>937</v>
      </c>
      <c r="E151" s="8">
        <v>40175.9</v>
      </c>
      <c r="F151" s="8" t="s">
        <v>1014</v>
      </c>
      <c r="G151" s="8">
        <v>90161</v>
      </c>
      <c r="H151" s="14"/>
      <c r="I151" s="45">
        <v>695</v>
      </c>
      <c r="J151" s="46">
        <v>29718.000000000004</v>
      </c>
      <c r="K151" s="54">
        <f>+A151-D151</f>
        <v>0</v>
      </c>
      <c r="L151" s="33">
        <f t="shared" ref="L151:L152" si="50">+(B151-E151)/B151</f>
        <v>8.9079112909193712E-3</v>
      </c>
    </row>
    <row r="152" spans="1:12" ht="15" thickBot="1" x14ac:dyDescent="0.35">
      <c r="A152" s="175">
        <v>1204</v>
      </c>
      <c r="B152" s="8">
        <v>57430</v>
      </c>
      <c r="C152" s="8" t="s">
        <v>1019</v>
      </c>
      <c r="D152" s="8">
        <f>+I152</f>
        <v>1204</v>
      </c>
      <c r="E152" s="8">
        <f>+J152</f>
        <v>55121.1</v>
      </c>
      <c r="F152" s="8" t="s">
        <v>1020</v>
      </c>
      <c r="G152" s="8">
        <v>90171</v>
      </c>
      <c r="H152" s="14"/>
      <c r="I152" s="45">
        <v>1204</v>
      </c>
      <c r="J152" s="46">
        <v>55121.1</v>
      </c>
      <c r="K152" s="54">
        <f>+A152-D152</f>
        <v>0</v>
      </c>
      <c r="L152" s="33">
        <f t="shared" si="50"/>
        <v>4.0203726275465812E-2</v>
      </c>
    </row>
    <row r="153" spans="1:12" ht="15" thickBot="1" x14ac:dyDescent="0.35">
      <c r="A153" s="178">
        <v>86</v>
      </c>
      <c r="B153" s="8">
        <v>3474.75</v>
      </c>
      <c r="C153" s="8" t="s">
        <v>1015</v>
      </c>
      <c r="D153" s="8">
        <f>+I153</f>
        <v>86</v>
      </c>
      <c r="E153" s="8">
        <f>+J153</f>
        <v>3406.6</v>
      </c>
      <c r="F153" s="8" t="s">
        <v>1016</v>
      </c>
      <c r="G153" s="8">
        <v>90241</v>
      </c>
      <c r="H153" s="14"/>
      <c r="I153" s="45">
        <v>86</v>
      </c>
      <c r="J153" s="46">
        <v>3406.6</v>
      </c>
      <c r="K153" s="54">
        <f>+A153-D153</f>
        <v>0</v>
      </c>
      <c r="L153" s="33">
        <f t="shared" ref="L153:L156" si="51">+(B153-E153)/B153</f>
        <v>1.9612921792934768E-2</v>
      </c>
    </row>
    <row r="154" spans="1:12" x14ac:dyDescent="0.3">
      <c r="A154" s="871">
        <v>2538</v>
      </c>
      <c r="B154" s="873">
        <v>117976.25</v>
      </c>
      <c r="C154" s="873" t="s">
        <v>1021</v>
      </c>
      <c r="D154" s="873">
        <v>2538</v>
      </c>
      <c r="E154" s="873">
        <v>114261.6</v>
      </c>
      <c r="F154" s="12" t="s">
        <v>1022</v>
      </c>
      <c r="G154" s="12">
        <v>90251</v>
      </c>
      <c r="H154" s="40"/>
      <c r="I154" s="39">
        <v>515</v>
      </c>
      <c r="J154" s="41">
        <v>23433.3</v>
      </c>
      <c r="K154" s="877">
        <f>+A154-D154</f>
        <v>0</v>
      </c>
      <c r="L154" s="879">
        <f t="shared" si="51"/>
        <v>3.1486422055286505E-2</v>
      </c>
    </row>
    <row r="155" spans="1:12" ht="15" thickBot="1" x14ac:dyDescent="0.35">
      <c r="A155" s="872"/>
      <c r="B155" s="874"/>
      <c r="C155" s="874"/>
      <c r="D155" s="874"/>
      <c r="E155" s="874"/>
      <c r="F155" s="10" t="s">
        <v>1022</v>
      </c>
      <c r="G155" s="10">
        <v>90251</v>
      </c>
      <c r="H155" s="43"/>
      <c r="I155" s="42">
        <v>934</v>
      </c>
      <c r="J155" s="44">
        <v>42046</v>
      </c>
      <c r="K155" s="878"/>
      <c r="L155" s="880" t="e">
        <f t="shared" si="51"/>
        <v>#DIV/0!</v>
      </c>
    </row>
    <row r="156" spans="1:12" ht="15" thickBot="1" x14ac:dyDescent="0.35">
      <c r="A156" s="212">
        <v>155</v>
      </c>
      <c r="B156" s="15">
        <v>6934.25</v>
      </c>
      <c r="C156" s="15" t="s">
        <v>1082</v>
      </c>
      <c r="D156" s="15">
        <f t="shared" ref="D156:E159" si="52">+I156</f>
        <v>155</v>
      </c>
      <c r="E156" s="15">
        <f t="shared" si="52"/>
        <v>6779.9</v>
      </c>
      <c r="F156" s="15" t="s">
        <v>1083</v>
      </c>
      <c r="G156" s="15">
        <v>90331</v>
      </c>
      <c r="I156" s="50">
        <v>155</v>
      </c>
      <c r="J156" s="51">
        <v>6779.9</v>
      </c>
      <c r="K156" s="54">
        <f>+A156-D156</f>
        <v>0</v>
      </c>
      <c r="L156" s="33">
        <f t="shared" si="51"/>
        <v>2.2259076324043749E-2</v>
      </c>
    </row>
    <row r="157" spans="1:12" x14ac:dyDescent="0.3">
      <c r="A157" s="873">
        <v>1409</v>
      </c>
      <c r="B157" s="873">
        <v>64356</v>
      </c>
      <c r="C157" s="873" t="s">
        <v>1084</v>
      </c>
      <c r="D157" s="873">
        <f>+I157+I158</f>
        <v>1410</v>
      </c>
      <c r="E157" s="873">
        <f>+J157+J158</f>
        <v>62627.5</v>
      </c>
      <c r="F157" s="12" t="s">
        <v>1085</v>
      </c>
      <c r="G157" s="12">
        <v>90361</v>
      </c>
      <c r="H157" s="40"/>
      <c r="I157" s="39">
        <v>1314</v>
      </c>
      <c r="J157" s="41">
        <v>57448.1</v>
      </c>
      <c r="K157" s="877">
        <f>+A157-D157</f>
        <v>-1</v>
      </c>
      <c r="L157" s="879">
        <f>((+B157/A157)-(E157/D157))/(B157/A157)</f>
        <v>2.7548583918619425E-2</v>
      </c>
    </row>
    <row r="158" spans="1:12" ht="15" thickBot="1" x14ac:dyDescent="0.35">
      <c r="A158" s="874"/>
      <c r="B158" s="874"/>
      <c r="C158" s="874"/>
      <c r="D158" s="874"/>
      <c r="E158" s="874"/>
      <c r="F158" s="10" t="s">
        <v>1085</v>
      </c>
      <c r="G158" s="10">
        <v>90361</v>
      </c>
      <c r="H158" s="43"/>
      <c r="I158" s="42">
        <v>96</v>
      </c>
      <c r="J158" s="44">
        <v>5179.3999999999996</v>
      </c>
      <c r="K158" s="878"/>
      <c r="L158" s="880"/>
    </row>
    <row r="159" spans="1:12" ht="15" thickBot="1" x14ac:dyDescent="0.35">
      <c r="A159" s="212">
        <v>993</v>
      </c>
      <c r="B159" s="15">
        <v>47322</v>
      </c>
      <c r="C159" s="15" t="s">
        <v>1086</v>
      </c>
      <c r="D159" s="15">
        <f t="shared" si="52"/>
        <v>993</v>
      </c>
      <c r="E159" s="15">
        <f t="shared" si="52"/>
        <v>45218.799999999996</v>
      </c>
      <c r="F159" s="15" t="s">
        <v>1087</v>
      </c>
      <c r="G159" s="15">
        <v>90371</v>
      </c>
      <c r="I159" s="50">
        <v>993</v>
      </c>
      <c r="J159" s="51">
        <v>45218.799999999996</v>
      </c>
      <c r="K159" s="54">
        <f>+A159-D159</f>
        <v>0</v>
      </c>
      <c r="L159" s="33">
        <f t="shared" ref="L159" si="53">+(B159-E159)/B159</f>
        <v>4.4444444444444536E-2</v>
      </c>
    </row>
    <row r="160" spans="1:12" x14ac:dyDescent="0.3">
      <c r="A160" s="871">
        <v>1511</v>
      </c>
      <c r="B160" s="873">
        <v>70823.75</v>
      </c>
      <c r="C160" s="873" t="s">
        <v>1088</v>
      </c>
      <c r="D160" s="873">
        <f>+I160+I161</f>
        <v>1510</v>
      </c>
      <c r="E160" s="873">
        <f>+J160+J161</f>
        <v>68570.399999999994</v>
      </c>
      <c r="F160" s="39" t="s">
        <v>1089</v>
      </c>
      <c r="G160" s="39">
        <v>90481</v>
      </c>
      <c r="H160" s="39"/>
      <c r="I160" s="39">
        <v>233</v>
      </c>
      <c r="J160" s="41">
        <v>10452.4</v>
      </c>
      <c r="K160" s="877">
        <f>+A160-D160</f>
        <v>1</v>
      </c>
      <c r="L160" s="879">
        <f>((+B160/A160)-(E160/D160))/(B160/A160)</f>
        <v>3.1175123303593098E-2</v>
      </c>
    </row>
    <row r="161" spans="1:12" ht="15" thickBot="1" x14ac:dyDescent="0.35">
      <c r="A161" s="872"/>
      <c r="B161" s="874"/>
      <c r="C161" s="874"/>
      <c r="D161" s="874"/>
      <c r="E161" s="874"/>
      <c r="F161" s="42" t="s">
        <v>1089</v>
      </c>
      <c r="G161" s="42">
        <v>90481</v>
      </c>
      <c r="H161" s="42"/>
      <c r="I161" s="42">
        <v>1277</v>
      </c>
      <c r="J161" s="44">
        <v>58118</v>
      </c>
      <c r="K161" s="878"/>
      <c r="L161" s="880"/>
    </row>
    <row r="162" spans="1:12" ht="15" thickBot="1" x14ac:dyDescent="0.35">
      <c r="A162" s="175">
        <v>121</v>
      </c>
      <c r="B162" s="8">
        <v>5201.75</v>
      </c>
      <c r="C162" s="45" t="s">
        <v>1090</v>
      </c>
      <c r="D162" s="8">
        <f t="shared" ref="D162:E163" si="54">+I162</f>
        <v>121</v>
      </c>
      <c r="E162" s="8">
        <f t="shared" si="54"/>
        <v>5096</v>
      </c>
      <c r="F162" s="8" t="s">
        <v>1091</v>
      </c>
      <c r="G162" s="8">
        <v>90581</v>
      </c>
      <c r="H162" s="45"/>
      <c r="I162" s="45">
        <v>121</v>
      </c>
      <c r="J162" s="46">
        <v>5096</v>
      </c>
      <c r="K162" s="54">
        <f>+A162-D162</f>
        <v>0</v>
      </c>
      <c r="L162" s="33">
        <f t="shared" ref="L162:L168" si="55">+(B162-E162)/B162</f>
        <v>2.0329696736675156E-2</v>
      </c>
    </row>
    <row r="163" spans="1:12" ht="15" thickBot="1" x14ac:dyDescent="0.35">
      <c r="A163" s="175">
        <v>162</v>
      </c>
      <c r="B163" s="8">
        <v>7076.75</v>
      </c>
      <c r="C163" s="45" t="s">
        <v>1092</v>
      </c>
      <c r="D163" s="8">
        <f t="shared" si="54"/>
        <v>162</v>
      </c>
      <c r="E163" s="8">
        <f t="shared" si="54"/>
        <v>6980.6</v>
      </c>
      <c r="F163" s="8" t="s">
        <v>1093</v>
      </c>
      <c r="G163" s="8">
        <v>90591</v>
      </c>
      <c r="H163" s="14"/>
      <c r="I163" s="45">
        <v>162</v>
      </c>
      <c r="J163" s="46">
        <v>6980.6</v>
      </c>
      <c r="K163" s="54">
        <f>+A163-D163</f>
        <v>0</v>
      </c>
      <c r="L163" s="33">
        <f t="shared" si="55"/>
        <v>1.3586745328010689E-2</v>
      </c>
    </row>
    <row r="164" spans="1:12" ht="15" thickBot="1" x14ac:dyDescent="0.35">
      <c r="A164" s="178">
        <v>1762</v>
      </c>
      <c r="B164" s="45">
        <v>86802.25</v>
      </c>
      <c r="C164" s="45" t="s">
        <v>1094</v>
      </c>
      <c r="D164" s="45">
        <v>1762</v>
      </c>
      <c r="E164" s="45">
        <v>83136.7</v>
      </c>
      <c r="F164" s="45" t="s">
        <v>1095</v>
      </c>
      <c r="G164" s="45">
        <v>90631</v>
      </c>
      <c r="H164" s="45"/>
      <c r="I164" s="45">
        <v>1112</v>
      </c>
      <c r="J164" s="46">
        <v>52006.400000000001</v>
      </c>
      <c r="K164" s="54">
        <f>+A164-D164</f>
        <v>0</v>
      </c>
      <c r="L164" s="33">
        <f t="shared" si="55"/>
        <v>4.222874407057424E-2</v>
      </c>
    </row>
    <row r="165" spans="1:12" ht="15" thickBot="1" x14ac:dyDescent="0.35">
      <c r="A165" s="178">
        <v>1027</v>
      </c>
      <c r="B165" s="45">
        <v>52231.75</v>
      </c>
      <c r="C165" s="45" t="s">
        <v>1204</v>
      </c>
      <c r="D165" s="45">
        <f>+I165</f>
        <v>1027</v>
      </c>
      <c r="E165" s="45">
        <f>+J165</f>
        <v>50182.8</v>
      </c>
      <c r="F165" s="45" t="s">
        <v>1205</v>
      </c>
      <c r="G165" s="45">
        <v>90671</v>
      </c>
      <c r="H165" s="45"/>
      <c r="I165" s="45">
        <v>1027</v>
      </c>
      <c r="J165" s="46">
        <v>50182.8</v>
      </c>
      <c r="K165" s="54">
        <f>+A165-D165</f>
        <v>0</v>
      </c>
      <c r="L165" s="33">
        <f t="shared" si="55"/>
        <v>3.9228055732384942E-2</v>
      </c>
    </row>
    <row r="166" spans="1:12" x14ac:dyDescent="0.3">
      <c r="A166" s="871">
        <v>1706</v>
      </c>
      <c r="B166" s="873">
        <v>76184.899999999994</v>
      </c>
      <c r="C166" s="873" t="s">
        <v>1206</v>
      </c>
      <c r="D166" s="873">
        <f>+I166+I167</f>
        <v>1706</v>
      </c>
      <c r="E166" s="873">
        <f>+J166+J167</f>
        <v>75744.5</v>
      </c>
      <c r="F166" s="39" t="s">
        <v>1207</v>
      </c>
      <c r="G166" s="39">
        <v>90681</v>
      </c>
      <c r="H166" s="39"/>
      <c r="I166" s="39">
        <v>1000</v>
      </c>
      <c r="J166" s="41">
        <v>44732.5</v>
      </c>
      <c r="K166" s="877">
        <f>+A166-D166</f>
        <v>0</v>
      </c>
      <c r="L166" s="879">
        <f t="shared" si="55"/>
        <v>5.7806730730104554E-3</v>
      </c>
    </row>
    <row r="167" spans="1:12" ht="15" thickBot="1" x14ac:dyDescent="0.35">
      <c r="A167" s="872"/>
      <c r="B167" s="874"/>
      <c r="C167" s="874"/>
      <c r="D167" s="874"/>
      <c r="E167" s="874"/>
      <c r="F167" s="42" t="s">
        <v>1207</v>
      </c>
      <c r="G167" s="42">
        <v>90681</v>
      </c>
      <c r="H167" s="42"/>
      <c r="I167" s="42">
        <v>706</v>
      </c>
      <c r="J167" s="44">
        <v>31012</v>
      </c>
      <c r="K167" s="878"/>
      <c r="L167" s="880"/>
    </row>
    <row r="168" spans="1:12" ht="15" thickBot="1" x14ac:dyDescent="0.35">
      <c r="A168" s="178">
        <v>179</v>
      </c>
      <c r="B168" s="45">
        <v>7738</v>
      </c>
      <c r="C168" s="45" t="s">
        <v>1208</v>
      </c>
      <c r="D168" s="45">
        <f>+I168</f>
        <v>179</v>
      </c>
      <c r="E168" s="45">
        <f>+J168</f>
        <v>7616.8</v>
      </c>
      <c r="F168" s="45" t="s">
        <v>1209</v>
      </c>
      <c r="G168" s="45">
        <v>90721</v>
      </c>
      <c r="H168" s="45"/>
      <c r="I168" s="45">
        <v>179</v>
      </c>
      <c r="J168" s="46">
        <v>7616.8</v>
      </c>
      <c r="K168" s="54">
        <f>+A168-D168</f>
        <v>0</v>
      </c>
      <c r="L168" s="33">
        <f t="shared" si="55"/>
        <v>1.5662962005686201E-2</v>
      </c>
    </row>
    <row r="169" spans="1:12" x14ac:dyDescent="0.3">
      <c r="A169" s="871">
        <v>1554</v>
      </c>
      <c r="B169" s="873">
        <v>72843</v>
      </c>
      <c r="C169" s="873" t="s">
        <v>1210</v>
      </c>
      <c r="D169" s="873">
        <f>+I169+I170</f>
        <v>1555</v>
      </c>
      <c r="E169" s="873">
        <f>+J169+J170</f>
        <v>72337.3</v>
      </c>
      <c r="F169" s="39" t="s">
        <v>1211</v>
      </c>
      <c r="G169" s="39">
        <v>90731</v>
      </c>
      <c r="H169" s="39"/>
      <c r="I169" s="39">
        <v>871</v>
      </c>
      <c r="J169" s="41">
        <v>40872</v>
      </c>
      <c r="K169" s="877">
        <f>+A169-D169</f>
        <v>-1</v>
      </c>
      <c r="L169" s="879">
        <f>((+B169/A169)-(E169/D169))/(B169/A169)</f>
        <v>7.5809503176302263E-3</v>
      </c>
    </row>
    <row r="170" spans="1:12" ht="15" thickBot="1" x14ac:dyDescent="0.35">
      <c r="A170" s="872"/>
      <c r="B170" s="874"/>
      <c r="C170" s="874"/>
      <c r="D170" s="874"/>
      <c r="E170" s="874"/>
      <c r="F170" s="42" t="s">
        <v>1211</v>
      </c>
      <c r="G170" s="42">
        <v>90731</v>
      </c>
      <c r="H170" s="42"/>
      <c r="I170" s="42">
        <v>684</v>
      </c>
      <c r="J170" s="44">
        <v>31465.3</v>
      </c>
      <c r="K170" s="878"/>
      <c r="L170" s="880"/>
    </row>
    <row r="171" spans="1:12" ht="15" thickBot="1" x14ac:dyDescent="0.35">
      <c r="A171" s="178">
        <v>278</v>
      </c>
      <c r="B171" s="45">
        <v>12092.25</v>
      </c>
      <c r="C171" s="45" t="s">
        <v>1245</v>
      </c>
      <c r="D171" s="45">
        <f>+I171</f>
        <v>278</v>
      </c>
      <c r="E171" s="45">
        <f>+J171</f>
        <v>12059.5</v>
      </c>
      <c r="F171" s="45" t="s">
        <v>1246</v>
      </c>
      <c r="G171" s="45">
        <v>90741</v>
      </c>
      <c r="H171" s="45"/>
      <c r="I171" s="45">
        <v>278</v>
      </c>
      <c r="J171" s="46">
        <v>12059.5</v>
      </c>
      <c r="K171" s="54">
        <f>+A171-D171</f>
        <v>0</v>
      </c>
      <c r="L171" s="33">
        <f t="shared" ref="L171:L172" si="56">+(B171-E171)/B171</f>
        <v>2.7083462548326406E-3</v>
      </c>
    </row>
    <row r="172" spans="1:12" x14ac:dyDescent="0.3">
      <c r="A172" s="871">
        <v>2280</v>
      </c>
      <c r="B172" s="873">
        <v>102663.5</v>
      </c>
      <c r="C172" s="873" t="s">
        <v>1247</v>
      </c>
      <c r="D172" s="873">
        <f>+I172+I173</f>
        <v>2280</v>
      </c>
      <c r="E172" s="873">
        <f>+J172+J173</f>
        <v>101657.4</v>
      </c>
      <c r="F172" s="39" t="s">
        <v>1248</v>
      </c>
      <c r="G172" s="39">
        <v>90781</v>
      </c>
      <c r="H172" s="39"/>
      <c r="I172" s="39">
        <v>1530</v>
      </c>
      <c r="J172" s="41">
        <v>67580.899999999994</v>
      </c>
      <c r="K172" s="877">
        <f>+A172-D172</f>
        <v>0</v>
      </c>
      <c r="L172" s="879">
        <f t="shared" si="56"/>
        <v>9.7999775967116433E-3</v>
      </c>
    </row>
    <row r="173" spans="1:12" ht="15" thickBot="1" x14ac:dyDescent="0.35">
      <c r="A173" s="872"/>
      <c r="B173" s="874"/>
      <c r="C173" s="874"/>
      <c r="D173" s="874"/>
      <c r="E173" s="874"/>
      <c r="F173" s="42" t="s">
        <v>1248</v>
      </c>
      <c r="G173" s="42">
        <v>90781</v>
      </c>
      <c r="H173" s="42"/>
      <c r="I173" s="42">
        <v>750</v>
      </c>
      <c r="J173" s="44">
        <v>34076.5</v>
      </c>
      <c r="K173" s="878"/>
      <c r="L173" s="880"/>
    </row>
    <row r="174" spans="1:12" ht="15" thickBot="1" x14ac:dyDescent="0.35">
      <c r="A174" s="228">
        <v>637</v>
      </c>
      <c r="B174" s="8">
        <v>29588.5</v>
      </c>
      <c r="C174" s="45" t="s">
        <v>1277</v>
      </c>
      <c r="D174" s="45">
        <f t="shared" ref="D174:E175" si="57">+I174</f>
        <v>637</v>
      </c>
      <c r="E174" s="45">
        <f t="shared" si="57"/>
        <v>29314.700000000004</v>
      </c>
      <c r="F174" s="45" t="s">
        <v>1278</v>
      </c>
      <c r="G174" s="45">
        <v>90831</v>
      </c>
      <c r="H174" s="45"/>
      <c r="I174" s="45">
        <v>637</v>
      </c>
      <c r="J174" s="46">
        <v>29314.700000000004</v>
      </c>
      <c r="K174" s="54">
        <f>+A174-D174</f>
        <v>0</v>
      </c>
      <c r="L174" s="33">
        <f t="shared" ref="L174:L175" si="58">+(B174-E174)/B174</f>
        <v>9.2535951467629524E-3</v>
      </c>
    </row>
    <row r="175" spans="1:12" ht="15" thickBot="1" x14ac:dyDescent="0.35">
      <c r="A175" s="229">
        <v>600</v>
      </c>
      <c r="B175" s="12">
        <v>27173.25</v>
      </c>
      <c r="C175" s="39" t="s">
        <v>1279</v>
      </c>
      <c r="D175" s="12">
        <f t="shared" si="57"/>
        <v>600</v>
      </c>
      <c r="E175" s="12">
        <f t="shared" si="57"/>
        <v>26576.6</v>
      </c>
      <c r="F175" s="39" t="s">
        <v>1280</v>
      </c>
      <c r="G175" s="39">
        <v>90841</v>
      </c>
      <c r="H175" s="39"/>
      <c r="I175" s="39">
        <v>600</v>
      </c>
      <c r="J175" s="41">
        <v>26576.6</v>
      </c>
      <c r="K175" s="54">
        <f>+A175-D175</f>
        <v>0</v>
      </c>
      <c r="L175" s="33">
        <f t="shared" si="58"/>
        <v>2.1957255757040526E-2</v>
      </c>
    </row>
    <row r="176" spans="1:12" x14ac:dyDescent="0.3">
      <c r="A176" s="924">
        <v>882</v>
      </c>
      <c r="B176" s="873">
        <v>40591</v>
      </c>
      <c r="C176" s="873" t="s">
        <v>1281</v>
      </c>
      <c r="D176" s="873">
        <f>+I176+I177</f>
        <v>881</v>
      </c>
      <c r="E176" s="873">
        <f>+J176+J177</f>
        <v>39470.1</v>
      </c>
      <c r="F176" s="39" t="s">
        <v>1282</v>
      </c>
      <c r="G176" s="39">
        <v>90851</v>
      </c>
      <c r="H176" s="39"/>
      <c r="I176" s="39">
        <v>299</v>
      </c>
      <c r="J176" s="41">
        <v>13423.1</v>
      </c>
      <c r="K176" s="877">
        <f>+A176-D176</f>
        <v>1</v>
      </c>
      <c r="L176" s="879">
        <f>((+B176/A176)-(E176/D176))/(B176/A176)</f>
        <v>2.6510766534554128E-2</v>
      </c>
    </row>
    <row r="177" spans="1:12" ht="15" thickBot="1" x14ac:dyDescent="0.35">
      <c r="A177" s="925"/>
      <c r="B177" s="874"/>
      <c r="C177" s="874"/>
      <c r="D177" s="874"/>
      <c r="E177" s="874"/>
      <c r="F177" s="42" t="s">
        <v>1282</v>
      </c>
      <c r="G177" s="42">
        <v>90851</v>
      </c>
      <c r="H177" s="42"/>
      <c r="I177" s="42">
        <v>582</v>
      </c>
      <c r="J177" s="44">
        <v>26047</v>
      </c>
      <c r="K177" s="878"/>
      <c r="L177" s="880"/>
    </row>
    <row r="178" spans="1:12" ht="15" thickBot="1" x14ac:dyDescent="0.35">
      <c r="A178" s="230">
        <v>395</v>
      </c>
      <c r="B178" s="15">
        <v>19638.75</v>
      </c>
      <c r="C178" s="50" t="s">
        <v>1283</v>
      </c>
      <c r="D178" s="15">
        <v>394</v>
      </c>
      <c r="E178" s="15">
        <v>18569.099999999999</v>
      </c>
      <c r="F178" s="50" t="s">
        <v>1284</v>
      </c>
      <c r="G178" s="50">
        <v>90911</v>
      </c>
      <c r="H178" s="50"/>
      <c r="I178" s="50">
        <v>295</v>
      </c>
      <c r="J178" s="51">
        <v>13975.3</v>
      </c>
      <c r="K178" s="54">
        <f>+A178-D178</f>
        <v>1</v>
      </c>
      <c r="L178" s="173">
        <f>((+B178/A178)-(E178/D178))/(B178/A178)</f>
        <v>5.2066465766330797E-2</v>
      </c>
    </row>
    <row r="179" spans="1:12" x14ac:dyDescent="0.3">
      <c r="A179" s="924">
        <v>581</v>
      </c>
      <c r="B179" s="873">
        <v>26311.75</v>
      </c>
      <c r="C179" s="873" t="s">
        <v>1285</v>
      </c>
      <c r="D179" s="873">
        <f>+I179+I180</f>
        <v>581</v>
      </c>
      <c r="E179" s="873">
        <f>+J179+J180</f>
        <v>25361</v>
      </c>
      <c r="F179" s="39" t="s">
        <v>1286</v>
      </c>
      <c r="G179" s="39">
        <v>90921</v>
      </c>
      <c r="H179" s="39"/>
      <c r="I179" s="39">
        <v>420</v>
      </c>
      <c r="J179" s="41">
        <v>18233.7</v>
      </c>
      <c r="K179" s="877">
        <f>+A179-D179</f>
        <v>0</v>
      </c>
      <c r="L179" s="879">
        <f t="shared" ref="L179" si="59">+(B179-E179)/B179</f>
        <v>3.6134046576149437E-2</v>
      </c>
    </row>
    <row r="180" spans="1:12" ht="15" thickBot="1" x14ac:dyDescent="0.35">
      <c r="A180" s="925"/>
      <c r="B180" s="874"/>
      <c r="C180" s="874"/>
      <c r="D180" s="874"/>
      <c r="E180" s="874"/>
      <c r="F180" s="42" t="s">
        <v>1286</v>
      </c>
      <c r="G180" s="42">
        <v>90921</v>
      </c>
      <c r="H180" s="42"/>
      <c r="I180" s="42">
        <v>161</v>
      </c>
      <c r="J180" s="44">
        <v>7127.3</v>
      </c>
      <c r="K180" s="878"/>
      <c r="L180" s="880"/>
    </row>
    <row r="181" spans="1:12" ht="15" thickBot="1" x14ac:dyDescent="0.35">
      <c r="A181" s="231">
        <v>200</v>
      </c>
      <c r="B181" s="10">
        <v>7998.75</v>
      </c>
      <c r="C181" s="42" t="s">
        <v>1287</v>
      </c>
      <c r="D181" s="10">
        <f t="shared" ref="D181:E182" si="60">+I181</f>
        <v>200</v>
      </c>
      <c r="E181" s="10">
        <f t="shared" si="60"/>
        <v>8085</v>
      </c>
      <c r="F181" s="42" t="s">
        <v>1288</v>
      </c>
      <c r="G181" s="42">
        <v>90961</v>
      </c>
      <c r="H181" s="42"/>
      <c r="I181" s="42">
        <v>200</v>
      </c>
      <c r="J181" s="44">
        <v>8085</v>
      </c>
      <c r="K181" s="54">
        <f>+A181-D181</f>
        <v>0</v>
      </c>
      <c r="L181" s="33">
        <f t="shared" ref="L181:L182" si="61">+(B181-E181)/B181</f>
        <v>-1.0782934833567745E-2</v>
      </c>
    </row>
    <row r="182" spans="1:12" ht="15" thickBot="1" x14ac:dyDescent="0.35">
      <c r="A182" s="228">
        <v>417</v>
      </c>
      <c r="B182" s="8">
        <v>19349.5</v>
      </c>
      <c r="C182" s="45" t="s">
        <v>1289</v>
      </c>
      <c r="D182" s="8">
        <f t="shared" si="60"/>
        <v>417</v>
      </c>
      <c r="E182" s="8">
        <f t="shared" si="60"/>
        <v>19059</v>
      </c>
      <c r="F182" s="45" t="s">
        <v>1290</v>
      </c>
      <c r="G182" s="45">
        <v>90971</v>
      </c>
      <c r="H182" s="45"/>
      <c r="I182" s="45">
        <v>417</v>
      </c>
      <c r="J182" s="46">
        <v>19059</v>
      </c>
      <c r="K182" s="54">
        <f>+A182-D182</f>
        <v>0</v>
      </c>
      <c r="L182" s="33">
        <f t="shared" si="61"/>
        <v>1.5013307837411819E-2</v>
      </c>
    </row>
    <row r="183" spans="1:12" ht="15" thickBot="1" x14ac:dyDescent="0.35">
      <c r="A183" s="228">
        <f>1676-99</f>
        <v>1577</v>
      </c>
      <c r="B183" s="8">
        <f>73385.25-4697.5</f>
        <v>68687.75</v>
      </c>
      <c r="C183" s="45" t="s">
        <v>1389</v>
      </c>
      <c r="D183" s="8">
        <v>1578</v>
      </c>
      <c r="E183" s="8">
        <v>71267.100000000006</v>
      </c>
      <c r="F183" s="45" t="s">
        <v>1390</v>
      </c>
      <c r="G183" s="45">
        <v>91011</v>
      </c>
      <c r="H183" s="45"/>
      <c r="I183" s="45">
        <v>243</v>
      </c>
      <c r="J183" s="46">
        <v>10864</v>
      </c>
      <c r="K183" s="54">
        <f>+A183-D183</f>
        <v>-1</v>
      </c>
      <c r="L183" s="53">
        <f>((+B183/A183)-(E183/D183))/(B183/A183)</f>
        <v>-3.6894308988769407E-2</v>
      </c>
    </row>
    <row r="184" spans="1:12" x14ac:dyDescent="0.3">
      <c r="A184" s="924">
        <v>1728</v>
      </c>
      <c r="B184" s="873">
        <v>81205.5</v>
      </c>
      <c r="C184" s="873" t="s">
        <v>1405</v>
      </c>
      <c r="D184" s="873">
        <f>+I184+I185</f>
        <v>1728</v>
      </c>
      <c r="E184" s="873">
        <f>+J184+J185</f>
        <v>79076.799999999988</v>
      </c>
      <c r="F184" s="39" t="s">
        <v>1406</v>
      </c>
      <c r="G184" s="39">
        <v>91081</v>
      </c>
      <c r="H184" s="39"/>
      <c r="I184" s="39">
        <v>840</v>
      </c>
      <c r="J184" s="41">
        <v>38274.1</v>
      </c>
      <c r="K184" s="877">
        <f>+A184-D184</f>
        <v>0</v>
      </c>
      <c r="L184" s="879">
        <f t="shared" ref="L184" si="62">+(B184-E184)/B184</f>
        <v>2.6213741680058762E-2</v>
      </c>
    </row>
    <row r="185" spans="1:12" ht="15" thickBot="1" x14ac:dyDescent="0.35">
      <c r="A185" s="925"/>
      <c r="B185" s="874"/>
      <c r="C185" s="874"/>
      <c r="D185" s="874"/>
      <c r="E185" s="874"/>
      <c r="F185" s="42" t="s">
        <v>1406</v>
      </c>
      <c r="G185" s="42">
        <v>91081</v>
      </c>
      <c r="H185" s="42"/>
      <c r="I185" s="42">
        <v>888</v>
      </c>
      <c r="J185" s="44">
        <v>40802.699999999997</v>
      </c>
      <c r="K185" s="878"/>
      <c r="L185" s="880"/>
    </row>
    <row r="186" spans="1:12" x14ac:dyDescent="0.3">
      <c r="A186" s="924">
        <v>1512</v>
      </c>
      <c r="B186" s="873">
        <v>71323</v>
      </c>
      <c r="C186" s="873" t="s">
        <v>1407</v>
      </c>
      <c r="D186" s="873">
        <f>+I186+I187</f>
        <v>1512</v>
      </c>
      <c r="E186" s="873">
        <f>+J186+J187</f>
        <v>69874.8</v>
      </c>
      <c r="F186" s="39" t="s">
        <v>1408</v>
      </c>
      <c r="G186" s="39">
        <v>91091</v>
      </c>
      <c r="H186" s="39"/>
      <c r="I186" s="39">
        <v>310</v>
      </c>
      <c r="J186" s="41">
        <v>14561.7</v>
      </c>
      <c r="K186" s="877">
        <f>+A186-D186</f>
        <v>0</v>
      </c>
      <c r="L186" s="879">
        <f t="shared" ref="L186" si="63">+(B186-E186)/B186</f>
        <v>2.030481050993364E-2</v>
      </c>
    </row>
    <row r="187" spans="1:12" ht="15" thickBot="1" x14ac:dyDescent="0.35">
      <c r="A187" s="925"/>
      <c r="B187" s="874"/>
      <c r="C187" s="874"/>
      <c r="D187" s="874"/>
      <c r="E187" s="874"/>
      <c r="F187" s="42" t="s">
        <v>1408</v>
      </c>
      <c r="G187" s="42">
        <v>91091</v>
      </c>
      <c r="H187" s="42"/>
      <c r="I187" s="42">
        <v>1202</v>
      </c>
      <c r="J187" s="44">
        <v>55313.1</v>
      </c>
      <c r="K187" s="878"/>
      <c r="L187" s="880"/>
    </row>
    <row r="188" spans="1:12" x14ac:dyDescent="0.3">
      <c r="A188" s="924">
        <v>1510</v>
      </c>
      <c r="B188" s="873">
        <v>84400.5</v>
      </c>
      <c r="C188" s="873" t="s">
        <v>1417</v>
      </c>
      <c r="D188" s="873">
        <f>+I188+I189</f>
        <v>1510</v>
      </c>
      <c r="E188" s="873">
        <f>+J188+J189</f>
        <v>80395.600000000006</v>
      </c>
      <c r="F188" s="39" t="s">
        <v>1418</v>
      </c>
      <c r="G188" s="39">
        <v>91161</v>
      </c>
      <c r="H188" s="39"/>
      <c r="I188" s="39">
        <v>1000</v>
      </c>
      <c r="J188" s="41">
        <v>52470.1</v>
      </c>
      <c r="K188" s="877">
        <f>+A188-D188</f>
        <v>0</v>
      </c>
      <c r="L188" s="879">
        <f t="shared" ref="L188" si="64">+(B188-E188)/B188</f>
        <v>4.7451140692294405E-2</v>
      </c>
    </row>
    <row r="189" spans="1:12" ht="15" thickBot="1" x14ac:dyDescent="0.35">
      <c r="A189" s="925"/>
      <c r="B189" s="874"/>
      <c r="C189" s="874"/>
      <c r="D189" s="874"/>
      <c r="E189" s="874"/>
      <c r="F189" s="50" t="s">
        <v>1418</v>
      </c>
      <c r="G189" s="50">
        <v>91161</v>
      </c>
      <c r="H189" s="50"/>
      <c r="I189" s="50">
        <v>510</v>
      </c>
      <c r="J189" s="51">
        <v>27925.5</v>
      </c>
      <c r="K189" s="878"/>
      <c r="L189" s="880"/>
    </row>
    <row r="190" spans="1:12" x14ac:dyDescent="0.3">
      <c r="A190" s="924">
        <v>2187</v>
      </c>
      <c r="B190" s="873">
        <v>117398.25</v>
      </c>
      <c r="C190" s="873" t="s">
        <v>1419</v>
      </c>
      <c r="D190" s="873">
        <f>+I190+I192+I191</f>
        <v>2187</v>
      </c>
      <c r="E190" s="873">
        <f>+J190+J192+J191</f>
        <v>112660.09999999999</v>
      </c>
      <c r="F190" s="39" t="s">
        <v>1420</v>
      </c>
      <c r="G190" s="39">
        <v>91231</v>
      </c>
      <c r="H190" s="39"/>
      <c r="I190" s="39">
        <v>1137</v>
      </c>
      <c r="J190" s="41">
        <v>58052.2</v>
      </c>
      <c r="K190" s="877">
        <f>+A190-D190</f>
        <v>0</v>
      </c>
      <c r="L190" s="879">
        <f t="shared" ref="L190" si="65">+(B190-E190)/B190</f>
        <v>4.035963057370965E-2</v>
      </c>
    </row>
    <row r="191" spans="1:12" x14ac:dyDescent="0.3">
      <c r="A191" s="926"/>
      <c r="B191" s="881"/>
      <c r="C191" s="881"/>
      <c r="D191" s="881"/>
      <c r="E191" s="881"/>
      <c r="F191" s="50" t="s">
        <v>1420</v>
      </c>
      <c r="G191" s="50">
        <v>91231</v>
      </c>
      <c r="H191" s="50"/>
      <c r="I191" s="50">
        <v>470</v>
      </c>
      <c r="J191" s="51">
        <v>24767.8</v>
      </c>
      <c r="K191" s="886"/>
      <c r="L191" s="885"/>
    </row>
    <row r="192" spans="1:12" ht="15" thickBot="1" x14ac:dyDescent="0.35">
      <c r="A192" s="925"/>
      <c r="B192" s="874"/>
      <c r="C192" s="874"/>
      <c r="D192" s="874"/>
      <c r="E192" s="874"/>
      <c r="F192" s="42" t="s">
        <v>1420</v>
      </c>
      <c r="G192" s="42">
        <v>91231</v>
      </c>
      <c r="H192" s="42"/>
      <c r="I192" s="42">
        <v>580</v>
      </c>
      <c r="J192" s="44">
        <v>29840.1</v>
      </c>
      <c r="K192" s="878"/>
      <c r="L192" s="880"/>
    </row>
    <row r="193" spans="1:12" ht="15" thickBot="1" x14ac:dyDescent="0.35">
      <c r="A193" s="228">
        <v>553</v>
      </c>
      <c r="B193" s="8">
        <v>24513</v>
      </c>
      <c r="C193" s="8" t="s">
        <v>1421</v>
      </c>
      <c r="D193" s="8">
        <f>+I193</f>
        <v>553</v>
      </c>
      <c r="E193" s="8">
        <f>+J193</f>
        <v>24477</v>
      </c>
      <c r="F193" s="45" t="s">
        <v>1422</v>
      </c>
      <c r="G193" s="45">
        <v>91281</v>
      </c>
      <c r="H193" s="45"/>
      <c r="I193" s="45">
        <v>553</v>
      </c>
      <c r="J193" s="46">
        <v>24477</v>
      </c>
      <c r="K193" s="54">
        <f>+A193-D193</f>
        <v>0</v>
      </c>
      <c r="L193" s="33">
        <f t="shared" ref="L193:L197" si="66">+(B193-E193)/B193</f>
        <v>1.4686084934524537E-3</v>
      </c>
    </row>
    <row r="194" spans="1:12" x14ac:dyDescent="0.3">
      <c r="A194" s="873">
        <v>675</v>
      </c>
      <c r="B194" s="873">
        <v>31085</v>
      </c>
      <c r="C194" s="873" t="s">
        <v>1472</v>
      </c>
      <c r="D194" s="873">
        <f>+I194+I195</f>
        <v>675</v>
      </c>
      <c r="E194" s="873">
        <f>+J194+J195</f>
        <v>30294.699999999997</v>
      </c>
      <c r="F194" s="39" t="s">
        <v>1473</v>
      </c>
      <c r="G194" s="39">
        <v>91291</v>
      </c>
      <c r="H194" s="39"/>
      <c r="I194" s="39">
        <v>593</v>
      </c>
      <c r="J194" s="41">
        <v>26581.399999999998</v>
      </c>
      <c r="K194" s="882">
        <f>+A194-D194</f>
        <v>0</v>
      </c>
      <c r="L194" s="879">
        <f t="shared" si="66"/>
        <v>2.5423837863921599E-2</v>
      </c>
    </row>
    <row r="195" spans="1:12" ht="15" thickBot="1" x14ac:dyDescent="0.35">
      <c r="A195" s="874"/>
      <c r="B195" s="874"/>
      <c r="C195" s="874"/>
      <c r="D195" s="874"/>
      <c r="E195" s="874"/>
      <c r="F195" s="42" t="s">
        <v>1473</v>
      </c>
      <c r="G195" s="42">
        <v>91291</v>
      </c>
      <c r="H195" s="42"/>
      <c r="I195" s="42">
        <v>82</v>
      </c>
      <c r="J195" s="44">
        <v>3713.3</v>
      </c>
      <c r="K195" s="884"/>
      <c r="L195" s="880"/>
    </row>
    <row r="196" spans="1:12" ht="15" thickBot="1" x14ac:dyDescent="0.35">
      <c r="A196" s="229">
        <v>716</v>
      </c>
      <c r="B196" s="12">
        <v>32062</v>
      </c>
      <c r="C196" s="12" t="s">
        <v>1474</v>
      </c>
      <c r="D196" s="12">
        <f>+I196</f>
        <v>716</v>
      </c>
      <c r="E196" s="12">
        <f>+J196</f>
        <v>31689.1</v>
      </c>
      <c r="F196" s="39" t="s">
        <v>1475</v>
      </c>
      <c r="G196" s="39">
        <v>91301</v>
      </c>
      <c r="H196" s="39"/>
      <c r="I196" s="39">
        <v>716</v>
      </c>
      <c r="J196" s="41">
        <v>31689.1</v>
      </c>
      <c r="K196" s="54">
        <f>+A196-D196</f>
        <v>0</v>
      </c>
      <c r="L196" s="33">
        <f t="shared" si="66"/>
        <v>1.1630590730459779E-2</v>
      </c>
    </row>
    <row r="197" spans="1:12" x14ac:dyDescent="0.3">
      <c r="A197" s="924">
        <v>2080</v>
      </c>
      <c r="B197" s="873">
        <v>95240.5</v>
      </c>
      <c r="C197" s="873" t="s">
        <v>1476</v>
      </c>
      <c r="D197" s="873">
        <f>+I197+I198+I199</f>
        <v>2080</v>
      </c>
      <c r="E197" s="873">
        <f>+J197+J198+J199</f>
        <v>93032.900000000009</v>
      </c>
      <c r="F197" s="39" t="s">
        <v>1477</v>
      </c>
      <c r="G197" s="39">
        <v>91361</v>
      </c>
      <c r="H197" s="39"/>
      <c r="I197" s="39">
        <v>800</v>
      </c>
      <c r="J197" s="41">
        <v>35933.300000000003</v>
      </c>
      <c r="K197" s="882">
        <f>+A197-D197</f>
        <v>0</v>
      </c>
      <c r="L197" s="879">
        <f t="shared" si="66"/>
        <v>2.3179214724828107E-2</v>
      </c>
    </row>
    <row r="198" spans="1:12" x14ac:dyDescent="0.3">
      <c r="A198" s="926"/>
      <c r="B198" s="881"/>
      <c r="C198" s="881"/>
      <c r="D198" s="881"/>
      <c r="E198" s="881"/>
      <c r="F198" s="50" t="s">
        <v>1477</v>
      </c>
      <c r="G198" s="50">
        <v>91361</v>
      </c>
      <c r="H198" s="50"/>
      <c r="I198" s="50">
        <v>1050</v>
      </c>
      <c r="J198" s="51">
        <v>46995.4</v>
      </c>
      <c r="K198" s="883"/>
      <c r="L198" s="885"/>
    </row>
    <row r="199" spans="1:12" ht="15" thickBot="1" x14ac:dyDescent="0.35">
      <c r="A199" s="925"/>
      <c r="B199" s="874"/>
      <c r="C199" s="874"/>
      <c r="D199" s="874"/>
      <c r="E199" s="874"/>
      <c r="F199" s="42" t="s">
        <v>1477</v>
      </c>
      <c r="G199" s="42">
        <v>91361</v>
      </c>
      <c r="H199" s="42"/>
      <c r="I199" s="42">
        <v>230</v>
      </c>
      <c r="J199" s="44">
        <v>10104.199999999999</v>
      </c>
      <c r="K199" s="884"/>
      <c r="L199" s="880"/>
    </row>
    <row r="200" spans="1:12" ht="15" thickBot="1" x14ac:dyDescent="0.35">
      <c r="A200" s="229">
        <f>+D200</f>
        <v>1389</v>
      </c>
      <c r="B200" s="12">
        <v>53539.25</v>
      </c>
      <c r="C200" s="12" t="s">
        <v>1478</v>
      </c>
      <c r="D200" s="12">
        <f t="shared" ref="D200:E202" si="67">+I200</f>
        <v>1389</v>
      </c>
      <c r="E200" s="12">
        <f t="shared" si="67"/>
        <v>54202.100000000006</v>
      </c>
      <c r="F200" s="39" t="s">
        <v>1479</v>
      </c>
      <c r="G200" s="39">
        <v>91421</v>
      </c>
      <c r="H200" s="39"/>
      <c r="I200" s="39">
        <v>1389</v>
      </c>
      <c r="J200" s="41">
        <v>54202.100000000006</v>
      </c>
      <c r="K200" s="54">
        <f>+A200-D200</f>
        <v>0</v>
      </c>
      <c r="L200" s="33">
        <f t="shared" ref="L200:L205" si="68">+(B200-E200)/B200</f>
        <v>-1.2380636635739309E-2</v>
      </c>
    </row>
    <row r="201" spans="1:12" ht="15" thickBot="1" x14ac:dyDescent="0.35">
      <c r="A201" s="175">
        <v>844</v>
      </c>
      <c r="B201" s="8">
        <v>37941.25</v>
      </c>
      <c r="C201" s="8" t="s">
        <v>1480</v>
      </c>
      <c r="D201" s="8">
        <f t="shared" si="67"/>
        <v>844</v>
      </c>
      <c r="E201" s="8">
        <f t="shared" si="67"/>
        <v>37142.800000000003</v>
      </c>
      <c r="F201" s="8" t="s">
        <v>1481</v>
      </c>
      <c r="G201" s="8">
        <v>915111</v>
      </c>
      <c r="H201" s="45"/>
      <c r="I201" s="45">
        <v>844</v>
      </c>
      <c r="J201" s="46">
        <v>37142.800000000003</v>
      </c>
      <c r="K201" s="54">
        <f>+A201-D201</f>
        <v>0</v>
      </c>
      <c r="L201" s="33">
        <f t="shared" si="68"/>
        <v>2.104437782097314E-2</v>
      </c>
    </row>
    <row r="202" spans="1:12" ht="15" thickBot="1" x14ac:dyDescent="0.35">
      <c r="A202" s="175">
        <v>356</v>
      </c>
      <c r="B202" s="8">
        <v>16333.75</v>
      </c>
      <c r="C202" s="8" t="s">
        <v>1482</v>
      </c>
      <c r="D202" s="8">
        <f t="shared" si="67"/>
        <v>356</v>
      </c>
      <c r="E202" s="8">
        <f t="shared" si="67"/>
        <v>15876.800000000001</v>
      </c>
      <c r="F202" s="8" t="s">
        <v>1483</v>
      </c>
      <c r="G202" s="8">
        <v>91581</v>
      </c>
      <c r="H202" s="45"/>
      <c r="I202" s="45">
        <v>356</v>
      </c>
      <c r="J202" s="46">
        <v>15876.800000000001</v>
      </c>
      <c r="K202" s="54">
        <f>+A202-D202</f>
        <v>0</v>
      </c>
      <c r="L202" s="33">
        <f t="shared" si="68"/>
        <v>2.7975816943445253E-2</v>
      </c>
    </row>
    <row r="203" spans="1:12" x14ac:dyDescent="0.3">
      <c r="A203" s="871">
        <v>516</v>
      </c>
      <c r="B203" s="873">
        <v>22842.75</v>
      </c>
      <c r="C203" s="873" t="s">
        <v>1484</v>
      </c>
      <c r="D203" s="873">
        <f>+I203+I204</f>
        <v>516</v>
      </c>
      <c r="E203" s="873">
        <f>+J203+J204</f>
        <v>22248.2</v>
      </c>
      <c r="F203" s="39" t="s">
        <v>1485</v>
      </c>
      <c r="G203" s="39">
        <v>91591</v>
      </c>
      <c r="H203" s="39"/>
      <c r="I203" s="39">
        <v>250</v>
      </c>
      <c r="J203" s="41">
        <v>10806.7</v>
      </c>
      <c r="K203" s="882">
        <f>+A203-D203</f>
        <v>0</v>
      </c>
      <c r="L203" s="879">
        <f t="shared" si="68"/>
        <v>2.602795197600986E-2</v>
      </c>
    </row>
    <row r="204" spans="1:12" ht="15" thickBot="1" x14ac:dyDescent="0.35">
      <c r="A204" s="872"/>
      <c r="B204" s="881"/>
      <c r="C204" s="881"/>
      <c r="D204" s="881"/>
      <c r="E204" s="881"/>
      <c r="F204" s="50" t="s">
        <v>1485</v>
      </c>
      <c r="G204" s="50">
        <v>91591</v>
      </c>
      <c r="H204" s="50"/>
      <c r="I204" s="50">
        <v>266</v>
      </c>
      <c r="J204" s="51">
        <v>11441.5</v>
      </c>
      <c r="K204" s="884"/>
      <c r="L204" s="880"/>
    </row>
    <row r="205" spans="1:12" x14ac:dyDescent="0.3">
      <c r="A205" s="873">
        <v>1477</v>
      </c>
      <c r="B205" s="873">
        <v>66854.75</v>
      </c>
      <c r="C205" s="873" t="s">
        <v>1486</v>
      </c>
      <c r="D205" s="873">
        <v>1477</v>
      </c>
      <c r="E205" s="873">
        <v>64703.3</v>
      </c>
      <c r="F205" s="12" t="s">
        <v>1487</v>
      </c>
      <c r="G205" s="12">
        <v>91601</v>
      </c>
      <c r="H205" s="40"/>
      <c r="I205" s="39">
        <v>534</v>
      </c>
      <c r="J205" s="41">
        <v>23293.399999999998</v>
      </c>
      <c r="K205" s="882">
        <f>+A205-D205</f>
        <v>0</v>
      </c>
      <c r="L205" s="879">
        <f t="shared" si="68"/>
        <v>3.2180959468100574E-2</v>
      </c>
    </row>
    <row r="206" spans="1:12" ht="15" thickBot="1" x14ac:dyDescent="0.35">
      <c r="A206" s="874"/>
      <c r="B206" s="874"/>
      <c r="C206" s="874"/>
      <c r="D206" s="874"/>
      <c r="E206" s="874"/>
      <c r="F206" s="10" t="s">
        <v>1487</v>
      </c>
      <c r="G206" s="10">
        <v>91601</v>
      </c>
      <c r="H206" s="43"/>
      <c r="I206" s="42">
        <v>792</v>
      </c>
      <c r="J206" s="44">
        <v>34923</v>
      </c>
      <c r="K206" s="884"/>
      <c r="L206" s="880"/>
    </row>
    <row r="207" spans="1:12" ht="15" thickBot="1" x14ac:dyDescent="0.35">
      <c r="A207" s="175">
        <v>207</v>
      </c>
      <c r="B207" s="8">
        <v>11401.5</v>
      </c>
      <c r="C207" s="8" t="s">
        <v>1488</v>
      </c>
      <c r="D207" s="8">
        <f>+I207</f>
        <v>207</v>
      </c>
      <c r="E207" s="8">
        <f>+J207</f>
        <v>10887.5</v>
      </c>
      <c r="F207" s="8" t="s">
        <v>1489</v>
      </c>
      <c r="G207" s="8">
        <v>91651</v>
      </c>
      <c r="H207" s="14"/>
      <c r="I207" s="45">
        <v>207</v>
      </c>
      <c r="J207" s="46">
        <v>10887.5</v>
      </c>
      <c r="K207" s="54">
        <f>+A207-D207</f>
        <v>0</v>
      </c>
      <c r="L207" s="33">
        <f t="shared" ref="L207:L208" si="69">+(B207-E207)/B207</f>
        <v>4.5081787484102971E-2</v>
      </c>
    </row>
    <row r="208" spans="1:12" ht="15" thickBot="1" x14ac:dyDescent="0.35">
      <c r="A208" s="174">
        <v>581</v>
      </c>
      <c r="B208" s="12">
        <v>23086</v>
      </c>
      <c r="C208" s="12" t="s">
        <v>1584</v>
      </c>
      <c r="D208" s="12">
        <f t="shared" ref="D208:E208" si="70">+I208</f>
        <v>581</v>
      </c>
      <c r="E208" s="12">
        <f t="shared" si="70"/>
        <v>23885.8</v>
      </c>
      <c r="F208" s="12" t="s">
        <v>1585</v>
      </c>
      <c r="G208" s="12">
        <v>91741</v>
      </c>
      <c r="H208" s="40"/>
      <c r="I208" s="39">
        <v>581</v>
      </c>
      <c r="J208" s="41">
        <v>23885.8</v>
      </c>
      <c r="K208" s="54">
        <f>+A208-D208</f>
        <v>0</v>
      </c>
      <c r="L208" s="33">
        <f t="shared" si="69"/>
        <v>-3.4644373213202774E-2</v>
      </c>
    </row>
    <row r="209" spans="1:12" x14ac:dyDescent="0.3">
      <c r="A209" s="871">
        <v>2036</v>
      </c>
      <c r="B209" s="873">
        <v>93517.75</v>
      </c>
      <c r="C209" s="873" t="s">
        <v>1586</v>
      </c>
      <c r="D209" s="873">
        <f>+I209+I210</f>
        <v>2033</v>
      </c>
      <c r="E209" s="873">
        <f>+J209+J210</f>
        <v>89214.6</v>
      </c>
      <c r="F209" s="12" t="s">
        <v>1587</v>
      </c>
      <c r="G209" s="12">
        <v>91761</v>
      </c>
      <c r="H209" s="40"/>
      <c r="I209" s="39">
        <v>651</v>
      </c>
      <c r="J209" s="41">
        <v>28233.199999999997</v>
      </c>
      <c r="K209" s="882">
        <f>+A209-D209</f>
        <v>3</v>
      </c>
      <c r="L209" s="879">
        <f>((+B209/A209)-(E209/D209))/(B209/A209)</f>
        <v>4.4606508601036064E-2</v>
      </c>
    </row>
    <row r="210" spans="1:12" ht="15" thickBot="1" x14ac:dyDescent="0.35">
      <c r="A210" s="872"/>
      <c r="B210" s="874"/>
      <c r="C210" s="874"/>
      <c r="D210" s="874"/>
      <c r="E210" s="874"/>
      <c r="F210" s="10" t="s">
        <v>1587</v>
      </c>
      <c r="G210" s="10">
        <v>91761</v>
      </c>
      <c r="H210" s="43"/>
      <c r="I210" s="42">
        <v>1382</v>
      </c>
      <c r="J210" s="44">
        <v>60981.400000000009</v>
      </c>
      <c r="K210" s="884"/>
      <c r="L210" s="880"/>
    </row>
    <row r="211" spans="1:12" x14ac:dyDescent="0.3">
      <c r="A211" s="871">
        <v>2798</v>
      </c>
      <c r="B211" s="873">
        <v>121099.1</v>
      </c>
      <c r="C211" s="873" t="s">
        <v>1639</v>
      </c>
      <c r="D211" s="873">
        <f>+I211+I212+I213</f>
        <v>2798</v>
      </c>
      <c r="E211" s="873">
        <f>+J211+J212+J213</f>
        <v>116276.4</v>
      </c>
      <c r="F211" s="12" t="s">
        <v>1640</v>
      </c>
      <c r="G211" s="13">
        <v>91771</v>
      </c>
      <c r="I211" s="50">
        <v>1328</v>
      </c>
      <c r="J211" s="50">
        <v>54578.1</v>
      </c>
      <c r="K211" s="882">
        <f>+A211-D211</f>
        <v>0</v>
      </c>
      <c r="L211" s="879">
        <f t="shared" ref="L211" si="71">+(B211-E211)/B211</f>
        <v>3.9824408273884872E-2</v>
      </c>
    </row>
    <row r="212" spans="1:12" x14ac:dyDescent="0.3">
      <c r="A212" s="875"/>
      <c r="B212" s="881"/>
      <c r="C212" s="881"/>
      <c r="D212" s="881"/>
      <c r="E212" s="881"/>
      <c r="F212" s="15" t="s">
        <v>1640</v>
      </c>
      <c r="G212" s="16">
        <v>91772</v>
      </c>
      <c r="I212" s="50">
        <v>999</v>
      </c>
      <c r="J212" s="50">
        <v>41182.6</v>
      </c>
      <c r="K212" s="883"/>
      <c r="L212" s="885"/>
    </row>
    <row r="213" spans="1:12" ht="15" thickBot="1" x14ac:dyDescent="0.35">
      <c r="A213" s="872"/>
      <c r="B213" s="874"/>
      <c r="C213" s="874"/>
      <c r="D213" s="874"/>
      <c r="E213" s="874"/>
      <c r="F213" s="10" t="s">
        <v>1640</v>
      </c>
      <c r="G213" s="11">
        <v>91772</v>
      </c>
      <c r="I213" s="50">
        <v>471</v>
      </c>
      <c r="J213" s="50">
        <v>20515.7</v>
      </c>
      <c r="K213" s="884"/>
      <c r="L213" s="880"/>
    </row>
    <row r="214" spans="1:12" x14ac:dyDescent="0.3">
      <c r="A214" s="871">
        <f>+D214</f>
        <v>1104</v>
      </c>
      <c r="B214" s="873">
        <v>52897</v>
      </c>
      <c r="C214" s="873" t="s">
        <v>1649</v>
      </c>
      <c r="D214" s="873">
        <f>+I214+I215</f>
        <v>1104</v>
      </c>
      <c r="E214" s="873">
        <f>+J214+J215</f>
        <v>51804.9</v>
      </c>
      <c r="F214" s="12" t="s">
        <v>1650</v>
      </c>
      <c r="G214" s="12">
        <v>92011</v>
      </c>
      <c r="H214" s="40"/>
      <c r="I214" s="39">
        <v>729</v>
      </c>
      <c r="J214" s="41">
        <v>33892.9</v>
      </c>
      <c r="K214" s="882">
        <f>+A214-D214</f>
        <v>0</v>
      </c>
      <c r="L214" s="879">
        <f t="shared" ref="L214" si="72">+(B214-E214)/B214</f>
        <v>2.0645783314743718E-2</v>
      </c>
    </row>
    <row r="215" spans="1:12" ht="15" thickBot="1" x14ac:dyDescent="0.35">
      <c r="A215" s="872"/>
      <c r="B215" s="874"/>
      <c r="C215" s="874"/>
      <c r="D215" s="874"/>
      <c r="E215" s="874"/>
      <c r="F215" s="10" t="s">
        <v>1650</v>
      </c>
      <c r="G215" s="10">
        <v>92011</v>
      </c>
      <c r="H215" s="43"/>
      <c r="I215" s="42">
        <v>375</v>
      </c>
      <c r="J215" s="44">
        <v>17912</v>
      </c>
      <c r="K215" s="884"/>
      <c r="L215" s="880"/>
    </row>
    <row r="216" spans="1:12" ht="15" thickBot="1" x14ac:dyDescent="0.35">
      <c r="A216" s="175">
        <v>582</v>
      </c>
      <c r="B216" s="8">
        <v>21751.35</v>
      </c>
      <c r="C216" s="8" t="s">
        <v>1651</v>
      </c>
      <c r="D216" s="8">
        <f>+I216</f>
        <v>640</v>
      </c>
      <c r="E216" s="8">
        <f>+J216</f>
        <v>24098.9</v>
      </c>
      <c r="F216" s="8" t="s">
        <v>1652</v>
      </c>
      <c r="G216" s="8">
        <v>92021</v>
      </c>
      <c r="H216" s="14"/>
      <c r="I216" s="45">
        <v>640</v>
      </c>
      <c r="J216" s="46">
        <v>24098.9</v>
      </c>
      <c r="K216" s="54">
        <f>+A216-D216</f>
        <v>-58</v>
      </c>
      <c r="L216" s="53">
        <f>((+B216/A216)-(E216/D216))/(B216/A216)</f>
        <v>-7.5207831927674579E-3</v>
      </c>
    </row>
    <row r="217" spans="1:12" ht="15" thickBot="1" x14ac:dyDescent="0.35">
      <c r="A217" s="175">
        <v>424</v>
      </c>
      <c r="B217" s="8">
        <v>19582.75</v>
      </c>
      <c r="C217" s="8" t="s">
        <v>1653</v>
      </c>
      <c r="D217" s="8">
        <f>+I217</f>
        <v>424</v>
      </c>
      <c r="E217" s="8">
        <f>+J217</f>
        <v>18950.900000000001</v>
      </c>
      <c r="F217" s="8" t="s">
        <v>1654</v>
      </c>
      <c r="G217" s="8">
        <v>92031</v>
      </c>
      <c r="H217" s="14"/>
      <c r="I217" s="45">
        <v>424</v>
      </c>
      <c r="J217" s="46">
        <v>18950.900000000001</v>
      </c>
      <c r="K217" s="54">
        <f>+A217-D217</f>
        <v>0</v>
      </c>
      <c r="L217" s="33">
        <f t="shared" ref="L217" si="73">+(B217-E217)/B217</f>
        <v>3.2265641955292211E-2</v>
      </c>
    </row>
    <row r="218" spans="1:12" x14ac:dyDescent="0.3">
      <c r="A218" s="871">
        <v>643</v>
      </c>
      <c r="B218" s="873">
        <v>28823.05</v>
      </c>
      <c r="C218" s="873" t="s">
        <v>1655</v>
      </c>
      <c r="D218" s="873">
        <f>+I218+I219+I220</f>
        <v>643</v>
      </c>
      <c r="E218" s="873">
        <f>+J218+J219+J220</f>
        <v>28069.599999999999</v>
      </c>
      <c r="F218" s="12" t="s">
        <v>1656</v>
      </c>
      <c r="G218" s="12">
        <v>92041</v>
      </c>
      <c r="H218" s="40"/>
      <c r="I218" s="39">
        <v>352</v>
      </c>
      <c r="J218" s="41">
        <v>15318.3</v>
      </c>
      <c r="K218" s="882">
        <f>+A218-D218</f>
        <v>0</v>
      </c>
      <c r="L218" s="879">
        <f t="shared" ref="L218" si="74">+(B218-E218)/B218</f>
        <v>2.6140536827296234E-2</v>
      </c>
    </row>
    <row r="219" spans="1:12" x14ac:dyDescent="0.3">
      <c r="A219" s="875"/>
      <c r="B219" s="881"/>
      <c r="C219" s="881"/>
      <c r="D219" s="881"/>
      <c r="E219" s="881"/>
      <c r="F219" s="15" t="s">
        <v>1656</v>
      </c>
      <c r="G219" s="15">
        <v>92041</v>
      </c>
      <c r="I219" s="50">
        <v>200</v>
      </c>
      <c r="J219" s="51">
        <v>8815.4</v>
      </c>
      <c r="K219" s="883"/>
      <c r="L219" s="885"/>
    </row>
    <row r="220" spans="1:12" ht="15" thickBot="1" x14ac:dyDescent="0.35">
      <c r="A220" s="872"/>
      <c r="B220" s="874"/>
      <c r="C220" s="874"/>
      <c r="D220" s="874"/>
      <c r="E220" s="874"/>
      <c r="F220" s="10" t="s">
        <v>1656</v>
      </c>
      <c r="G220" s="10">
        <v>92041</v>
      </c>
      <c r="H220" s="43"/>
      <c r="I220" s="42">
        <v>91</v>
      </c>
      <c r="J220" s="44">
        <v>3935.9</v>
      </c>
      <c r="K220" s="884"/>
      <c r="L220" s="880"/>
    </row>
    <row r="221" spans="1:12" x14ac:dyDescent="0.3">
      <c r="A221" s="871">
        <v>618</v>
      </c>
      <c r="B221" s="873">
        <v>28942.7</v>
      </c>
      <c r="C221" s="873" t="s">
        <v>1657</v>
      </c>
      <c r="D221" s="873">
        <f>+I221+I222+I223</f>
        <v>618</v>
      </c>
      <c r="E221" s="873">
        <f>+J221+J222+J223</f>
        <v>27987.200000000001</v>
      </c>
      <c r="F221" s="12" t="s">
        <v>1658</v>
      </c>
      <c r="G221" s="12">
        <v>92091</v>
      </c>
      <c r="H221" s="40"/>
      <c r="I221" s="39">
        <v>158</v>
      </c>
      <c r="J221" s="41">
        <v>6941.9</v>
      </c>
      <c r="K221" s="882">
        <f>+A221-D221</f>
        <v>0</v>
      </c>
      <c r="L221" s="879">
        <f t="shared" ref="L221" si="75">+(B221-E221)/B221</f>
        <v>3.3013505996330683E-2</v>
      </c>
    </row>
    <row r="222" spans="1:12" x14ac:dyDescent="0.3">
      <c r="A222" s="875"/>
      <c r="B222" s="881"/>
      <c r="C222" s="881"/>
      <c r="D222" s="881"/>
      <c r="E222" s="881"/>
      <c r="F222" s="15" t="s">
        <v>1658</v>
      </c>
      <c r="G222" s="15">
        <v>92091</v>
      </c>
      <c r="I222" s="50">
        <v>272</v>
      </c>
      <c r="J222" s="51">
        <v>12432</v>
      </c>
      <c r="K222" s="883"/>
      <c r="L222" s="885"/>
    </row>
    <row r="223" spans="1:12" ht="15" thickBot="1" x14ac:dyDescent="0.35">
      <c r="A223" s="872"/>
      <c r="B223" s="881"/>
      <c r="C223" s="881"/>
      <c r="D223" s="881"/>
      <c r="E223" s="881"/>
      <c r="F223" s="15" t="s">
        <v>1658</v>
      </c>
      <c r="G223" s="15">
        <v>92091</v>
      </c>
      <c r="I223" s="50">
        <v>188</v>
      </c>
      <c r="J223" s="51">
        <v>8613.2999999999993</v>
      </c>
      <c r="K223" s="884"/>
      <c r="L223" s="880"/>
    </row>
    <row r="224" spans="1:12" x14ac:dyDescent="0.3">
      <c r="A224" s="871">
        <v>2254</v>
      </c>
      <c r="B224" s="873">
        <v>103790.5</v>
      </c>
      <c r="C224" s="873" t="s">
        <v>1659</v>
      </c>
      <c r="D224" s="873">
        <f>+I224+I225+I226</f>
        <v>2251</v>
      </c>
      <c r="E224" s="873">
        <f>+J224+J225+J226</f>
        <v>99416.1</v>
      </c>
      <c r="F224" s="12" t="s">
        <v>1660</v>
      </c>
      <c r="G224" s="12">
        <v>92101</v>
      </c>
      <c r="H224" s="40"/>
      <c r="I224" s="39">
        <v>739</v>
      </c>
      <c r="J224" s="41">
        <v>32819.800000000003</v>
      </c>
      <c r="K224" s="882">
        <f>+A224-D224</f>
        <v>3</v>
      </c>
      <c r="L224" s="879">
        <f>((+B224/A224)-(E224/D224))/(B224/A224)</f>
        <v>4.0869868505040458E-2</v>
      </c>
    </row>
    <row r="225" spans="1:12" x14ac:dyDescent="0.3">
      <c r="A225" s="875"/>
      <c r="B225" s="881"/>
      <c r="C225" s="881"/>
      <c r="D225" s="881"/>
      <c r="E225" s="881"/>
      <c r="F225" s="15" t="s">
        <v>1660</v>
      </c>
      <c r="G225" s="15">
        <v>92101</v>
      </c>
      <c r="I225" s="50">
        <v>264</v>
      </c>
      <c r="J225" s="51">
        <v>11548.4</v>
      </c>
      <c r="K225" s="883"/>
      <c r="L225" s="885"/>
    </row>
    <row r="226" spans="1:12" ht="15" thickBot="1" x14ac:dyDescent="0.35">
      <c r="A226" s="872"/>
      <c r="B226" s="881"/>
      <c r="C226" s="881"/>
      <c r="D226" s="881"/>
      <c r="E226" s="881"/>
      <c r="F226" s="15" t="s">
        <v>1660</v>
      </c>
      <c r="G226" s="15">
        <v>92101</v>
      </c>
      <c r="I226" s="50">
        <v>1248</v>
      </c>
      <c r="J226" s="51">
        <v>55047.899999999994</v>
      </c>
      <c r="K226" s="884"/>
      <c r="L226" s="880"/>
    </row>
    <row r="227" spans="1:12" ht="15" thickBot="1" x14ac:dyDescent="0.35">
      <c r="A227" s="175">
        <v>235</v>
      </c>
      <c r="B227" s="8">
        <v>10602.75</v>
      </c>
      <c r="C227" s="8" t="s">
        <v>1661</v>
      </c>
      <c r="D227" s="8">
        <f t="shared" ref="D227:E228" si="76">+I227</f>
        <v>235</v>
      </c>
      <c r="E227" s="8">
        <f t="shared" si="76"/>
        <v>10383.4</v>
      </c>
      <c r="F227" s="8" t="s">
        <v>1662</v>
      </c>
      <c r="G227" s="8">
        <v>9211</v>
      </c>
      <c r="H227" s="14"/>
      <c r="I227" s="45">
        <v>235</v>
      </c>
      <c r="J227" s="46">
        <v>10383.4</v>
      </c>
      <c r="K227" s="54">
        <f>+A227-D227</f>
        <v>0</v>
      </c>
      <c r="L227" s="33">
        <f t="shared" ref="L227" si="77">+(B227-E227)/B227</f>
        <v>2.0688029049067493E-2</v>
      </c>
    </row>
    <row r="228" spans="1:12" ht="15" thickBot="1" x14ac:dyDescent="0.35">
      <c r="A228" s="175">
        <v>507</v>
      </c>
      <c r="B228" s="8">
        <v>24505</v>
      </c>
      <c r="C228" s="8" t="s">
        <v>1663</v>
      </c>
      <c r="D228" s="8">
        <f t="shared" si="76"/>
        <v>512</v>
      </c>
      <c r="E228" s="8">
        <f t="shared" si="76"/>
        <v>24288.2</v>
      </c>
      <c r="F228" s="8" t="s">
        <v>1664</v>
      </c>
      <c r="G228" s="8">
        <v>9220</v>
      </c>
      <c r="H228" s="14"/>
      <c r="I228" s="45">
        <v>512</v>
      </c>
      <c r="J228" s="46">
        <v>24288.2</v>
      </c>
      <c r="K228" s="54">
        <f>+A228-D228</f>
        <v>-5</v>
      </c>
      <c r="L228" s="53">
        <f>((+B228/A228)-(E228/D228))/(B228/A228)</f>
        <v>1.8526400862068984E-2</v>
      </c>
    </row>
    <row r="229" spans="1:12" ht="15" thickBot="1" x14ac:dyDescent="0.35">
      <c r="A229" s="175">
        <v>2123</v>
      </c>
      <c r="B229" s="8">
        <v>89846.2</v>
      </c>
      <c r="C229" s="8" t="s">
        <v>1665</v>
      </c>
      <c r="D229" s="8">
        <v>2124</v>
      </c>
      <c r="E229" s="8">
        <v>86741.3</v>
      </c>
      <c r="F229" s="8" t="s">
        <v>1666</v>
      </c>
      <c r="G229" s="8">
        <v>92321</v>
      </c>
      <c r="H229" s="14"/>
      <c r="I229" s="45">
        <v>995</v>
      </c>
      <c r="J229" s="46">
        <v>40191.199999999997</v>
      </c>
      <c r="K229" s="56">
        <f>+A229-D229</f>
        <v>-1</v>
      </c>
      <c r="L229" s="53">
        <f>((+B229/A229)-(E229/D229))/(B229/A229)</f>
        <v>3.5012484150514875E-2</v>
      </c>
    </row>
    <row r="230" spans="1:12" x14ac:dyDescent="0.3">
      <c r="A230" s="871">
        <v>1286</v>
      </c>
      <c r="B230" s="873">
        <v>61439</v>
      </c>
      <c r="C230" s="873" t="s">
        <v>1762</v>
      </c>
      <c r="D230" s="873">
        <f>+I230+I231</f>
        <v>1286</v>
      </c>
      <c r="E230" s="873">
        <f>+J230+J231</f>
        <v>58834</v>
      </c>
      <c r="F230" s="12" t="s">
        <v>1763</v>
      </c>
      <c r="G230" s="12">
        <v>92331</v>
      </c>
      <c r="H230" s="40"/>
      <c r="I230" s="39">
        <v>972</v>
      </c>
      <c r="J230" s="39">
        <v>44359.3</v>
      </c>
      <c r="K230" s="877">
        <f>+A230-D230</f>
        <v>0</v>
      </c>
      <c r="L230" s="879">
        <f t="shared" ref="L230" si="78">+(B230-E230)/B230</f>
        <v>4.2399778642230504E-2</v>
      </c>
    </row>
    <row r="231" spans="1:12" ht="15" thickBot="1" x14ac:dyDescent="0.35">
      <c r="A231" s="872"/>
      <c r="B231" s="874"/>
      <c r="C231" s="874"/>
      <c r="D231" s="874"/>
      <c r="E231" s="874"/>
      <c r="F231" s="10" t="s">
        <v>1763</v>
      </c>
      <c r="G231" s="10">
        <v>92331</v>
      </c>
      <c r="H231" s="43"/>
      <c r="I231" s="42">
        <v>314</v>
      </c>
      <c r="J231" s="42">
        <v>14474.7</v>
      </c>
      <c r="K231" s="878"/>
      <c r="L231" s="880"/>
    </row>
    <row r="232" spans="1:12" x14ac:dyDescent="0.3">
      <c r="A232" s="871">
        <v>715</v>
      </c>
      <c r="B232" s="873">
        <v>33101.25</v>
      </c>
      <c r="C232" s="873" t="s">
        <v>1764</v>
      </c>
      <c r="D232" s="873">
        <f>+I232+I233</f>
        <v>715</v>
      </c>
      <c r="E232" s="873">
        <f>+J232+J233</f>
        <v>31753</v>
      </c>
      <c r="F232" s="12" t="s">
        <v>1765</v>
      </c>
      <c r="G232" s="12">
        <v>92341</v>
      </c>
      <c r="H232" s="40"/>
      <c r="I232" s="39">
        <v>578</v>
      </c>
      <c r="J232" s="41">
        <v>25635.9</v>
      </c>
      <c r="K232" s="877">
        <f>+A232-D232</f>
        <v>0</v>
      </c>
      <c r="L232" s="879">
        <f t="shared" ref="L232" si="79">+(B232-E232)/B232</f>
        <v>4.0731090215626299E-2</v>
      </c>
    </row>
    <row r="233" spans="1:12" ht="15" thickBot="1" x14ac:dyDescent="0.35">
      <c r="A233" s="872"/>
      <c r="B233" s="874"/>
      <c r="C233" s="874"/>
      <c r="D233" s="874"/>
      <c r="E233" s="874"/>
      <c r="F233" s="10" t="s">
        <v>1765</v>
      </c>
      <c r="G233" s="10">
        <v>92341</v>
      </c>
      <c r="H233" s="43"/>
      <c r="I233" s="42">
        <v>137</v>
      </c>
      <c r="J233" s="44">
        <v>6117.1</v>
      </c>
      <c r="K233" s="878"/>
      <c r="L233" s="880"/>
    </row>
    <row r="234" spans="1:12" x14ac:dyDescent="0.3">
      <c r="A234" s="871">
        <v>1203</v>
      </c>
      <c r="B234" s="873">
        <v>55708.5</v>
      </c>
      <c r="C234" s="873" t="s">
        <v>1766</v>
      </c>
      <c r="D234" s="873">
        <f>+I234+I235</f>
        <v>1204</v>
      </c>
      <c r="E234" s="873">
        <f>+J234+J235</f>
        <v>53006.299999999996</v>
      </c>
      <c r="F234" s="12" t="s">
        <v>1767</v>
      </c>
      <c r="G234" s="12">
        <v>92431</v>
      </c>
      <c r="H234" s="39"/>
      <c r="I234" s="39">
        <v>308</v>
      </c>
      <c r="J234" s="41">
        <v>13446.599999999999</v>
      </c>
      <c r="K234" s="877">
        <f>+A234-D234</f>
        <v>-1</v>
      </c>
      <c r="L234" s="879">
        <f>((+B234/A234)-(E234/D234))/(B234/A234)</f>
        <v>4.9296340165557596E-2</v>
      </c>
    </row>
    <row r="235" spans="1:12" ht="15" thickBot="1" x14ac:dyDescent="0.35">
      <c r="A235" s="872"/>
      <c r="B235" s="874"/>
      <c r="C235" s="874"/>
      <c r="D235" s="874"/>
      <c r="E235" s="874"/>
      <c r="F235" s="10" t="s">
        <v>1767</v>
      </c>
      <c r="G235" s="10">
        <v>92431</v>
      </c>
      <c r="H235" s="42"/>
      <c r="I235" s="42">
        <v>896</v>
      </c>
      <c r="J235" s="44">
        <v>39559.699999999997</v>
      </c>
      <c r="K235" s="878"/>
      <c r="L235" s="880"/>
    </row>
    <row r="236" spans="1:12" ht="15" thickBot="1" x14ac:dyDescent="0.35">
      <c r="A236" s="174">
        <v>255</v>
      </c>
      <c r="B236" s="12">
        <v>11578</v>
      </c>
      <c r="C236" s="12" t="s">
        <v>1768</v>
      </c>
      <c r="D236" s="12">
        <f>+I236</f>
        <v>254</v>
      </c>
      <c r="E236" s="12">
        <f>+J236</f>
        <v>11228.3</v>
      </c>
      <c r="F236" s="12" t="s">
        <v>1769</v>
      </c>
      <c r="G236" s="12">
        <v>92441</v>
      </c>
      <c r="H236" s="39"/>
      <c r="I236" s="39">
        <v>254</v>
      </c>
      <c r="J236" s="41">
        <v>11228.3</v>
      </c>
      <c r="K236" s="54">
        <f>+A236-D236</f>
        <v>1</v>
      </c>
      <c r="L236" s="53">
        <f>((+B236/A236)-(E236/D236))/(B236/A236)</f>
        <v>2.6385739720866379E-2</v>
      </c>
    </row>
    <row r="237" spans="1:12" x14ac:dyDescent="0.3">
      <c r="A237" s="871">
        <v>435</v>
      </c>
      <c r="B237" s="873">
        <v>18556</v>
      </c>
      <c r="C237" s="873" t="s">
        <v>1770</v>
      </c>
      <c r="D237" s="873">
        <f>+I237+I238</f>
        <v>435</v>
      </c>
      <c r="E237" s="873">
        <f>+J237+J238</f>
        <v>17825</v>
      </c>
      <c r="F237" s="12" t="s">
        <v>1771</v>
      </c>
      <c r="G237" s="12">
        <v>92451</v>
      </c>
      <c r="H237" s="39"/>
      <c r="I237" s="39">
        <v>250</v>
      </c>
      <c r="J237" s="41">
        <v>10248.9</v>
      </c>
      <c r="K237" s="877">
        <f>+A237-D237</f>
        <v>0</v>
      </c>
      <c r="L237" s="879">
        <f t="shared" ref="L237:L239" si="80">+(B237-E237)/B237</f>
        <v>3.9394266005604653E-2</v>
      </c>
    </row>
    <row r="238" spans="1:12" ht="15" thickBot="1" x14ac:dyDescent="0.35">
      <c r="A238" s="872"/>
      <c r="B238" s="874"/>
      <c r="C238" s="874"/>
      <c r="D238" s="874"/>
      <c r="E238" s="874"/>
      <c r="F238" s="10" t="s">
        <v>1772</v>
      </c>
      <c r="G238" s="10">
        <v>95451</v>
      </c>
      <c r="H238" s="43"/>
      <c r="I238" s="42">
        <v>185</v>
      </c>
      <c r="J238" s="44">
        <v>7576.1</v>
      </c>
      <c r="K238" s="878"/>
      <c r="L238" s="880"/>
    </row>
    <row r="239" spans="1:12" ht="15" thickBot="1" x14ac:dyDescent="0.35">
      <c r="A239" s="174">
        <v>225</v>
      </c>
      <c r="B239" s="12">
        <v>9842</v>
      </c>
      <c r="C239" s="12" t="s">
        <v>1773</v>
      </c>
      <c r="D239" s="12">
        <f>+I239</f>
        <v>225</v>
      </c>
      <c r="E239" s="12">
        <f>+J239</f>
        <v>9643.2000000000007</v>
      </c>
      <c r="F239" s="12" t="s">
        <v>1774</v>
      </c>
      <c r="G239" s="12">
        <v>92501</v>
      </c>
      <c r="H239" s="40"/>
      <c r="I239" s="39">
        <v>225</v>
      </c>
      <c r="J239" s="41">
        <v>9643.2000000000007</v>
      </c>
      <c r="K239" s="54">
        <f>+A239-D239</f>
        <v>0</v>
      </c>
      <c r="L239" s="33">
        <f t="shared" si="80"/>
        <v>2.0199146514935915E-2</v>
      </c>
    </row>
    <row r="240" spans="1:12" x14ac:dyDescent="0.3">
      <c r="A240" s="871">
        <v>1346</v>
      </c>
      <c r="B240" s="873">
        <v>61137</v>
      </c>
      <c r="C240" s="873" t="s">
        <v>1775</v>
      </c>
      <c r="D240" s="873">
        <f>+I240+I241</f>
        <v>1350</v>
      </c>
      <c r="E240" s="873">
        <f>+J240+J241</f>
        <v>58828.899999999994</v>
      </c>
      <c r="F240" s="12" t="s">
        <v>1776</v>
      </c>
      <c r="G240" s="12">
        <v>92511</v>
      </c>
      <c r="H240" s="40"/>
      <c r="I240" s="39">
        <v>519</v>
      </c>
      <c r="J240" s="41">
        <v>22294.6</v>
      </c>
      <c r="K240" s="877">
        <f>+A240-D240</f>
        <v>-4</v>
      </c>
      <c r="L240" s="879">
        <f>((+B240/A240)-(E240/D240))/(B240/A240)</f>
        <v>4.06040180553814E-2</v>
      </c>
    </row>
    <row r="241" spans="1:12" ht="15" thickBot="1" x14ac:dyDescent="0.35">
      <c r="A241" s="872"/>
      <c r="B241" s="874"/>
      <c r="C241" s="874"/>
      <c r="D241" s="874"/>
      <c r="E241" s="874"/>
      <c r="F241" s="10" t="s">
        <v>1776</v>
      </c>
      <c r="G241" s="10">
        <v>92511</v>
      </c>
      <c r="H241" s="43"/>
      <c r="I241" s="42">
        <v>831</v>
      </c>
      <c r="J241" s="44">
        <v>36534.299999999996</v>
      </c>
      <c r="K241" s="878"/>
      <c r="L241" s="880"/>
    </row>
    <row r="242" spans="1:12" ht="15" thickBot="1" x14ac:dyDescent="0.35">
      <c r="A242" s="175">
        <v>600</v>
      </c>
      <c r="B242" s="8">
        <v>27647.75</v>
      </c>
      <c r="C242" s="8" t="s">
        <v>1858</v>
      </c>
      <c r="D242" s="8">
        <f>+I242</f>
        <v>600</v>
      </c>
      <c r="E242" s="8">
        <f>+J242</f>
        <v>26520.7</v>
      </c>
      <c r="F242" s="8" t="s">
        <v>1859</v>
      </c>
      <c r="G242" s="8">
        <v>92561</v>
      </c>
      <c r="H242" s="14"/>
      <c r="I242" s="45">
        <v>600</v>
      </c>
      <c r="J242" s="46">
        <v>26520.7</v>
      </c>
      <c r="K242" s="54">
        <f>+A242-D242</f>
        <v>0</v>
      </c>
      <c r="L242" s="33">
        <f t="shared" ref="L242:L244" si="81">+(B242-E242)/B242</f>
        <v>4.0764619182392756E-2</v>
      </c>
    </row>
    <row r="243" spans="1:12" ht="15" thickBot="1" x14ac:dyDescent="0.35">
      <c r="A243" s="175">
        <v>1279</v>
      </c>
      <c r="B243" s="8">
        <v>59481.5</v>
      </c>
      <c r="C243" s="8" t="s">
        <v>1860</v>
      </c>
      <c r="D243" s="8">
        <f>+I243</f>
        <v>1279</v>
      </c>
      <c r="E243" s="8">
        <f>+J243</f>
        <v>56642.8</v>
      </c>
      <c r="F243" s="8" t="s">
        <v>1861</v>
      </c>
      <c r="G243" s="8">
        <v>92571</v>
      </c>
      <c r="H243" s="14"/>
      <c r="I243" s="45">
        <v>1279</v>
      </c>
      <c r="J243" s="46">
        <v>56642.8</v>
      </c>
      <c r="K243" s="54">
        <f>+A243-D243</f>
        <v>0</v>
      </c>
      <c r="L243" s="33">
        <f t="shared" si="81"/>
        <v>4.7724082277682926E-2</v>
      </c>
    </row>
    <row r="244" spans="1:12" x14ac:dyDescent="0.3">
      <c r="A244" s="871">
        <v>1488</v>
      </c>
      <c r="B244" s="873">
        <v>69257.75</v>
      </c>
      <c r="C244" s="873" t="s">
        <v>1862</v>
      </c>
      <c r="D244" s="873">
        <f>+I244+I245+I246</f>
        <v>1488</v>
      </c>
      <c r="E244" s="873">
        <f>+J244+J245+J246</f>
        <v>66047.5</v>
      </c>
      <c r="F244" s="12" t="s">
        <v>1863</v>
      </c>
      <c r="G244" s="12">
        <v>92581</v>
      </c>
      <c r="H244" s="40"/>
      <c r="I244" s="39">
        <v>100</v>
      </c>
      <c r="J244" s="41">
        <v>4409.8999999999996</v>
      </c>
      <c r="K244" s="877">
        <f>+A244-D244</f>
        <v>0</v>
      </c>
      <c r="L244" s="879">
        <f t="shared" si="81"/>
        <v>4.6352213290209401E-2</v>
      </c>
    </row>
    <row r="245" spans="1:12" x14ac:dyDescent="0.3">
      <c r="A245" s="875"/>
      <c r="B245" s="881"/>
      <c r="C245" s="881"/>
      <c r="D245" s="881"/>
      <c r="E245" s="881"/>
      <c r="F245" s="15" t="s">
        <v>1863</v>
      </c>
      <c r="G245" s="15">
        <v>92581</v>
      </c>
      <c r="I245" s="50">
        <v>1200</v>
      </c>
      <c r="J245" s="51">
        <v>53269.8</v>
      </c>
      <c r="K245" s="886"/>
      <c r="L245" s="885"/>
    </row>
    <row r="246" spans="1:12" ht="15" thickBot="1" x14ac:dyDescent="0.35">
      <c r="A246" s="872"/>
      <c r="B246" s="874"/>
      <c r="C246" s="874"/>
      <c r="D246" s="874"/>
      <c r="E246" s="874"/>
      <c r="F246" s="10" t="s">
        <v>1863</v>
      </c>
      <c r="G246" s="10">
        <v>92581</v>
      </c>
      <c r="H246" s="43"/>
      <c r="I246" s="42">
        <v>188</v>
      </c>
      <c r="J246" s="44">
        <v>8367.7999999999993</v>
      </c>
      <c r="K246" s="878"/>
      <c r="L246" s="880"/>
    </row>
    <row r="247" spans="1:12" ht="15" thickBot="1" x14ac:dyDescent="0.35">
      <c r="A247" s="175">
        <f>+D247</f>
        <v>145</v>
      </c>
      <c r="B247" s="8">
        <v>6445.5</v>
      </c>
      <c r="C247" s="8" t="s">
        <v>1902</v>
      </c>
      <c r="D247" s="8">
        <f>+I247</f>
        <v>145</v>
      </c>
      <c r="E247" s="8">
        <f>+J247</f>
        <v>6255</v>
      </c>
      <c r="F247" s="8" t="s">
        <v>1903</v>
      </c>
      <c r="G247" s="8">
        <v>92631</v>
      </c>
      <c r="H247" s="14"/>
      <c r="I247" s="45">
        <v>145</v>
      </c>
      <c r="J247" s="46">
        <v>6255</v>
      </c>
      <c r="K247" s="54">
        <f>+A247-D247</f>
        <v>0</v>
      </c>
      <c r="L247" s="33">
        <f t="shared" ref="L247:L248" si="82">+(B247-E247)/B247</f>
        <v>2.9555503839888295E-2</v>
      </c>
    </row>
    <row r="248" spans="1:12" x14ac:dyDescent="0.3">
      <c r="A248" s="871">
        <f>+D248</f>
        <v>1863</v>
      </c>
      <c r="B248" s="873">
        <v>85273.75</v>
      </c>
      <c r="C248" s="873" t="s">
        <v>1904</v>
      </c>
      <c r="D248" s="873">
        <f>+I248+I249</f>
        <v>1863</v>
      </c>
      <c r="E248" s="873">
        <f>+J248+J249</f>
        <v>80489.8</v>
      </c>
      <c r="F248" s="12" t="s">
        <v>1905</v>
      </c>
      <c r="G248" s="12">
        <v>92641</v>
      </c>
      <c r="H248" s="40"/>
      <c r="I248" s="39">
        <v>701</v>
      </c>
      <c r="J248" s="41">
        <v>30308.799999999999</v>
      </c>
      <c r="K248" s="877">
        <f>+A248-D248</f>
        <v>0</v>
      </c>
      <c r="L248" s="879">
        <f t="shared" si="82"/>
        <v>5.6101086207654728E-2</v>
      </c>
    </row>
    <row r="249" spans="1:12" ht="15" thickBot="1" x14ac:dyDescent="0.35">
      <c r="A249" s="872"/>
      <c r="B249" s="874"/>
      <c r="C249" s="874"/>
      <c r="D249" s="874"/>
      <c r="E249" s="874"/>
      <c r="F249" s="10" t="s">
        <v>1905</v>
      </c>
      <c r="G249" s="10">
        <v>92641</v>
      </c>
      <c r="H249" s="43"/>
      <c r="I249" s="42">
        <v>1162</v>
      </c>
      <c r="J249" s="44">
        <v>50181</v>
      </c>
      <c r="K249" s="878"/>
      <c r="L249" s="880"/>
    </row>
    <row r="250" spans="1:12" x14ac:dyDescent="0.3">
      <c r="A250" s="871">
        <f>+D250</f>
        <v>1203</v>
      </c>
      <c r="B250" s="873">
        <v>54613.25</v>
      </c>
      <c r="C250" s="873" t="s">
        <v>1906</v>
      </c>
      <c r="D250" s="873">
        <f>+I250+I251</f>
        <v>1203</v>
      </c>
      <c r="E250" s="873">
        <f>+J250+J251</f>
        <v>52427.1</v>
      </c>
      <c r="F250" s="12" t="s">
        <v>1907</v>
      </c>
      <c r="G250" s="12">
        <v>92651</v>
      </c>
      <c r="H250" s="40"/>
      <c r="I250" s="39">
        <v>640</v>
      </c>
      <c r="J250" s="41">
        <v>28230.1</v>
      </c>
      <c r="K250" s="877">
        <f>+A250-D250</f>
        <v>0</v>
      </c>
      <c r="L250" s="879">
        <f t="shared" ref="L250" si="83">+(B250-E250)/B250</f>
        <v>4.002966313119987E-2</v>
      </c>
    </row>
    <row r="251" spans="1:12" ht="15" thickBot="1" x14ac:dyDescent="0.35">
      <c r="A251" s="872"/>
      <c r="B251" s="874"/>
      <c r="C251" s="874"/>
      <c r="D251" s="874"/>
      <c r="E251" s="874"/>
      <c r="F251" s="10" t="s">
        <v>1907</v>
      </c>
      <c r="G251" s="10">
        <v>92651</v>
      </c>
      <c r="H251" s="43"/>
      <c r="I251" s="42">
        <v>563</v>
      </c>
      <c r="J251" s="44">
        <v>24197</v>
      </c>
      <c r="K251" s="878"/>
      <c r="L251" s="880"/>
    </row>
    <row r="252" spans="1:12" ht="15" thickBot="1" x14ac:dyDescent="0.35">
      <c r="A252" s="175">
        <f>+D252</f>
        <v>100</v>
      </c>
      <c r="B252" s="8">
        <v>4411</v>
      </c>
      <c r="C252" s="8" t="s">
        <v>1908</v>
      </c>
      <c r="D252" s="8">
        <f>+I252</f>
        <v>100</v>
      </c>
      <c r="E252" s="8">
        <f>+J252</f>
        <v>4307.1000000000004</v>
      </c>
      <c r="F252" s="8" t="s">
        <v>1909</v>
      </c>
      <c r="G252" s="8">
        <v>92691</v>
      </c>
      <c r="H252" s="14"/>
      <c r="I252" s="45">
        <v>100</v>
      </c>
      <c r="J252" s="46">
        <v>4307.1000000000004</v>
      </c>
      <c r="K252" s="54">
        <f>+A252-D252</f>
        <v>0</v>
      </c>
      <c r="L252" s="33">
        <f t="shared" ref="L252:L258" si="84">+(B252-E252)/B252</f>
        <v>2.3554749489911504E-2</v>
      </c>
    </row>
    <row r="253" spans="1:12" ht="15" thickBot="1" x14ac:dyDescent="0.35">
      <c r="A253" s="174">
        <f>+D253</f>
        <v>306</v>
      </c>
      <c r="B253" s="12">
        <v>13974.75</v>
      </c>
      <c r="C253" s="12" t="s">
        <v>1910</v>
      </c>
      <c r="D253" s="12">
        <f t="shared" ref="D253:E253" si="85">+I253</f>
        <v>306</v>
      </c>
      <c r="E253" s="12">
        <f t="shared" si="85"/>
        <v>13478.8</v>
      </c>
      <c r="F253" s="12" t="s">
        <v>1911</v>
      </c>
      <c r="G253" s="12">
        <v>92701</v>
      </c>
      <c r="H253" s="40"/>
      <c r="I253" s="39">
        <v>306</v>
      </c>
      <c r="J253" s="41">
        <v>13478.8</v>
      </c>
      <c r="K253" s="54">
        <f>+A253-D253</f>
        <v>0</v>
      </c>
      <c r="L253" s="33">
        <f t="shared" si="84"/>
        <v>3.5489006958979642E-2</v>
      </c>
    </row>
    <row r="254" spans="1:12" x14ac:dyDescent="0.3">
      <c r="A254" s="871">
        <v>750</v>
      </c>
      <c r="B254" s="873">
        <v>33364.75</v>
      </c>
      <c r="C254" s="873" t="s">
        <v>1912</v>
      </c>
      <c r="D254" s="873">
        <f>+I254+I255</f>
        <v>750</v>
      </c>
      <c r="E254" s="873">
        <f>+J254+J255</f>
        <v>32664.5</v>
      </c>
      <c r="F254" s="12" t="s">
        <v>1913</v>
      </c>
      <c r="G254" s="12">
        <v>92721</v>
      </c>
      <c r="H254" s="40"/>
      <c r="I254" s="39">
        <v>250</v>
      </c>
      <c r="J254" s="41">
        <v>11259.9</v>
      </c>
      <c r="K254" s="877">
        <f>+A254-D254</f>
        <v>0</v>
      </c>
      <c r="L254" s="879">
        <f t="shared" si="84"/>
        <v>2.0987719074772027E-2</v>
      </c>
    </row>
    <row r="255" spans="1:12" ht="15" thickBot="1" x14ac:dyDescent="0.35">
      <c r="A255" s="872"/>
      <c r="B255" s="874"/>
      <c r="C255" s="874"/>
      <c r="D255" s="874"/>
      <c r="E255" s="874"/>
      <c r="F255" s="10" t="s">
        <v>1913</v>
      </c>
      <c r="G255" s="10">
        <v>92721</v>
      </c>
      <c r="H255" s="43"/>
      <c r="I255" s="42">
        <v>500</v>
      </c>
      <c r="J255" s="44">
        <v>21404.6</v>
      </c>
      <c r="K255" s="878"/>
      <c r="L255" s="880"/>
    </row>
    <row r="256" spans="1:12" ht="15" thickBot="1" x14ac:dyDescent="0.35">
      <c r="A256" s="175">
        <v>223</v>
      </c>
      <c r="B256" s="8">
        <v>12026.5</v>
      </c>
      <c r="C256" s="8" t="s">
        <v>1914</v>
      </c>
      <c r="D256" s="8">
        <v>223</v>
      </c>
      <c r="E256" s="8">
        <v>11597</v>
      </c>
      <c r="F256" s="8" t="s">
        <v>1915</v>
      </c>
      <c r="G256" s="8">
        <v>92801</v>
      </c>
      <c r="H256" s="14"/>
      <c r="I256" s="45">
        <v>69</v>
      </c>
      <c r="J256" s="46">
        <v>3750.2</v>
      </c>
      <c r="K256" s="54">
        <f>+A256-D256</f>
        <v>0</v>
      </c>
      <c r="L256" s="33">
        <f t="shared" si="84"/>
        <v>3.5712800898016879E-2</v>
      </c>
    </row>
    <row r="257" spans="1:12" ht="15" thickBot="1" x14ac:dyDescent="0.35">
      <c r="A257" s="181">
        <v>125</v>
      </c>
      <c r="B257" s="15">
        <v>6203</v>
      </c>
      <c r="C257" s="15" t="s">
        <v>1916</v>
      </c>
      <c r="D257" s="15">
        <f>+I257</f>
        <v>125</v>
      </c>
      <c r="E257" s="15">
        <f>+J257</f>
        <v>5646.1</v>
      </c>
      <c r="F257" s="15" t="s">
        <v>1945</v>
      </c>
      <c r="G257" s="15">
        <v>92811</v>
      </c>
      <c r="I257" s="50">
        <v>125</v>
      </c>
      <c r="J257" s="51">
        <v>5646.1</v>
      </c>
      <c r="K257" s="54">
        <f>+A257-D257</f>
        <v>0</v>
      </c>
      <c r="L257" s="33">
        <f t="shared" si="84"/>
        <v>8.9779139126229188E-2</v>
      </c>
    </row>
    <row r="258" spans="1:12" ht="15" thickBot="1" x14ac:dyDescent="0.35">
      <c r="A258" s="174">
        <v>96</v>
      </c>
      <c r="B258" s="12">
        <v>3642</v>
      </c>
      <c r="C258" s="12" t="s">
        <v>1917</v>
      </c>
      <c r="D258" s="12">
        <f>+I258</f>
        <v>96</v>
      </c>
      <c r="E258" s="12">
        <f>+J258</f>
        <v>3666</v>
      </c>
      <c r="F258" s="12" t="s">
        <v>1948</v>
      </c>
      <c r="G258" s="12">
        <v>92821</v>
      </c>
      <c r="H258" s="40"/>
      <c r="I258" s="39">
        <v>96</v>
      </c>
      <c r="J258" s="41">
        <v>3666</v>
      </c>
      <c r="K258" s="54">
        <f>+A258-D258</f>
        <v>0</v>
      </c>
      <c r="L258" s="33">
        <f t="shared" si="84"/>
        <v>-6.5897858319604614E-3</v>
      </c>
    </row>
    <row r="259" spans="1:12" x14ac:dyDescent="0.3">
      <c r="A259" s="871">
        <v>1591</v>
      </c>
      <c r="B259" s="873">
        <v>73469.75</v>
      </c>
      <c r="C259" s="873" t="s">
        <v>1918</v>
      </c>
      <c r="D259" s="873">
        <f>+I259+I260</f>
        <v>1591</v>
      </c>
      <c r="E259" s="873">
        <f>+J259+J260</f>
        <v>70440</v>
      </c>
      <c r="F259" s="12" t="s">
        <v>1919</v>
      </c>
      <c r="G259" s="12">
        <v>92841</v>
      </c>
      <c r="H259" s="40"/>
      <c r="I259" s="39">
        <v>860</v>
      </c>
      <c r="J259" s="41">
        <v>38024.400000000001</v>
      </c>
      <c r="K259" s="877">
        <f>+A259-D259</f>
        <v>0</v>
      </c>
      <c r="L259" s="879">
        <f t="shared" ref="L259" si="86">+(B259-E259)/B259</f>
        <v>4.1238060562340285E-2</v>
      </c>
    </row>
    <row r="260" spans="1:12" ht="15" thickBot="1" x14ac:dyDescent="0.35">
      <c r="A260" s="872"/>
      <c r="B260" s="874"/>
      <c r="C260" s="874"/>
      <c r="D260" s="874"/>
      <c r="E260" s="874"/>
      <c r="F260" s="10" t="s">
        <v>1919</v>
      </c>
      <c r="G260" s="10">
        <v>92841</v>
      </c>
      <c r="H260" s="43"/>
      <c r="I260" s="42">
        <v>731</v>
      </c>
      <c r="J260" s="44">
        <v>32415.599999999999</v>
      </c>
      <c r="K260" s="878"/>
      <c r="L260" s="880"/>
    </row>
    <row r="261" spans="1:12" ht="15" thickBot="1" x14ac:dyDescent="0.35">
      <c r="A261" s="175">
        <v>191</v>
      </c>
      <c r="B261" s="8">
        <v>9350</v>
      </c>
      <c r="C261" s="8" t="s">
        <v>1946</v>
      </c>
      <c r="D261" s="8">
        <f>+I261</f>
        <v>191</v>
      </c>
      <c r="E261" s="8">
        <f>+J261</f>
        <v>8820.2000000000007</v>
      </c>
      <c r="F261" s="8" t="s">
        <v>1947</v>
      </c>
      <c r="G261" s="8">
        <v>92851</v>
      </c>
      <c r="H261" s="14"/>
      <c r="I261" s="45">
        <v>191</v>
      </c>
      <c r="J261" s="46">
        <v>8820.2000000000007</v>
      </c>
      <c r="K261" s="54">
        <f>+A261-D261</f>
        <v>0</v>
      </c>
      <c r="L261" s="33">
        <f t="shared" ref="L261" si="87">+(B261-E261)/B261</f>
        <v>5.6663101604277996E-2</v>
      </c>
    </row>
    <row r="262" spans="1:12" x14ac:dyDescent="0.3">
      <c r="A262" s="871">
        <v>1557</v>
      </c>
      <c r="B262" s="873">
        <v>68268.899999999994</v>
      </c>
      <c r="C262" s="873" t="s">
        <v>1949</v>
      </c>
      <c r="D262" s="873">
        <f>+I262+I263</f>
        <v>1556</v>
      </c>
      <c r="E262" s="873">
        <f>+J262+J263</f>
        <v>65639.3</v>
      </c>
      <c r="F262" s="12" t="s">
        <v>1950</v>
      </c>
      <c r="G262" s="12">
        <v>92871</v>
      </c>
      <c r="H262" s="40"/>
      <c r="I262" s="39">
        <v>850</v>
      </c>
      <c r="J262" s="41">
        <v>35966.800000000003</v>
      </c>
      <c r="K262" s="882">
        <f>+A262-D262</f>
        <v>1</v>
      </c>
      <c r="L262" s="879">
        <f>((+B262/A262)-(E262/D262))/(B262/A262)</f>
        <v>3.7900352281890745E-2</v>
      </c>
    </row>
    <row r="263" spans="1:12" ht="15" thickBot="1" x14ac:dyDescent="0.35">
      <c r="A263" s="872"/>
      <c r="B263" s="874"/>
      <c r="C263" s="874"/>
      <c r="D263" s="874"/>
      <c r="E263" s="874"/>
      <c r="F263" s="10" t="s">
        <v>1950</v>
      </c>
      <c r="G263" s="10">
        <v>92871</v>
      </c>
      <c r="H263" s="43"/>
      <c r="I263" s="42">
        <v>706</v>
      </c>
      <c r="J263" s="44">
        <v>29672.5</v>
      </c>
      <c r="K263" s="884"/>
      <c r="L263" s="880"/>
    </row>
    <row r="264" spans="1:12" x14ac:dyDescent="0.3">
      <c r="A264" s="871">
        <v>1277</v>
      </c>
      <c r="B264" s="873">
        <v>61448</v>
      </c>
      <c r="C264" s="873" t="s">
        <v>1951</v>
      </c>
      <c r="D264" s="873">
        <f>+I264+I265</f>
        <v>1277</v>
      </c>
      <c r="E264" s="873">
        <f>+J264+J265</f>
        <v>58820.4</v>
      </c>
      <c r="F264" s="12" t="s">
        <v>1952</v>
      </c>
      <c r="G264" s="12">
        <v>92881</v>
      </c>
      <c r="H264" s="40"/>
      <c r="I264" s="39">
        <v>307</v>
      </c>
      <c r="J264" s="41">
        <v>14196.1</v>
      </c>
      <c r="K264" s="882">
        <f>+A264-D264</f>
        <v>0</v>
      </c>
      <c r="L264" s="879">
        <f t="shared" ref="L264" si="88">+(B264-E264)/B264</f>
        <v>4.2761359198021071E-2</v>
      </c>
    </row>
    <row r="265" spans="1:12" ht="15" thickBot="1" x14ac:dyDescent="0.35">
      <c r="A265" s="872"/>
      <c r="B265" s="874"/>
      <c r="C265" s="874"/>
      <c r="D265" s="874"/>
      <c r="E265" s="874"/>
      <c r="F265" s="10" t="s">
        <v>1952</v>
      </c>
      <c r="G265" s="10">
        <v>92881</v>
      </c>
      <c r="H265" s="43"/>
      <c r="I265" s="42">
        <v>970</v>
      </c>
      <c r="J265" s="44">
        <v>44624.3</v>
      </c>
      <c r="K265" s="884"/>
      <c r="L265" s="880"/>
    </row>
    <row r="266" spans="1:12" ht="15" thickBot="1" x14ac:dyDescent="0.35">
      <c r="A266" s="175">
        <v>74</v>
      </c>
      <c r="B266" s="8">
        <v>3298.75</v>
      </c>
      <c r="C266" s="8" t="s">
        <v>1953</v>
      </c>
      <c r="D266" s="8">
        <f t="shared" ref="D266:E268" si="89">+I266</f>
        <v>74</v>
      </c>
      <c r="E266" s="8">
        <f t="shared" si="89"/>
        <v>3137.7</v>
      </c>
      <c r="F266" s="8" t="s">
        <v>1954</v>
      </c>
      <c r="G266" s="8">
        <v>92921</v>
      </c>
      <c r="H266" s="14"/>
      <c r="I266" s="45">
        <v>74</v>
      </c>
      <c r="J266" s="46">
        <v>3137.7</v>
      </c>
      <c r="K266" s="54">
        <f>+A266-D266</f>
        <v>0</v>
      </c>
      <c r="L266" s="33">
        <f t="shared" ref="L266:L275" si="90">+(B266-E266)/B266</f>
        <v>4.882152330428198E-2</v>
      </c>
    </row>
    <row r="267" spans="1:12" ht="15" thickBot="1" x14ac:dyDescent="0.35">
      <c r="A267" s="175">
        <v>39</v>
      </c>
      <c r="B267" s="8">
        <v>1856.5</v>
      </c>
      <c r="C267" s="8" t="s">
        <v>1955</v>
      </c>
      <c r="D267" s="8">
        <f t="shared" si="89"/>
        <v>39</v>
      </c>
      <c r="E267" s="8">
        <f t="shared" si="89"/>
        <v>1802.3</v>
      </c>
      <c r="F267" s="8" t="s">
        <v>1956</v>
      </c>
      <c r="G267" s="8">
        <v>92951</v>
      </c>
      <c r="H267" s="14"/>
      <c r="I267" s="45">
        <v>39</v>
      </c>
      <c r="J267" s="46">
        <v>1802.3</v>
      </c>
      <c r="K267" s="54">
        <f>+A267-D267</f>
        <v>0</v>
      </c>
      <c r="L267" s="33">
        <f t="shared" si="90"/>
        <v>2.919472124966337E-2</v>
      </c>
    </row>
    <row r="268" spans="1:12" ht="15" thickBot="1" x14ac:dyDescent="0.35">
      <c r="A268" s="175">
        <v>235</v>
      </c>
      <c r="B268" s="8">
        <v>10562.25</v>
      </c>
      <c r="C268" s="8" t="s">
        <v>1957</v>
      </c>
      <c r="D268" s="8">
        <f t="shared" si="89"/>
        <v>235</v>
      </c>
      <c r="E268" s="8">
        <f t="shared" si="89"/>
        <v>10289.9</v>
      </c>
      <c r="F268" s="8" t="s">
        <v>1958</v>
      </c>
      <c r="G268" s="8">
        <v>92961</v>
      </c>
      <c r="H268" s="14"/>
      <c r="I268" s="45">
        <v>235</v>
      </c>
      <c r="J268" s="46">
        <v>10289.9</v>
      </c>
      <c r="K268" s="54">
        <f>+A268-D268</f>
        <v>0</v>
      </c>
      <c r="L268" s="33">
        <f t="shared" si="90"/>
        <v>2.5785225685815084E-2</v>
      </c>
    </row>
    <row r="269" spans="1:12" ht="15" thickBot="1" x14ac:dyDescent="0.35">
      <c r="A269" s="175">
        <v>2242</v>
      </c>
      <c r="B269" s="8">
        <v>86667.25</v>
      </c>
      <c r="C269" s="8" t="s">
        <v>1959</v>
      </c>
      <c r="D269" s="8">
        <v>2242</v>
      </c>
      <c r="E269" s="8">
        <v>87719.4</v>
      </c>
      <c r="F269" s="8" t="s">
        <v>1960</v>
      </c>
      <c r="G269" s="9">
        <v>92971</v>
      </c>
      <c r="I269" s="50">
        <v>1260</v>
      </c>
      <c r="J269" s="50">
        <v>49283.4</v>
      </c>
      <c r="K269" s="54">
        <f>+A269-D269</f>
        <v>0</v>
      </c>
      <c r="L269" s="33">
        <f t="shared" si="90"/>
        <v>-1.2140110595409388E-2</v>
      </c>
    </row>
    <row r="270" spans="1:12" x14ac:dyDescent="0.3">
      <c r="A270" s="871">
        <v>666</v>
      </c>
      <c r="B270" s="873">
        <v>32070.5</v>
      </c>
      <c r="C270" s="873" t="s">
        <v>1999</v>
      </c>
      <c r="D270" s="873">
        <f>+I270+I271</f>
        <v>666</v>
      </c>
      <c r="E270" s="873">
        <f>+J270+J271</f>
        <v>30886.799999999999</v>
      </c>
      <c r="F270" s="12" t="s">
        <v>2000</v>
      </c>
      <c r="G270" s="12">
        <v>92981</v>
      </c>
      <c r="H270" s="40"/>
      <c r="I270" s="39">
        <v>207</v>
      </c>
      <c r="J270" s="41">
        <v>9889</v>
      </c>
      <c r="K270" s="877">
        <f>+A270-D270</f>
        <v>0</v>
      </c>
      <c r="L270" s="879">
        <f t="shared" si="90"/>
        <v>3.6909309178216762E-2</v>
      </c>
    </row>
    <row r="271" spans="1:12" ht="15" thickBot="1" x14ac:dyDescent="0.35">
      <c r="A271" s="872"/>
      <c r="B271" s="874"/>
      <c r="C271" s="874"/>
      <c r="D271" s="874"/>
      <c r="E271" s="874"/>
      <c r="F271" s="10" t="s">
        <v>2000</v>
      </c>
      <c r="G271" s="10">
        <v>92981</v>
      </c>
      <c r="H271" s="43"/>
      <c r="I271" s="42">
        <v>459</v>
      </c>
      <c r="J271" s="44">
        <v>20997.8</v>
      </c>
      <c r="K271" s="878"/>
      <c r="L271" s="880"/>
    </row>
    <row r="272" spans="1:12" ht="15" thickBot="1" x14ac:dyDescent="0.35">
      <c r="A272" s="174">
        <v>771</v>
      </c>
      <c r="B272" s="12">
        <v>33804.5</v>
      </c>
      <c r="C272" s="12" t="s">
        <v>2001</v>
      </c>
      <c r="D272" s="12">
        <f>+I272</f>
        <v>771</v>
      </c>
      <c r="E272" s="12">
        <f>+J272</f>
        <v>33054.299999999996</v>
      </c>
      <c r="F272" s="12" t="s">
        <v>2002</v>
      </c>
      <c r="G272" s="12">
        <v>92991</v>
      </c>
      <c r="H272" s="40"/>
      <c r="I272" s="39">
        <v>771</v>
      </c>
      <c r="J272" s="41">
        <v>33054.299999999996</v>
      </c>
      <c r="K272" s="54">
        <f>+A272-D272</f>
        <v>0</v>
      </c>
      <c r="L272" s="33">
        <f t="shared" si="90"/>
        <v>2.2192311674481338E-2</v>
      </c>
    </row>
    <row r="273" spans="1:12" x14ac:dyDescent="0.3">
      <c r="A273" s="871">
        <v>564</v>
      </c>
      <c r="B273" s="873">
        <v>26701.5</v>
      </c>
      <c r="C273" s="873" t="s">
        <v>2003</v>
      </c>
      <c r="D273" s="873">
        <f>+I273+I274</f>
        <v>564</v>
      </c>
      <c r="E273" s="873">
        <f>+J273+J274</f>
        <v>25603.199999999997</v>
      </c>
      <c r="F273" s="12" t="s">
        <v>2004</v>
      </c>
      <c r="G273" s="12">
        <v>93001</v>
      </c>
      <c r="H273" s="40"/>
      <c r="I273" s="39">
        <v>400</v>
      </c>
      <c r="J273" s="41">
        <v>18177.599999999999</v>
      </c>
      <c r="K273" s="877">
        <f>+A273-D273</f>
        <v>0</v>
      </c>
      <c r="L273" s="879">
        <f t="shared" si="90"/>
        <v>4.1132520644907695E-2</v>
      </c>
    </row>
    <row r="274" spans="1:12" ht="15" thickBot="1" x14ac:dyDescent="0.35">
      <c r="A274" s="872"/>
      <c r="B274" s="874"/>
      <c r="C274" s="874"/>
      <c r="D274" s="874"/>
      <c r="E274" s="874"/>
      <c r="F274" s="10" t="s">
        <v>2004</v>
      </c>
      <c r="G274" s="10">
        <v>93001</v>
      </c>
      <c r="H274" s="43"/>
      <c r="I274" s="42">
        <v>164</v>
      </c>
      <c r="J274" s="44">
        <v>7425.6</v>
      </c>
      <c r="K274" s="878"/>
      <c r="L274" s="880"/>
    </row>
    <row r="275" spans="1:12" ht="15" thickBot="1" x14ac:dyDescent="0.35">
      <c r="A275" s="174">
        <v>96</v>
      </c>
      <c r="B275" s="12">
        <v>4386.25</v>
      </c>
      <c r="C275" s="12" t="s">
        <v>2005</v>
      </c>
      <c r="D275" s="12">
        <f>+I275</f>
        <v>96</v>
      </c>
      <c r="E275" s="12">
        <f>+J275</f>
        <v>4221.3999999999996</v>
      </c>
      <c r="F275" s="12" t="s">
        <v>2006</v>
      </c>
      <c r="G275" s="12">
        <v>93061</v>
      </c>
      <c r="H275" s="40"/>
      <c r="I275" s="39">
        <v>96</v>
      </c>
      <c r="J275" s="41">
        <v>4221.3999999999996</v>
      </c>
      <c r="K275" s="54">
        <f>+A275-D275</f>
        <v>0</v>
      </c>
      <c r="L275" s="33">
        <f t="shared" si="90"/>
        <v>3.7583357081789767E-2</v>
      </c>
    </row>
    <row r="276" spans="1:12" x14ac:dyDescent="0.3">
      <c r="A276" s="871">
        <v>1017</v>
      </c>
      <c r="B276" s="873">
        <v>49240.5</v>
      </c>
      <c r="C276" s="873" t="s">
        <v>2007</v>
      </c>
      <c r="D276" s="873">
        <f>+I276+I277</f>
        <v>1018</v>
      </c>
      <c r="E276" s="873">
        <f>+J276+J277</f>
        <v>48323.8</v>
      </c>
      <c r="F276" s="12" t="s">
        <v>2008</v>
      </c>
      <c r="G276" s="12">
        <v>93071</v>
      </c>
      <c r="H276" s="40"/>
      <c r="I276" s="39">
        <v>718</v>
      </c>
      <c r="J276" s="41">
        <v>34024.9</v>
      </c>
      <c r="K276" s="877">
        <f>+A276-D276</f>
        <v>-1</v>
      </c>
      <c r="L276" s="879">
        <f>((+B276/A276)-(E276/D276))/(B276/A276)</f>
        <v>1.9580819684404907E-2</v>
      </c>
    </row>
    <row r="277" spans="1:12" ht="15" thickBot="1" x14ac:dyDescent="0.35">
      <c r="A277" s="872"/>
      <c r="B277" s="881"/>
      <c r="C277" s="881"/>
      <c r="D277" s="881"/>
      <c r="E277" s="881"/>
      <c r="F277" s="15" t="s">
        <v>2008</v>
      </c>
      <c r="G277" s="15">
        <v>93071</v>
      </c>
      <c r="I277" s="50">
        <v>300</v>
      </c>
      <c r="J277" s="51">
        <v>14298.900000000001</v>
      </c>
      <c r="K277" s="878"/>
      <c r="L277" s="880"/>
    </row>
    <row r="278" spans="1:12" x14ac:dyDescent="0.3">
      <c r="A278" s="871">
        <v>1392</v>
      </c>
      <c r="B278" s="873">
        <v>65317.25</v>
      </c>
      <c r="C278" s="873" t="s">
        <v>2009</v>
      </c>
      <c r="D278" s="873">
        <f>+I278+I279</f>
        <v>1392</v>
      </c>
      <c r="E278" s="873">
        <f>+J278+J279</f>
        <v>62728.099999999991</v>
      </c>
      <c r="F278" s="12" t="s">
        <v>2010</v>
      </c>
      <c r="G278" s="12">
        <v>93101</v>
      </c>
      <c r="H278" s="40"/>
      <c r="I278" s="39">
        <v>922</v>
      </c>
      <c r="J278" s="41">
        <v>41720.399999999994</v>
      </c>
      <c r="K278" s="877">
        <f>+A278-D278</f>
        <v>0</v>
      </c>
      <c r="L278" s="879">
        <f t="shared" ref="L278" si="91">+(B278-E278)/B278</f>
        <v>3.9639605157902526E-2</v>
      </c>
    </row>
    <row r="279" spans="1:12" ht="15" thickBot="1" x14ac:dyDescent="0.35">
      <c r="A279" s="872"/>
      <c r="B279" s="874"/>
      <c r="C279" s="874"/>
      <c r="D279" s="874"/>
      <c r="E279" s="874"/>
      <c r="F279" s="10" t="s">
        <v>2010</v>
      </c>
      <c r="G279" s="10">
        <v>93101</v>
      </c>
      <c r="H279" s="43"/>
      <c r="I279" s="42">
        <v>470</v>
      </c>
      <c r="J279" s="44">
        <v>21007.7</v>
      </c>
      <c r="K279" s="878"/>
      <c r="L279" s="880"/>
    </row>
    <row r="280" spans="1:12" ht="15" thickBot="1" x14ac:dyDescent="0.35">
      <c r="A280" s="175">
        <v>1558</v>
      </c>
      <c r="B280" s="8">
        <v>68846.5</v>
      </c>
      <c r="C280" s="8" t="s">
        <v>2011</v>
      </c>
      <c r="D280" s="8">
        <v>1558</v>
      </c>
      <c r="E280" s="8">
        <v>66909</v>
      </c>
      <c r="F280" s="8" t="s">
        <v>2012</v>
      </c>
      <c r="G280" s="8">
        <v>93141</v>
      </c>
      <c r="H280" s="14"/>
      <c r="I280" s="45">
        <v>316</v>
      </c>
      <c r="J280" s="46">
        <v>13789.5</v>
      </c>
      <c r="K280" s="54">
        <f>+A280-D280</f>
        <v>0</v>
      </c>
      <c r="L280" s="33">
        <f t="shared" ref="L280:L283" si="92">+(B280-E280)/B280</f>
        <v>2.8142316602877415E-2</v>
      </c>
    </row>
    <row r="281" spans="1:12" ht="15" thickBot="1" x14ac:dyDescent="0.35">
      <c r="A281" s="175">
        <v>805</v>
      </c>
      <c r="B281" s="8">
        <v>36589.800000000003</v>
      </c>
      <c r="C281" s="8" t="s">
        <v>2044</v>
      </c>
      <c r="D281" s="8">
        <f t="shared" ref="D281:E282" si="93">+I281</f>
        <v>805</v>
      </c>
      <c r="E281" s="8">
        <f t="shared" si="93"/>
        <v>35388.699999999997</v>
      </c>
      <c r="F281" s="8" t="s">
        <v>2045</v>
      </c>
      <c r="G281" s="8">
        <v>93151</v>
      </c>
      <c r="H281" s="14"/>
      <c r="I281" s="45">
        <v>805</v>
      </c>
      <c r="J281" s="46">
        <v>35388.699999999997</v>
      </c>
      <c r="K281" s="54">
        <f>+A281-D281</f>
        <v>0</v>
      </c>
      <c r="L281" s="33">
        <f t="shared" si="92"/>
        <v>3.2826088144783674E-2</v>
      </c>
    </row>
    <row r="282" spans="1:12" ht="15" thickBot="1" x14ac:dyDescent="0.35">
      <c r="A282" s="175">
        <f>+D282</f>
        <v>300</v>
      </c>
      <c r="B282" s="8">
        <v>13861.5</v>
      </c>
      <c r="C282" s="8" t="s">
        <v>2046</v>
      </c>
      <c r="D282" s="8">
        <f t="shared" si="93"/>
        <v>300</v>
      </c>
      <c r="E282" s="8">
        <f t="shared" si="93"/>
        <v>13378.1</v>
      </c>
      <c r="F282" s="8" t="s">
        <v>2047</v>
      </c>
      <c r="G282" s="8">
        <v>93181</v>
      </c>
      <c r="H282" s="14"/>
      <c r="I282" s="45">
        <v>300</v>
      </c>
      <c r="J282" s="46">
        <v>13378.1</v>
      </c>
      <c r="K282" s="54">
        <f>+A282-D282</f>
        <v>0</v>
      </c>
      <c r="L282" s="33">
        <f t="shared" si="92"/>
        <v>3.4873570681383664E-2</v>
      </c>
    </row>
    <row r="283" spans="1:12" ht="15" thickBot="1" x14ac:dyDescent="0.35">
      <c r="A283" s="175">
        <v>1839</v>
      </c>
      <c r="B283" s="8">
        <v>86792.25</v>
      </c>
      <c r="C283" s="8" t="s">
        <v>2048</v>
      </c>
      <c r="D283" s="8">
        <f>+I283+1179</f>
        <v>1839</v>
      </c>
      <c r="E283" s="8">
        <f>+J283+53391.7</f>
        <v>83607.100000000006</v>
      </c>
      <c r="F283" s="8" t="s">
        <v>2049</v>
      </c>
      <c r="G283" s="8">
        <v>93191</v>
      </c>
      <c r="H283" s="14"/>
      <c r="I283" s="45">
        <v>660</v>
      </c>
      <c r="J283" s="46">
        <v>30215.4</v>
      </c>
      <c r="K283" s="54">
        <f>+A283-D283</f>
        <v>0</v>
      </c>
      <c r="L283" s="33">
        <f t="shared" si="92"/>
        <v>3.669855315422741E-2</v>
      </c>
    </row>
    <row r="284" spans="1:12" x14ac:dyDescent="0.3">
      <c r="A284" s="935">
        <v>1788</v>
      </c>
      <c r="B284" s="908">
        <v>90701</v>
      </c>
      <c r="C284" s="908" t="s">
        <v>2156</v>
      </c>
      <c r="D284" s="873">
        <f>+I284+I285+I286</f>
        <v>1789</v>
      </c>
      <c r="E284" s="873">
        <f>+J284+J285+J286</f>
        <v>85851.5</v>
      </c>
      <c r="F284" s="12" t="s">
        <v>2157</v>
      </c>
      <c r="G284" s="12">
        <v>93261</v>
      </c>
      <c r="H284" s="40"/>
      <c r="I284" s="39">
        <v>1195</v>
      </c>
      <c r="J284" s="41">
        <v>56806.8</v>
      </c>
      <c r="K284" s="877">
        <f>+A284-D284</f>
        <v>-1</v>
      </c>
      <c r="L284" s="879">
        <f>((+B284/A284)-(E284/D284))/(B284/A284)</f>
        <v>5.3995970728926944E-2</v>
      </c>
    </row>
    <row r="285" spans="1:12" x14ac:dyDescent="0.3">
      <c r="A285" s="936"/>
      <c r="B285" s="909"/>
      <c r="C285" s="909"/>
      <c r="D285" s="881"/>
      <c r="E285" s="881"/>
      <c r="F285" s="15" t="s">
        <v>2157</v>
      </c>
      <c r="G285" s="15">
        <v>93261</v>
      </c>
      <c r="I285" s="50">
        <v>150</v>
      </c>
      <c r="J285" s="51">
        <v>7130</v>
      </c>
      <c r="K285" s="886"/>
      <c r="L285" s="885"/>
    </row>
    <row r="286" spans="1:12" ht="15" thickBot="1" x14ac:dyDescent="0.35">
      <c r="A286" s="937"/>
      <c r="B286" s="910"/>
      <c r="C286" s="910"/>
      <c r="D286" s="874"/>
      <c r="E286" s="874"/>
      <c r="F286" s="10" t="s">
        <v>2157</v>
      </c>
      <c r="G286" s="10">
        <v>93261</v>
      </c>
      <c r="H286" s="43"/>
      <c r="I286" s="42">
        <v>444</v>
      </c>
      <c r="J286" s="44">
        <v>21914.7</v>
      </c>
      <c r="K286" s="878"/>
      <c r="L286" s="880"/>
    </row>
    <row r="287" spans="1:12" ht="15" thickBot="1" x14ac:dyDescent="0.35">
      <c r="A287" s="255">
        <v>475</v>
      </c>
      <c r="B287" s="256">
        <v>23343.5</v>
      </c>
      <c r="C287" s="256" t="s">
        <v>2158</v>
      </c>
      <c r="D287" s="8">
        <f t="shared" ref="D287:E298" si="94">+I287</f>
        <v>478</v>
      </c>
      <c r="E287" s="8">
        <f t="shared" si="94"/>
        <v>22569.7</v>
      </c>
      <c r="F287" s="8" t="s">
        <v>2159</v>
      </c>
      <c r="G287" s="8">
        <v>93271</v>
      </c>
      <c r="H287" s="14"/>
      <c r="I287" s="45">
        <v>478</v>
      </c>
      <c r="J287" s="46">
        <v>22569.7</v>
      </c>
      <c r="K287" s="54">
        <f t="shared" ref="K287:K303" si="95">+A287-D287</f>
        <v>-3</v>
      </c>
      <c r="L287" s="53">
        <f>((+B287/A287)-(E287/D287))/(B287/A287)</f>
        <v>3.9216520094248114E-2</v>
      </c>
    </row>
    <row r="288" spans="1:12" ht="15" thickBot="1" x14ac:dyDescent="0.35">
      <c r="A288" s="255">
        <v>596</v>
      </c>
      <c r="B288" s="256">
        <v>27559.599999999999</v>
      </c>
      <c r="C288" s="256" t="s">
        <v>2160</v>
      </c>
      <c r="D288" s="8">
        <v>596</v>
      </c>
      <c r="E288" s="8">
        <f t="shared" si="94"/>
        <v>26712.400000000001</v>
      </c>
      <c r="F288" s="8" t="s">
        <v>2161</v>
      </c>
      <c r="G288" s="8">
        <v>93361</v>
      </c>
      <c r="H288" s="14"/>
      <c r="I288" s="45">
        <v>496</v>
      </c>
      <c r="J288" s="46">
        <v>26712.400000000001</v>
      </c>
      <c r="K288" s="54">
        <f t="shared" si="95"/>
        <v>0</v>
      </c>
      <c r="L288" s="53">
        <f>((+B288/A288)-(E288/D288))/(B288/A288)</f>
        <v>3.0740649356304044E-2</v>
      </c>
    </row>
    <row r="289" spans="1:12" ht="15" thickBot="1" x14ac:dyDescent="0.35">
      <c r="A289" s="255">
        <v>21</v>
      </c>
      <c r="B289" s="256">
        <v>1049.2</v>
      </c>
      <c r="C289" s="256" t="s">
        <v>2162</v>
      </c>
      <c r="D289" s="8">
        <f t="shared" si="94"/>
        <v>20</v>
      </c>
      <c r="E289" s="8">
        <f t="shared" si="94"/>
        <v>977.7</v>
      </c>
      <c r="F289" s="8" t="s">
        <v>2163</v>
      </c>
      <c r="G289" s="8">
        <v>93371</v>
      </c>
      <c r="H289" s="14"/>
      <c r="I289" s="45">
        <v>20</v>
      </c>
      <c r="J289" s="46">
        <v>977.7</v>
      </c>
      <c r="K289" s="54">
        <f t="shared" si="95"/>
        <v>1</v>
      </c>
      <c r="L289" s="53">
        <f>((+B289/A289)-(E289/D289))/(B289/A289)</f>
        <v>2.1554517727792506E-2</v>
      </c>
    </row>
    <row r="290" spans="1:12" ht="15" thickBot="1" x14ac:dyDescent="0.35">
      <c r="A290" s="255">
        <v>228</v>
      </c>
      <c r="B290" s="256">
        <v>8808.25</v>
      </c>
      <c r="C290" s="256" t="s">
        <v>2164</v>
      </c>
      <c r="D290" s="8">
        <f t="shared" si="94"/>
        <v>228</v>
      </c>
      <c r="E290" s="8">
        <f t="shared" si="94"/>
        <v>8658</v>
      </c>
      <c r="F290" s="8" t="s">
        <v>2165</v>
      </c>
      <c r="G290" s="8">
        <v>93381</v>
      </c>
      <c r="H290" s="14"/>
      <c r="I290" s="45">
        <v>228</v>
      </c>
      <c r="J290" s="46">
        <v>8658</v>
      </c>
      <c r="K290" s="54">
        <f t="shared" si="95"/>
        <v>0</v>
      </c>
      <c r="L290" s="33">
        <f t="shared" ref="L290" si="96">+(B290-E290)/B290</f>
        <v>1.7057871881474753E-2</v>
      </c>
    </row>
    <row r="291" spans="1:12" ht="15" thickBot="1" x14ac:dyDescent="0.35">
      <c r="A291" s="255">
        <v>400</v>
      </c>
      <c r="B291" s="256">
        <v>16226.5</v>
      </c>
      <c r="C291" s="256" t="s">
        <v>2166</v>
      </c>
      <c r="D291" s="8">
        <f t="shared" si="94"/>
        <v>399</v>
      </c>
      <c r="E291" s="8">
        <f t="shared" si="94"/>
        <v>15941.9</v>
      </c>
      <c r="F291" s="8" t="s">
        <v>2167</v>
      </c>
      <c r="G291" s="8">
        <v>93471</v>
      </c>
      <c r="H291" s="14"/>
      <c r="I291" s="45">
        <v>399</v>
      </c>
      <c r="J291" s="46">
        <v>15941.9</v>
      </c>
      <c r="K291" s="54">
        <f t="shared" si="95"/>
        <v>1</v>
      </c>
      <c r="L291" s="53">
        <f>((+B291/A291)-(E291/D291))/(B291/A291)</f>
        <v>1.5076902807661555E-2</v>
      </c>
    </row>
    <row r="292" spans="1:12" ht="15" thickBot="1" x14ac:dyDescent="0.35">
      <c r="A292" s="255">
        <v>200</v>
      </c>
      <c r="B292" s="256">
        <v>7942.25</v>
      </c>
      <c r="C292" s="256" t="s">
        <v>2168</v>
      </c>
      <c r="D292" s="8">
        <f t="shared" si="94"/>
        <v>200</v>
      </c>
      <c r="E292" s="8">
        <f t="shared" si="94"/>
        <v>7814.4</v>
      </c>
      <c r="F292" s="8" t="s">
        <v>2169</v>
      </c>
      <c r="G292" s="8">
        <v>93481</v>
      </c>
      <c r="H292" s="14"/>
      <c r="I292" s="45">
        <v>200</v>
      </c>
      <c r="J292" s="46">
        <v>7814.4</v>
      </c>
      <c r="K292" s="54">
        <f t="shared" si="95"/>
        <v>0</v>
      </c>
      <c r="L292" s="33">
        <f t="shared" ref="L292:L296" si="97">+(B292-E292)/B292</f>
        <v>1.6097453492398297E-2</v>
      </c>
    </row>
    <row r="293" spans="1:12" ht="15" thickBot="1" x14ac:dyDescent="0.35">
      <c r="A293" s="255">
        <v>250</v>
      </c>
      <c r="B293" s="256">
        <v>11052.5</v>
      </c>
      <c r="C293" s="256" t="s">
        <v>2170</v>
      </c>
      <c r="D293" s="8">
        <f t="shared" si="94"/>
        <v>250</v>
      </c>
      <c r="E293" s="8">
        <f t="shared" si="94"/>
        <v>10712</v>
      </c>
      <c r="F293" s="8" t="s">
        <v>2171</v>
      </c>
      <c r="G293" s="8">
        <v>93491</v>
      </c>
      <c r="H293" s="14"/>
      <c r="I293" s="45">
        <v>250</v>
      </c>
      <c r="J293" s="46">
        <v>10712</v>
      </c>
      <c r="K293" s="54">
        <f t="shared" si="95"/>
        <v>0</v>
      </c>
      <c r="L293" s="33">
        <f t="shared" si="97"/>
        <v>3.0807509613209681E-2</v>
      </c>
    </row>
    <row r="294" spans="1:12" ht="15" thickBot="1" x14ac:dyDescent="0.35">
      <c r="A294" s="255">
        <v>220</v>
      </c>
      <c r="B294" s="256">
        <v>9138.25</v>
      </c>
      <c r="C294" s="256" t="s">
        <v>2172</v>
      </c>
      <c r="D294" s="8">
        <f t="shared" si="94"/>
        <v>220</v>
      </c>
      <c r="E294" s="8">
        <f t="shared" si="94"/>
        <v>8930.7999999999993</v>
      </c>
      <c r="F294" s="8" t="s">
        <v>2173</v>
      </c>
      <c r="G294" s="8">
        <v>93511</v>
      </c>
      <c r="H294" s="14"/>
      <c r="I294" s="45">
        <v>220</v>
      </c>
      <c r="J294" s="46">
        <v>8930.7999999999993</v>
      </c>
      <c r="K294" s="54">
        <f t="shared" si="95"/>
        <v>0</v>
      </c>
      <c r="L294" s="33">
        <f t="shared" si="97"/>
        <v>2.2701283068421275E-2</v>
      </c>
    </row>
    <row r="295" spans="1:12" ht="15" thickBot="1" x14ac:dyDescent="0.35">
      <c r="A295" s="255">
        <v>150</v>
      </c>
      <c r="B295" s="256">
        <v>7051</v>
      </c>
      <c r="C295" s="256" t="s">
        <v>2174</v>
      </c>
      <c r="D295" s="8">
        <f t="shared" si="94"/>
        <v>150</v>
      </c>
      <c r="E295" s="8">
        <f t="shared" si="94"/>
        <v>7038.2</v>
      </c>
      <c r="F295" s="8" t="s">
        <v>2175</v>
      </c>
      <c r="G295" s="8">
        <v>93541</v>
      </c>
      <c r="H295" s="14"/>
      <c r="I295" s="45">
        <v>150</v>
      </c>
      <c r="J295" s="46">
        <v>7038.2</v>
      </c>
      <c r="K295" s="54">
        <f t="shared" si="95"/>
        <v>0</v>
      </c>
      <c r="L295" s="33">
        <f t="shared" si="97"/>
        <v>1.8153453410863964E-3</v>
      </c>
    </row>
    <row r="296" spans="1:12" ht="15" thickBot="1" x14ac:dyDescent="0.35">
      <c r="A296" s="175">
        <f t="shared" ref="A296" si="98">+D296</f>
        <v>450</v>
      </c>
      <c r="B296" s="8">
        <v>20031.25</v>
      </c>
      <c r="C296" s="8" t="s">
        <v>2176</v>
      </c>
      <c r="D296" s="8">
        <f t="shared" si="94"/>
        <v>450</v>
      </c>
      <c r="E296" s="8">
        <f t="shared" si="94"/>
        <v>19379.5</v>
      </c>
      <c r="F296" s="8" t="s">
        <v>2177</v>
      </c>
      <c r="G296" s="8">
        <v>93551</v>
      </c>
      <c r="H296" s="14"/>
      <c r="I296" s="45">
        <v>450</v>
      </c>
      <c r="J296" s="46">
        <v>19379.5</v>
      </c>
      <c r="K296" s="54">
        <f t="shared" si="95"/>
        <v>0</v>
      </c>
      <c r="L296" s="33">
        <f t="shared" si="97"/>
        <v>3.2536661466458658E-2</v>
      </c>
    </row>
    <row r="297" spans="1:12" ht="15" thickBot="1" x14ac:dyDescent="0.35">
      <c r="A297" s="175">
        <v>1071</v>
      </c>
      <c r="B297" s="8">
        <v>49951</v>
      </c>
      <c r="C297" s="8" t="s">
        <v>2178</v>
      </c>
      <c r="D297" s="8">
        <f t="shared" si="94"/>
        <v>1073</v>
      </c>
      <c r="E297" s="8">
        <f t="shared" si="94"/>
        <v>47838.2</v>
      </c>
      <c r="F297" s="8" t="s">
        <v>2179</v>
      </c>
      <c r="G297" s="8">
        <v>93561</v>
      </c>
      <c r="H297" s="14"/>
      <c r="I297" s="45">
        <v>1073</v>
      </c>
      <c r="J297" s="46">
        <v>47838.2</v>
      </c>
      <c r="K297" s="54">
        <f t="shared" si="95"/>
        <v>-2</v>
      </c>
      <c r="L297" s="53">
        <f>((+B297/A297)-(E297/D297))/(B297/A297)</f>
        <v>4.4082544789513504E-2</v>
      </c>
    </row>
    <row r="298" spans="1:12" ht="15" thickBot="1" x14ac:dyDescent="0.35">
      <c r="A298" s="175">
        <v>250</v>
      </c>
      <c r="B298" s="8">
        <v>10384</v>
      </c>
      <c r="C298" s="8" t="s">
        <v>2180</v>
      </c>
      <c r="D298" s="8">
        <f t="shared" si="94"/>
        <v>250</v>
      </c>
      <c r="E298" s="8">
        <f t="shared" si="94"/>
        <v>10148.9</v>
      </c>
      <c r="F298" s="8" t="s">
        <v>2181</v>
      </c>
      <c r="G298" s="8">
        <v>93621</v>
      </c>
      <c r="H298" s="14"/>
      <c r="I298" s="45">
        <v>250</v>
      </c>
      <c r="J298" s="46">
        <v>10148.9</v>
      </c>
      <c r="K298" s="54">
        <f t="shared" si="95"/>
        <v>0</v>
      </c>
      <c r="L298" s="33">
        <f t="shared" ref="L298:L303" si="99">+(B298-E298)/B298</f>
        <v>2.2640600924499266E-2</v>
      </c>
    </row>
    <row r="299" spans="1:12" ht="15" thickBot="1" x14ac:dyDescent="0.35">
      <c r="A299" s="175">
        <v>2750</v>
      </c>
      <c r="B299" s="8">
        <v>126943.3</v>
      </c>
      <c r="C299" s="8" t="s">
        <v>2182</v>
      </c>
      <c r="D299" s="8">
        <v>2747</v>
      </c>
      <c r="E299" s="8">
        <v>122173</v>
      </c>
      <c r="F299" s="8" t="s">
        <v>2183</v>
      </c>
      <c r="G299" s="8">
        <v>93631</v>
      </c>
      <c r="H299" s="14"/>
      <c r="I299" s="45">
        <v>373</v>
      </c>
      <c r="J299" s="46">
        <v>15899.3</v>
      </c>
      <c r="K299" s="54">
        <f t="shared" si="95"/>
        <v>3</v>
      </c>
      <c r="L299" s="53">
        <f>((+B299/A299)-(E299/D299))/(B299/A299)</f>
        <v>3.6527133049813719E-2</v>
      </c>
    </row>
    <row r="300" spans="1:12" ht="15" thickBot="1" x14ac:dyDescent="0.35">
      <c r="A300" s="175">
        <v>1573</v>
      </c>
      <c r="B300" s="8">
        <v>73409.899999999994</v>
      </c>
      <c r="C300" s="8" t="s">
        <v>2184</v>
      </c>
      <c r="D300" s="8">
        <f>+I300</f>
        <v>1573</v>
      </c>
      <c r="E300" s="8">
        <f>+J300</f>
        <v>70166.7</v>
      </c>
      <c r="F300" s="8" t="s">
        <v>2185</v>
      </c>
      <c r="G300" s="8">
        <v>93701</v>
      </c>
      <c r="H300" s="14"/>
      <c r="I300" s="45">
        <v>1573</v>
      </c>
      <c r="J300" s="46">
        <v>70166.7</v>
      </c>
      <c r="K300" s="54">
        <f t="shared" si="95"/>
        <v>0</v>
      </c>
      <c r="L300" s="33">
        <f t="shared" si="99"/>
        <v>4.4179327311438886E-2</v>
      </c>
    </row>
    <row r="301" spans="1:12" ht="15" thickBot="1" x14ac:dyDescent="0.35">
      <c r="A301" s="175">
        <v>253</v>
      </c>
      <c r="B301" s="8">
        <v>10545.5</v>
      </c>
      <c r="C301" s="8" t="s">
        <v>2264</v>
      </c>
      <c r="D301" s="8">
        <f t="shared" ref="D301:E302" si="100">+I301</f>
        <v>253</v>
      </c>
      <c r="E301" s="8">
        <f t="shared" si="100"/>
        <v>10163.4</v>
      </c>
      <c r="F301" s="8" t="s">
        <v>2265</v>
      </c>
      <c r="G301" s="8">
        <v>93711</v>
      </c>
      <c r="H301" s="14"/>
      <c r="I301" s="45">
        <v>253</v>
      </c>
      <c r="J301" s="46">
        <v>10163.4</v>
      </c>
      <c r="K301" s="54">
        <f t="shared" si="95"/>
        <v>0</v>
      </c>
      <c r="L301" s="33">
        <f t="shared" si="99"/>
        <v>3.6233464510928869E-2</v>
      </c>
    </row>
    <row r="302" spans="1:12" ht="15" thickBot="1" x14ac:dyDescent="0.35">
      <c r="A302" s="174">
        <v>657</v>
      </c>
      <c r="B302" s="12">
        <v>30591</v>
      </c>
      <c r="C302" s="12" t="s">
        <v>2266</v>
      </c>
      <c r="D302" s="12">
        <f t="shared" si="100"/>
        <v>655</v>
      </c>
      <c r="E302" s="12">
        <f t="shared" si="100"/>
        <v>29550.5</v>
      </c>
      <c r="F302" s="12" t="s">
        <v>2267</v>
      </c>
      <c r="G302" s="12">
        <v>93721</v>
      </c>
      <c r="H302" s="40"/>
      <c r="I302" s="39">
        <v>655</v>
      </c>
      <c r="J302" s="41">
        <v>29550.5</v>
      </c>
      <c r="K302" s="54">
        <f t="shared" si="95"/>
        <v>2</v>
      </c>
      <c r="L302" s="53">
        <f>((+B302/A302)-(E302/D302))/(B302/A302)</f>
        <v>3.1063694081555151E-2</v>
      </c>
    </row>
    <row r="303" spans="1:12" x14ac:dyDescent="0.3">
      <c r="A303" s="871">
        <v>2197</v>
      </c>
      <c r="B303" s="873">
        <v>95244.25</v>
      </c>
      <c r="C303" s="873" t="s">
        <v>2268</v>
      </c>
      <c r="D303" s="873">
        <f>+I303+I304+I305</f>
        <v>2197</v>
      </c>
      <c r="E303" s="873">
        <f>+J303+J304+J305</f>
        <v>92769</v>
      </c>
      <c r="F303" s="12" t="s">
        <v>2269</v>
      </c>
      <c r="G303" s="12">
        <v>93731</v>
      </c>
      <c r="H303" s="40"/>
      <c r="I303" s="39">
        <v>750</v>
      </c>
      <c r="J303" s="41">
        <v>31839.599999999999</v>
      </c>
      <c r="K303" s="882">
        <f t="shared" si="95"/>
        <v>0</v>
      </c>
      <c r="L303" s="879">
        <f t="shared" si="99"/>
        <v>2.5988445496709776E-2</v>
      </c>
    </row>
    <row r="304" spans="1:12" x14ac:dyDescent="0.3">
      <c r="A304" s="875"/>
      <c r="B304" s="881"/>
      <c r="C304" s="881"/>
      <c r="D304" s="881"/>
      <c r="E304" s="881"/>
      <c r="F304" s="15" t="s">
        <v>2269</v>
      </c>
      <c r="G304" s="15">
        <v>93731</v>
      </c>
      <c r="I304" s="50">
        <v>1000</v>
      </c>
      <c r="J304" s="51">
        <v>42063.5</v>
      </c>
      <c r="K304" s="883"/>
      <c r="L304" s="885"/>
    </row>
    <row r="305" spans="1:12" ht="15" thickBot="1" x14ac:dyDescent="0.35">
      <c r="A305" s="872"/>
      <c r="B305" s="874"/>
      <c r="C305" s="874"/>
      <c r="D305" s="874"/>
      <c r="E305" s="874"/>
      <c r="F305" s="10" t="s">
        <v>2269</v>
      </c>
      <c r="G305" s="10">
        <v>93731</v>
      </c>
      <c r="H305" s="43"/>
      <c r="I305" s="42">
        <v>447</v>
      </c>
      <c r="J305" s="44">
        <v>18865.900000000001</v>
      </c>
      <c r="K305" s="884"/>
      <c r="L305" s="880"/>
    </row>
    <row r="306" spans="1:12" ht="15" thickBot="1" x14ac:dyDescent="0.35">
      <c r="A306" s="174">
        <v>603</v>
      </c>
      <c r="B306" s="12">
        <v>27164.75</v>
      </c>
      <c r="C306" s="12" t="s">
        <v>2270</v>
      </c>
      <c r="D306" s="12">
        <f>+I306</f>
        <v>603</v>
      </c>
      <c r="E306" s="12">
        <f>+J306</f>
        <v>26260.399999999998</v>
      </c>
      <c r="F306" s="12" t="s">
        <v>2271</v>
      </c>
      <c r="G306" s="12">
        <v>93821</v>
      </c>
      <c r="H306" s="40"/>
      <c r="I306" s="39">
        <v>603</v>
      </c>
      <c r="J306" s="41">
        <v>26260.399999999998</v>
      </c>
      <c r="K306" s="54">
        <f>+A306-D306</f>
        <v>0</v>
      </c>
      <c r="L306" s="33">
        <f t="shared" ref="L306:L307" si="101">+(B306-E306)/B306</f>
        <v>3.3291305828325395E-2</v>
      </c>
    </row>
    <row r="307" spans="1:12" x14ac:dyDescent="0.3">
      <c r="A307" s="871">
        <v>1030</v>
      </c>
      <c r="B307" s="873">
        <v>40926.25</v>
      </c>
      <c r="C307" s="873" t="s">
        <v>2272</v>
      </c>
      <c r="D307" s="873">
        <f>+I307+I308</f>
        <v>1030</v>
      </c>
      <c r="E307" s="873">
        <f>+J307+J308</f>
        <v>40230.100000000006</v>
      </c>
      <c r="F307" s="12" t="s">
        <v>2273</v>
      </c>
      <c r="G307" s="12">
        <v>92841</v>
      </c>
      <c r="H307" s="40"/>
      <c r="I307" s="39">
        <v>497</v>
      </c>
      <c r="J307" s="41">
        <v>19275.100000000002</v>
      </c>
      <c r="K307" s="882">
        <f>+A307-D307</f>
        <v>0</v>
      </c>
      <c r="L307" s="879">
        <f t="shared" si="101"/>
        <v>1.70098653064963E-2</v>
      </c>
    </row>
    <row r="308" spans="1:12" ht="15" thickBot="1" x14ac:dyDescent="0.35">
      <c r="A308" s="872"/>
      <c r="B308" s="874"/>
      <c r="C308" s="874"/>
      <c r="D308" s="874"/>
      <c r="E308" s="874"/>
      <c r="F308" s="10" t="s">
        <v>2273</v>
      </c>
      <c r="G308" s="10">
        <v>92841</v>
      </c>
      <c r="H308" s="43"/>
      <c r="I308" s="42">
        <v>533</v>
      </c>
      <c r="J308" s="44">
        <v>20955</v>
      </c>
      <c r="K308" s="884"/>
      <c r="L308" s="880"/>
    </row>
    <row r="309" spans="1:12" x14ac:dyDescent="0.3">
      <c r="A309" s="871">
        <v>2442</v>
      </c>
      <c r="B309" s="873">
        <v>100784.75</v>
      </c>
      <c r="C309" s="873" t="s">
        <v>2274</v>
      </c>
      <c r="D309" s="873">
        <f>+I309+I310+I311</f>
        <v>2435</v>
      </c>
      <c r="E309" s="873">
        <f>+J309+J310+J311</f>
        <v>98044.9</v>
      </c>
      <c r="F309" s="12" t="s">
        <v>2275</v>
      </c>
      <c r="G309" s="12">
        <v>93901</v>
      </c>
      <c r="H309" s="40"/>
      <c r="I309" s="39">
        <v>800</v>
      </c>
      <c r="J309" s="41">
        <v>32235.599999999999</v>
      </c>
      <c r="K309" s="877">
        <f>+A309-D309</f>
        <v>7</v>
      </c>
      <c r="L309" s="879">
        <f>((+B309/A309)-(E309/D309))/(B309/A309)</f>
        <v>2.4388571465710485E-2</v>
      </c>
    </row>
    <row r="310" spans="1:12" x14ac:dyDescent="0.3">
      <c r="A310" s="875"/>
      <c r="B310" s="881"/>
      <c r="C310" s="881"/>
      <c r="D310" s="881"/>
      <c r="E310" s="881"/>
      <c r="F310" s="15" t="s">
        <v>2275</v>
      </c>
      <c r="G310" s="15">
        <v>93901</v>
      </c>
      <c r="I310" s="50">
        <v>1200</v>
      </c>
      <c r="J310" s="51">
        <v>47950.3</v>
      </c>
      <c r="K310" s="886"/>
      <c r="L310" s="885"/>
    </row>
    <row r="311" spans="1:12" ht="15" thickBot="1" x14ac:dyDescent="0.35">
      <c r="A311" s="872"/>
      <c r="B311" s="874"/>
      <c r="C311" s="874"/>
      <c r="D311" s="874"/>
      <c r="E311" s="874"/>
      <c r="F311" s="10" t="s">
        <v>2275</v>
      </c>
      <c r="G311" s="10">
        <v>93901</v>
      </c>
      <c r="H311" s="43"/>
      <c r="I311" s="42">
        <v>435</v>
      </c>
      <c r="J311" s="44">
        <v>17859</v>
      </c>
      <c r="K311" s="878"/>
      <c r="L311" s="880"/>
    </row>
    <row r="312" spans="1:12" ht="15" thickBot="1" x14ac:dyDescent="0.35">
      <c r="A312" s="174">
        <v>178</v>
      </c>
      <c r="B312" s="12">
        <v>7678.5</v>
      </c>
      <c r="C312" s="12" t="s">
        <v>2276</v>
      </c>
      <c r="D312" s="12">
        <f>+I312</f>
        <v>178</v>
      </c>
      <c r="E312" s="12">
        <f>+J312</f>
        <v>7420.8</v>
      </c>
      <c r="F312" s="12" t="s">
        <v>2277</v>
      </c>
      <c r="G312" s="12">
        <v>93971</v>
      </c>
      <c r="H312" s="40"/>
      <c r="I312" s="39">
        <v>178</v>
      </c>
      <c r="J312" s="41">
        <v>7420.8</v>
      </c>
      <c r="K312" s="54">
        <f>+A312-D312</f>
        <v>0</v>
      </c>
      <c r="L312" s="33">
        <f t="shared" ref="L312:L313" si="102">+(B312-E312)/B312</f>
        <v>3.3561242430162119E-2</v>
      </c>
    </row>
    <row r="313" spans="1:12" x14ac:dyDescent="0.3">
      <c r="A313" s="871">
        <v>1449</v>
      </c>
      <c r="B313" s="873">
        <v>60598.5</v>
      </c>
      <c r="C313" s="873" t="s">
        <v>2278</v>
      </c>
      <c r="D313" s="873">
        <f>+I313+I314</f>
        <v>1449</v>
      </c>
      <c r="E313" s="873">
        <f>+J313+J314</f>
        <v>59025.400000000009</v>
      </c>
      <c r="F313" s="12" t="s">
        <v>2279</v>
      </c>
      <c r="G313" s="12">
        <v>93981</v>
      </c>
      <c r="H313" s="40"/>
      <c r="I313" s="39">
        <v>1250</v>
      </c>
      <c r="J313" s="41">
        <v>50937.600000000006</v>
      </c>
      <c r="K313" s="882">
        <f>+A313-D313</f>
        <v>0</v>
      </c>
      <c r="L313" s="879">
        <f t="shared" si="102"/>
        <v>2.5959388433706963E-2</v>
      </c>
    </row>
    <row r="314" spans="1:12" ht="15" thickBot="1" x14ac:dyDescent="0.35">
      <c r="A314" s="872"/>
      <c r="B314" s="874"/>
      <c r="C314" s="874"/>
      <c r="D314" s="874"/>
      <c r="E314" s="874"/>
      <c r="F314" s="10" t="s">
        <v>2279</v>
      </c>
      <c r="G314" s="10">
        <v>93981</v>
      </c>
      <c r="H314" s="43"/>
      <c r="I314" s="42">
        <v>199</v>
      </c>
      <c r="J314" s="44">
        <v>8087.8</v>
      </c>
      <c r="K314" s="884"/>
      <c r="L314" s="880"/>
    </row>
    <row r="315" spans="1:12" ht="15" thickBot="1" x14ac:dyDescent="0.35">
      <c r="A315" s="175">
        <v>160</v>
      </c>
      <c r="B315" s="8">
        <v>6550.5</v>
      </c>
      <c r="C315" s="8" t="s">
        <v>2280</v>
      </c>
      <c r="D315" s="8">
        <f t="shared" ref="D315:E318" si="103">+I315</f>
        <v>160</v>
      </c>
      <c r="E315" s="8">
        <f t="shared" si="103"/>
        <v>6405.5</v>
      </c>
      <c r="F315" s="8" t="s">
        <v>2281</v>
      </c>
      <c r="G315" s="8">
        <v>94031</v>
      </c>
      <c r="H315" s="14"/>
      <c r="I315" s="45">
        <v>160</v>
      </c>
      <c r="J315" s="46">
        <v>6405.5</v>
      </c>
      <c r="K315" s="54">
        <f t="shared" ref="K315:K320" si="104">+A315-D315</f>
        <v>0</v>
      </c>
      <c r="L315" s="33">
        <f t="shared" ref="L315:L320" si="105">+(B315-E315)/B315</f>
        <v>2.2135714830928938E-2</v>
      </c>
    </row>
    <row r="316" spans="1:12" ht="15" thickBot="1" x14ac:dyDescent="0.35">
      <c r="A316" s="175">
        <v>364</v>
      </c>
      <c r="B316" s="8">
        <v>14680.25</v>
      </c>
      <c r="C316" s="8" t="s">
        <v>2282</v>
      </c>
      <c r="D316" s="8">
        <f t="shared" si="103"/>
        <v>364</v>
      </c>
      <c r="E316" s="8">
        <f t="shared" si="103"/>
        <v>14362.8</v>
      </c>
      <c r="F316" s="8" t="s">
        <v>2283</v>
      </c>
      <c r="G316" s="8">
        <v>94041</v>
      </c>
      <c r="H316" s="14"/>
      <c r="I316" s="45">
        <v>364</v>
      </c>
      <c r="J316" s="46">
        <v>14362.8</v>
      </c>
      <c r="K316" s="54">
        <f t="shared" si="104"/>
        <v>0</v>
      </c>
      <c r="L316" s="33">
        <f t="shared" si="105"/>
        <v>2.1624291139456121E-2</v>
      </c>
    </row>
    <row r="317" spans="1:12" ht="15" thickBot="1" x14ac:dyDescent="0.35">
      <c r="A317" s="175">
        <v>487</v>
      </c>
      <c r="B317" s="8">
        <v>19722.5</v>
      </c>
      <c r="C317" s="8" t="s">
        <v>2284</v>
      </c>
      <c r="D317" s="8">
        <f t="shared" si="103"/>
        <v>487</v>
      </c>
      <c r="E317" s="8">
        <f t="shared" si="103"/>
        <v>19521.2</v>
      </c>
      <c r="F317" s="8" t="s">
        <v>2285</v>
      </c>
      <c r="G317" s="8">
        <v>94071</v>
      </c>
      <c r="H317" s="14"/>
      <c r="I317" s="45">
        <v>487</v>
      </c>
      <c r="J317" s="46">
        <v>19521.2</v>
      </c>
      <c r="K317" s="54">
        <f t="shared" si="104"/>
        <v>0</v>
      </c>
      <c r="L317" s="33">
        <f t="shared" si="105"/>
        <v>1.0206616808213931E-2</v>
      </c>
    </row>
    <row r="318" spans="1:12" ht="15" thickBot="1" x14ac:dyDescent="0.35">
      <c r="A318" s="175">
        <v>218</v>
      </c>
      <c r="B318" s="8">
        <v>8432.5</v>
      </c>
      <c r="C318" s="8" t="s">
        <v>2286</v>
      </c>
      <c r="D318" s="8">
        <f t="shared" si="103"/>
        <v>218</v>
      </c>
      <c r="E318" s="8">
        <f t="shared" si="103"/>
        <v>8419.2000000000007</v>
      </c>
      <c r="F318" s="8" t="s">
        <v>2287</v>
      </c>
      <c r="G318" s="8">
        <v>94081</v>
      </c>
      <c r="H318" s="14"/>
      <c r="I318" s="45">
        <v>218</v>
      </c>
      <c r="J318" s="46">
        <v>8419.2000000000007</v>
      </c>
      <c r="K318" s="54">
        <f t="shared" si="104"/>
        <v>0</v>
      </c>
      <c r="L318" s="33">
        <f t="shared" si="105"/>
        <v>1.5772309516749804E-3</v>
      </c>
    </row>
    <row r="319" spans="1:12" ht="15" thickBot="1" x14ac:dyDescent="0.35">
      <c r="A319" s="175">
        <v>320</v>
      </c>
      <c r="B319" s="8">
        <v>12420</v>
      </c>
      <c r="C319" s="8" t="s">
        <v>2288</v>
      </c>
      <c r="D319" s="8">
        <f>+I319</f>
        <v>320</v>
      </c>
      <c r="E319" s="8">
        <f>+J319</f>
        <v>12037.400000000001</v>
      </c>
      <c r="F319" s="8" t="s">
        <v>2289</v>
      </c>
      <c r="G319" s="8">
        <v>94131</v>
      </c>
      <c r="H319" s="14"/>
      <c r="I319" s="45">
        <v>320</v>
      </c>
      <c r="J319" s="46">
        <v>12037.400000000001</v>
      </c>
      <c r="K319" s="54">
        <f t="shared" si="104"/>
        <v>0</v>
      </c>
      <c r="L319" s="33">
        <f t="shared" si="105"/>
        <v>3.0805152979065907E-2</v>
      </c>
    </row>
    <row r="320" spans="1:12" x14ac:dyDescent="0.3">
      <c r="A320" s="871">
        <v>1257</v>
      </c>
      <c r="B320" s="873">
        <v>58471.75</v>
      </c>
      <c r="C320" s="873" t="s">
        <v>2290</v>
      </c>
      <c r="D320" s="873">
        <f>+I320+I321</f>
        <v>1257</v>
      </c>
      <c r="E320" s="873">
        <f>+J320+J321</f>
        <v>57323.100000000006</v>
      </c>
      <c r="F320" s="12" t="s">
        <v>2291</v>
      </c>
      <c r="G320" s="12">
        <v>94141</v>
      </c>
      <c r="H320" s="40"/>
      <c r="I320" s="39">
        <v>872</v>
      </c>
      <c r="J320" s="41">
        <v>39686.600000000006</v>
      </c>
      <c r="K320" s="877">
        <f t="shared" si="104"/>
        <v>0</v>
      </c>
      <c r="L320" s="879">
        <f t="shared" si="105"/>
        <v>1.964452919572262E-2</v>
      </c>
    </row>
    <row r="321" spans="1:12" ht="15" thickBot="1" x14ac:dyDescent="0.35">
      <c r="A321" s="872"/>
      <c r="B321" s="874"/>
      <c r="C321" s="874"/>
      <c r="D321" s="874"/>
      <c r="E321" s="874"/>
      <c r="F321" s="10" t="s">
        <v>2291</v>
      </c>
      <c r="G321" s="10">
        <v>94141</v>
      </c>
      <c r="H321" s="43"/>
      <c r="I321" s="42">
        <v>385</v>
      </c>
      <c r="J321" s="44">
        <v>17636.5</v>
      </c>
      <c r="K321" s="878"/>
      <c r="L321" s="880"/>
    </row>
    <row r="322" spans="1:12" ht="15" thickBot="1" x14ac:dyDescent="0.35">
      <c r="A322" s="174">
        <v>710</v>
      </c>
      <c r="B322" s="12">
        <v>31365.75</v>
      </c>
      <c r="C322" s="12" t="s">
        <v>2292</v>
      </c>
      <c r="D322" s="12">
        <f>+I322</f>
        <v>714</v>
      </c>
      <c r="E322" s="12">
        <f>+J322</f>
        <v>30387.4</v>
      </c>
      <c r="F322" s="12" t="s">
        <v>2293</v>
      </c>
      <c r="G322" s="12">
        <v>94151</v>
      </c>
      <c r="H322" s="40"/>
      <c r="I322" s="39">
        <v>714</v>
      </c>
      <c r="J322" s="41">
        <v>30387.4</v>
      </c>
      <c r="K322" s="54">
        <f>+A322-D322</f>
        <v>-4</v>
      </c>
      <c r="L322" s="53">
        <f>((+B322/A322)-(E322/D322))/(B322/A322)</f>
        <v>3.6619163737962791E-2</v>
      </c>
    </row>
    <row r="323" spans="1:12" x14ac:dyDescent="0.3">
      <c r="A323" s="871">
        <v>1502</v>
      </c>
      <c r="B323" s="873">
        <v>59865</v>
      </c>
      <c r="C323" s="873" t="s">
        <v>2294</v>
      </c>
      <c r="D323" s="873">
        <f>+I323+I324</f>
        <v>1496</v>
      </c>
      <c r="E323" s="873">
        <f>+J323+J324</f>
        <v>58632.1</v>
      </c>
      <c r="F323" s="12" t="s">
        <v>2295</v>
      </c>
      <c r="G323" s="12">
        <v>94211</v>
      </c>
      <c r="H323" s="40"/>
      <c r="I323" s="39">
        <v>880</v>
      </c>
      <c r="J323" s="41">
        <v>34656.5</v>
      </c>
      <c r="K323" s="877">
        <f>+A323-D323</f>
        <v>6</v>
      </c>
      <c r="L323" s="879">
        <f>((+B323/A323)-(E323/D323))/(B323/A323)</f>
        <v>1.6666575105931326E-2</v>
      </c>
    </row>
    <row r="324" spans="1:12" ht="15" thickBot="1" x14ac:dyDescent="0.35">
      <c r="A324" s="872"/>
      <c r="B324" s="874"/>
      <c r="C324" s="874"/>
      <c r="D324" s="874"/>
      <c r="E324" s="874"/>
      <c r="F324" s="10" t="s">
        <v>2295</v>
      </c>
      <c r="G324" s="10">
        <v>94211</v>
      </c>
      <c r="H324" s="43"/>
      <c r="I324" s="42">
        <v>616</v>
      </c>
      <c r="J324" s="44">
        <v>23975.599999999999</v>
      </c>
      <c r="K324" s="878"/>
      <c r="L324" s="880"/>
    </row>
    <row r="325" spans="1:12" ht="15" thickBot="1" x14ac:dyDescent="0.35">
      <c r="A325" s="175">
        <v>1193</v>
      </c>
      <c r="B325" s="8">
        <v>55770.75</v>
      </c>
      <c r="C325" s="8" t="s">
        <v>2296</v>
      </c>
      <c r="D325" s="8">
        <v>1190</v>
      </c>
      <c r="E325" s="8">
        <v>54656.3</v>
      </c>
      <c r="F325" s="8" t="s">
        <v>2297</v>
      </c>
      <c r="G325" s="8">
        <v>94221</v>
      </c>
      <c r="H325" s="14"/>
      <c r="I325" s="45">
        <v>464</v>
      </c>
      <c r="J325" s="46">
        <v>20854.599999999999</v>
      </c>
      <c r="K325" s="54">
        <f>+A325-D325</f>
        <v>3</v>
      </c>
      <c r="L325" s="53">
        <f>((+B325/A325)-(E325/D325))/(B325/A325)</f>
        <v>1.7512065166836743E-2</v>
      </c>
    </row>
    <row r="326" spans="1:12" x14ac:dyDescent="0.3">
      <c r="A326" s="871">
        <v>1486</v>
      </c>
      <c r="B326" s="873">
        <v>69970.5</v>
      </c>
      <c r="C326" s="873" t="s">
        <v>2475</v>
      </c>
      <c r="D326" s="873">
        <f>+I326+I327</f>
        <v>1486</v>
      </c>
      <c r="E326" s="873">
        <f>+J326+J327</f>
        <v>67314.799999999988</v>
      </c>
      <c r="F326" s="12" t="s">
        <v>2476</v>
      </c>
      <c r="G326" s="12">
        <v>94281</v>
      </c>
      <c r="H326" s="40"/>
      <c r="I326" s="39">
        <v>71</v>
      </c>
      <c r="J326" s="41">
        <v>3088</v>
      </c>
      <c r="K326" s="877">
        <f>+A326-D326</f>
        <v>0</v>
      </c>
      <c r="L326" s="879">
        <f t="shared" ref="L326" si="106">+(B326-E326)/B326</f>
        <v>3.7954566567339261E-2</v>
      </c>
    </row>
    <row r="327" spans="1:12" ht="15" thickBot="1" x14ac:dyDescent="0.35">
      <c r="A327" s="872"/>
      <c r="B327" s="874"/>
      <c r="C327" s="874"/>
      <c r="D327" s="874"/>
      <c r="E327" s="874"/>
      <c r="F327" s="10" t="s">
        <v>2477</v>
      </c>
      <c r="G327" s="10">
        <v>94281</v>
      </c>
      <c r="H327" s="43"/>
      <c r="I327" s="42">
        <v>1415</v>
      </c>
      <c r="J327" s="44">
        <v>64226.799999999996</v>
      </c>
      <c r="K327" s="878"/>
      <c r="L327" s="880"/>
    </row>
    <row r="328" spans="1:12" x14ac:dyDescent="0.3">
      <c r="A328" s="871">
        <v>2034</v>
      </c>
      <c r="B328" s="873">
        <v>94503.7</v>
      </c>
      <c r="C328" s="873" t="s">
        <v>2478</v>
      </c>
      <c r="D328" s="873">
        <f>+I328+I329+I330</f>
        <v>2025</v>
      </c>
      <c r="E328" s="873">
        <f>+J328+J329+J330</f>
        <v>89817.7</v>
      </c>
      <c r="F328" s="12" t="s">
        <v>2479</v>
      </c>
      <c r="G328" s="12">
        <v>94321</v>
      </c>
      <c r="H328" s="40"/>
      <c r="I328" s="39">
        <v>588</v>
      </c>
      <c r="J328" s="41">
        <v>25340.499999999996</v>
      </c>
      <c r="K328" s="877">
        <f>+A328-D328</f>
        <v>9</v>
      </c>
      <c r="L328" s="879">
        <f>((+B328/A328)-(E328/D328))/(B328/A328)</f>
        <v>4.5361295083919687E-2</v>
      </c>
    </row>
    <row r="329" spans="1:12" x14ac:dyDescent="0.3">
      <c r="A329" s="875"/>
      <c r="B329" s="881"/>
      <c r="C329" s="881"/>
      <c r="D329" s="881"/>
      <c r="E329" s="881"/>
      <c r="F329" s="15" t="s">
        <v>2479</v>
      </c>
      <c r="G329" s="15">
        <v>94321</v>
      </c>
      <c r="I329" s="50">
        <v>1187</v>
      </c>
      <c r="J329" s="51">
        <v>53231.1</v>
      </c>
      <c r="K329" s="886"/>
      <c r="L329" s="885"/>
    </row>
    <row r="330" spans="1:12" ht="15" thickBot="1" x14ac:dyDescent="0.35">
      <c r="A330" s="872"/>
      <c r="B330" s="881"/>
      <c r="C330" s="881"/>
      <c r="D330" s="881"/>
      <c r="E330" s="881"/>
      <c r="F330" s="15" t="s">
        <v>2479</v>
      </c>
      <c r="G330" s="15">
        <v>94321</v>
      </c>
      <c r="I330" s="50">
        <v>250</v>
      </c>
      <c r="J330" s="51">
        <v>11246.1</v>
      </c>
      <c r="K330" s="878"/>
      <c r="L330" s="880"/>
    </row>
    <row r="331" spans="1:12" x14ac:dyDescent="0.3">
      <c r="A331" s="871">
        <v>2119</v>
      </c>
      <c r="B331" s="873">
        <v>99829.9</v>
      </c>
      <c r="C331" s="873" t="s">
        <v>2480</v>
      </c>
      <c r="D331" s="873">
        <f>+I331+I332</f>
        <v>2119</v>
      </c>
      <c r="E331" s="873">
        <f>+J331+J332</f>
        <v>93849</v>
      </c>
      <c r="F331" s="12" t="s">
        <v>2481</v>
      </c>
      <c r="G331" s="12">
        <v>94331</v>
      </c>
      <c r="H331" s="40"/>
      <c r="I331" s="39">
        <v>1600</v>
      </c>
      <c r="J331" s="41">
        <v>71165.899999999994</v>
      </c>
      <c r="K331" s="877">
        <f>+A331-D331</f>
        <v>0</v>
      </c>
      <c r="L331" s="879">
        <f t="shared" ref="L331" si="107">+(B331-E331)/B331</f>
        <v>5.991090845528238E-2</v>
      </c>
    </row>
    <row r="332" spans="1:12" ht="15" thickBot="1" x14ac:dyDescent="0.35">
      <c r="A332" s="872"/>
      <c r="B332" s="881"/>
      <c r="C332" s="881"/>
      <c r="D332" s="881"/>
      <c r="E332" s="881"/>
      <c r="F332" s="15" t="s">
        <v>2481</v>
      </c>
      <c r="G332" s="15">
        <v>94331</v>
      </c>
      <c r="I332" s="50">
        <v>519</v>
      </c>
      <c r="J332" s="51">
        <v>22683.1</v>
      </c>
      <c r="K332" s="878"/>
      <c r="L332" s="880"/>
    </row>
    <row r="333" spans="1:12" x14ac:dyDescent="0.3">
      <c r="A333" s="871">
        <v>2261</v>
      </c>
      <c r="B333" s="873">
        <v>101467.8</v>
      </c>
      <c r="C333" s="873" t="s">
        <v>2482</v>
      </c>
      <c r="D333" s="873">
        <f>+I333+I334</f>
        <v>2261</v>
      </c>
      <c r="E333" s="873">
        <f>+J333+J334</f>
        <v>97418.5</v>
      </c>
      <c r="F333" s="12" t="s">
        <v>2483</v>
      </c>
      <c r="G333" s="12">
        <v>94411</v>
      </c>
      <c r="H333" s="39"/>
      <c r="I333" s="39">
        <v>2061</v>
      </c>
      <c r="J333" s="41">
        <v>88064.6</v>
      </c>
      <c r="K333" s="877">
        <f>+A333-D333</f>
        <v>0</v>
      </c>
      <c r="L333" s="879">
        <f t="shared" ref="L333" si="108">+(B333-E333)/B333</f>
        <v>3.9907241509129034E-2</v>
      </c>
    </row>
    <row r="334" spans="1:12" ht="15" thickBot="1" x14ac:dyDescent="0.35">
      <c r="A334" s="872"/>
      <c r="B334" s="874"/>
      <c r="C334" s="874"/>
      <c r="D334" s="874"/>
      <c r="E334" s="874"/>
      <c r="F334" s="10" t="s">
        <v>2483</v>
      </c>
      <c r="G334" s="10">
        <v>94411</v>
      </c>
      <c r="H334" s="42"/>
      <c r="I334" s="42">
        <v>200</v>
      </c>
      <c r="J334" s="44">
        <v>9353.9</v>
      </c>
      <c r="K334" s="878"/>
      <c r="L334" s="880"/>
    </row>
    <row r="335" spans="1:12" x14ac:dyDescent="0.3">
      <c r="A335" s="871">
        <v>1382</v>
      </c>
      <c r="B335" s="881">
        <v>62676.6</v>
      </c>
      <c r="C335" s="881" t="s">
        <v>2484</v>
      </c>
      <c r="D335" s="881">
        <f>+I335+I336</f>
        <v>1372</v>
      </c>
      <c r="E335" s="881">
        <f>+J335+J336</f>
        <v>60829.8</v>
      </c>
      <c r="F335" s="15" t="s">
        <v>2485</v>
      </c>
      <c r="G335" s="15">
        <v>94421</v>
      </c>
      <c r="H335" s="50"/>
      <c r="I335" s="50">
        <v>840</v>
      </c>
      <c r="J335" s="51">
        <v>37480.5</v>
      </c>
      <c r="K335" s="877">
        <f>+A335-D335</f>
        <v>10</v>
      </c>
      <c r="L335" s="879">
        <f>((+B335/A335)-(E335/D335))/(B335/A335)</f>
        <v>2.2391675853303563E-2</v>
      </c>
    </row>
    <row r="336" spans="1:12" ht="15" thickBot="1" x14ac:dyDescent="0.35">
      <c r="A336" s="872"/>
      <c r="B336" s="874"/>
      <c r="C336" s="874"/>
      <c r="D336" s="874"/>
      <c r="E336" s="874"/>
      <c r="F336" s="10" t="s">
        <v>2485</v>
      </c>
      <c r="G336" s="10">
        <v>94421</v>
      </c>
      <c r="H336" s="42"/>
      <c r="I336" s="42">
        <v>532</v>
      </c>
      <c r="J336" s="44">
        <v>23349.3</v>
      </c>
      <c r="K336" s="878"/>
      <c r="L336" s="880"/>
    </row>
    <row r="337" spans="1:12" ht="15" thickBot="1" x14ac:dyDescent="0.35">
      <c r="A337" s="175">
        <v>2111</v>
      </c>
      <c r="B337" s="8">
        <v>101553.1</v>
      </c>
      <c r="C337" s="8" t="s">
        <v>2486</v>
      </c>
      <c r="D337" s="8">
        <v>2112</v>
      </c>
      <c r="E337" s="8">
        <v>96446.2</v>
      </c>
      <c r="F337" s="8" t="s">
        <v>2576</v>
      </c>
      <c r="G337" s="8">
        <v>94491</v>
      </c>
      <c r="H337" s="14"/>
      <c r="I337" s="45">
        <v>1812</v>
      </c>
      <c r="J337" s="46">
        <v>82898.900000000009</v>
      </c>
      <c r="K337" s="54">
        <f>+A337-D337</f>
        <v>-1</v>
      </c>
      <c r="L337" s="53">
        <f>((+B337/A337)-(E337/D337))/(B337/A337)</f>
        <v>5.0737651675763176E-2</v>
      </c>
    </row>
    <row r="338" spans="1:12" ht="15" thickBot="1" x14ac:dyDescent="0.35">
      <c r="A338" s="175">
        <v>1337</v>
      </c>
      <c r="B338" s="8">
        <v>52375</v>
      </c>
      <c r="C338" s="8" t="s">
        <v>2577</v>
      </c>
      <c r="D338" s="8">
        <v>1337</v>
      </c>
      <c r="E338" s="8">
        <v>52694.1</v>
      </c>
      <c r="F338" s="8" t="s">
        <v>2578</v>
      </c>
      <c r="G338" s="9">
        <v>94501</v>
      </c>
      <c r="I338" s="50">
        <v>1237</v>
      </c>
      <c r="J338" s="50">
        <v>48722.7</v>
      </c>
      <c r="K338" s="54">
        <f>+A338-D338</f>
        <v>0</v>
      </c>
      <c r="L338" s="33">
        <f t="shared" ref="L338" si="109">+(B338-E338)/B338</f>
        <v>-6.0926014319808795E-3</v>
      </c>
    </row>
    <row r="339" spans="1:12" x14ac:dyDescent="0.3">
      <c r="A339" s="871">
        <v>1107</v>
      </c>
      <c r="B339" s="881">
        <v>49890.25</v>
      </c>
      <c r="C339" s="881" t="s">
        <v>2585</v>
      </c>
      <c r="D339" s="881">
        <f>+I339+I340</f>
        <v>1107</v>
      </c>
      <c r="E339" s="881">
        <f>+J339+J340</f>
        <v>48287.099999999991</v>
      </c>
      <c r="F339" s="15" t="s">
        <v>2586</v>
      </c>
      <c r="G339" s="15">
        <v>94581</v>
      </c>
      <c r="I339" s="50">
        <v>500</v>
      </c>
      <c r="J339" s="51">
        <v>21962.2</v>
      </c>
      <c r="K339" s="877">
        <f>+A339-D339</f>
        <v>0</v>
      </c>
      <c r="L339" s="879">
        <f t="shared" ref="L339" si="110">+(B339-E339)/B339</f>
        <v>3.2133533105166014E-2</v>
      </c>
    </row>
    <row r="340" spans="1:12" ht="15" thickBot="1" x14ac:dyDescent="0.35">
      <c r="A340" s="872"/>
      <c r="B340" s="874"/>
      <c r="C340" s="874"/>
      <c r="D340" s="874"/>
      <c r="E340" s="874"/>
      <c r="F340" s="10" t="s">
        <v>2586</v>
      </c>
      <c r="G340" s="10">
        <v>94581</v>
      </c>
      <c r="H340" s="43"/>
      <c r="I340" s="42">
        <v>607</v>
      </c>
      <c r="J340" s="44">
        <v>26324.899999999994</v>
      </c>
      <c r="K340" s="878"/>
      <c r="L340" s="880"/>
    </row>
    <row r="341" spans="1:12" ht="15" thickBot="1" x14ac:dyDescent="0.35">
      <c r="A341" s="175">
        <v>201</v>
      </c>
      <c r="B341" s="8">
        <v>8911.5</v>
      </c>
      <c r="C341" s="8" t="s">
        <v>2587</v>
      </c>
      <c r="D341" s="8">
        <f>+I341</f>
        <v>201</v>
      </c>
      <c r="E341" s="8">
        <f>+J341</f>
        <v>8623</v>
      </c>
      <c r="F341" s="8" t="s">
        <v>2588</v>
      </c>
      <c r="G341" s="8">
        <v>94591</v>
      </c>
      <c r="H341" s="14"/>
      <c r="I341" s="45">
        <v>201</v>
      </c>
      <c r="J341" s="46">
        <v>8623</v>
      </c>
      <c r="K341" s="54">
        <f>+A341-D341</f>
        <v>0</v>
      </c>
      <c r="L341" s="33">
        <f t="shared" ref="L341" si="111">+(B341-E341)/B341</f>
        <v>3.2373898894686642E-2</v>
      </c>
    </row>
    <row r="342" spans="1:12" x14ac:dyDescent="0.3">
      <c r="A342" s="871">
        <v>1222</v>
      </c>
      <c r="B342" s="873">
        <v>48713</v>
      </c>
      <c r="C342" s="873" t="s">
        <v>2589</v>
      </c>
      <c r="D342" s="873">
        <f>+I342+I343</f>
        <v>1222</v>
      </c>
      <c r="E342" s="873">
        <f>+J342+J343</f>
        <v>48827</v>
      </c>
      <c r="F342" s="12" t="s">
        <v>2590</v>
      </c>
      <c r="G342" s="12">
        <v>94641</v>
      </c>
      <c r="H342" s="40"/>
      <c r="I342" s="39">
        <v>598</v>
      </c>
      <c r="J342" s="41">
        <v>23902.400000000001</v>
      </c>
      <c r="K342" s="877">
        <f>+A342-D342</f>
        <v>0</v>
      </c>
      <c r="L342" s="879">
        <f t="shared" ref="L342" si="112">+(B342-E342)/B342</f>
        <v>-2.3402377188840762E-3</v>
      </c>
    </row>
    <row r="343" spans="1:12" ht="15" thickBot="1" x14ac:dyDescent="0.35">
      <c r="A343" s="872"/>
      <c r="B343" s="881"/>
      <c r="C343" s="881"/>
      <c r="D343" s="881"/>
      <c r="E343" s="881"/>
      <c r="F343" s="15" t="s">
        <v>2590</v>
      </c>
      <c r="G343" s="15">
        <v>94641</v>
      </c>
      <c r="I343" s="50">
        <v>624</v>
      </c>
      <c r="J343" s="51">
        <v>24924.600000000002</v>
      </c>
      <c r="K343" s="878"/>
      <c r="L343" s="880"/>
    </row>
    <row r="344" spans="1:12" x14ac:dyDescent="0.3">
      <c r="A344" s="871">
        <v>972</v>
      </c>
      <c r="B344" s="873">
        <v>44454</v>
      </c>
      <c r="C344" s="873" t="s">
        <v>2591</v>
      </c>
      <c r="D344" s="873">
        <f>+I344+I345</f>
        <v>973</v>
      </c>
      <c r="E344" s="873">
        <f>+J344+J345</f>
        <v>43295.3</v>
      </c>
      <c r="F344" s="12" t="s">
        <v>2592</v>
      </c>
      <c r="G344" s="12">
        <v>94721</v>
      </c>
      <c r="H344" s="40"/>
      <c r="I344" s="39">
        <v>500</v>
      </c>
      <c r="J344" s="41">
        <v>22194.3</v>
      </c>
      <c r="K344" s="877">
        <f>+A344-D344</f>
        <v>-1</v>
      </c>
      <c r="L344" s="879">
        <f>((+B344/A344)-(E344/D344))/(B344/A344)</f>
        <v>2.7066106789095858E-2</v>
      </c>
    </row>
    <row r="345" spans="1:12" ht="15" thickBot="1" x14ac:dyDescent="0.35">
      <c r="A345" s="872"/>
      <c r="B345" s="874"/>
      <c r="C345" s="874"/>
      <c r="D345" s="874"/>
      <c r="E345" s="874"/>
      <c r="F345" s="10" t="s">
        <v>2592</v>
      </c>
      <c r="G345" s="10">
        <v>94721</v>
      </c>
      <c r="H345" s="43"/>
      <c r="I345" s="42">
        <v>473</v>
      </c>
      <c r="J345" s="44">
        <v>21101</v>
      </c>
      <c r="K345" s="878"/>
      <c r="L345" s="880"/>
    </row>
    <row r="346" spans="1:12" x14ac:dyDescent="0.3">
      <c r="A346" s="927">
        <v>2499</v>
      </c>
      <c r="B346" s="873">
        <v>109296.9</v>
      </c>
      <c r="C346" s="873" t="s">
        <v>2593</v>
      </c>
      <c r="D346" s="873">
        <f>+I346+I347</f>
        <v>2499</v>
      </c>
      <c r="E346" s="873">
        <f>+J346+J347</f>
        <v>106407</v>
      </c>
      <c r="F346" s="12" t="s">
        <v>2594</v>
      </c>
      <c r="G346" s="12">
        <v>94731</v>
      </c>
      <c r="H346" s="40"/>
      <c r="I346" s="39">
        <v>750</v>
      </c>
      <c r="J346" s="41">
        <v>31924.7</v>
      </c>
      <c r="K346" s="877">
        <f>+A346-D346</f>
        <v>0</v>
      </c>
      <c r="L346" s="879">
        <f t="shared" ref="L346" si="113">+(B346-E346)/B346</f>
        <v>2.6440823115751629E-2</v>
      </c>
    </row>
    <row r="347" spans="1:12" ht="15" thickBot="1" x14ac:dyDescent="0.35">
      <c r="A347" s="928"/>
      <c r="B347" s="881"/>
      <c r="C347" s="881"/>
      <c r="D347" s="881"/>
      <c r="E347" s="881"/>
      <c r="F347" s="15" t="s">
        <v>2594</v>
      </c>
      <c r="G347" s="15">
        <v>94731</v>
      </c>
      <c r="I347" s="50">
        <v>1749</v>
      </c>
      <c r="J347" s="51">
        <v>74482.3</v>
      </c>
      <c r="K347" s="878"/>
      <c r="L347" s="880"/>
    </row>
    <row r="348" spans="1:12" x14ac:dyDescent="0.3">
      <c r="A348" s="871">
        <f>+D348</f>
        <v>403</v>
      </c>
      <c r="B348" s="873">
        <v>17477.7</v>
      </c>
      <c r="C348" s="873" t="s">
        <v>2595</v>
      </c>
      <c r="D348" s="873">
        <f>+I348+I349</f>
        <v>403</v>
      </c>
      <c r="E348" s="873">
        <f>+J348+J349</f>
        <v>16865</v>
      </c>
      <c r="F348" s="12" t="s">
        <v>2596</v>
      </c>
      <c r="G348" s="12">
        <v>94781</v>
      </c>
      <c r="H348" s="40"/>
      <c r="I348" s="39">
        <v>203</v>
      </c>
      <c r="J348" s="41">
        <v>8545.9000000000015</v>
      </c>
      <c r="K348" s="877">
        <f>+A348-D348</f>
        <v>0</v>
      </c>
      <c r="L348" s="879">
        <f t="shared" ref="L348" si="114">+(B348-E348)/B348</f>
        <v>3.5056100058932282E-2</v>
      </c>
    </row>
    <row r="349" spans="1:12" ht="15" thickBot="1" x14ac:dyDescent="0.35">
      <c r="A349" s="872"/>
      <c r="B349" s="874"/>
      <c r="C349" s="874"/>
      <c r="D349" s="874"/>
      <c r="E349" s="874"/>
      <c r="F349" s="10" t="s">
        <v>2596</v>
      </c>
      <c r="G349" s="10">
        <v>94781</v>
      </c>
      <c r="H349" s="43"/>
      <c r="I349" s="42">
        <v>200</v>
      </c>
      <c r="J349" s="44">
        <v>8319.1</v>
      </c>
      <c r="K349" s="878"/>
      <c r="L349" s="880"/>
    </row>
    <row r="350" spans="1:12" x14ac:dyDescent="0.3">
      <c r="A350" s="871">
        <v>1910</v>
      </c>
      <c r="B350" s="873">
        <v>81801.7</v>
      </c>
      <c r="C350" s="873" t="s">
        <v>2597</v>
      </c>
      <c r="D350" s="873">
        <f>+I350+I351</f>
        <v>1908</v>
      </c>
      <c r="E350" s="873">
        <f>+J350+J351</f>
        <v>79397.3</v>
      </c>
      <c r="F350" s="15" t="s">
        <v>2598</v>
      </c>
      <c r="G350" s="15">
        <v>94791</v>
      </c>
      <c r="I350" s="50">
        <v>1600</v>
      </c>
      <c r="J350" s="51">
        <v>66680</v>
      </c>
      <c r="K350" s="877">
        <f>+A350-D350</f>
        <v>2</v>
      </c>
      <c r="L350" s="879">
        <f>((+B350/A350)-(E350/D350))/(B350/A350)</f>
        <v>2.8375624451059941E-2</v>
      </c>
    </row>
    <row r="351" spans="1:12" ht="15" thickBot="1" x14ac:dyDescent="0.35">
      <c r="A351" s="872"/>
      <c r="B351" s="874"/>
      <c r="C351" s="874"/>
      <c r="D351" s="874"/>
      <c r="E351" s="874"/>
      <c r="F351" s="15" t="s">
        <v>2598</v>
      </c>
      <c r="G351" s="15">
        <v>94791</v>
      </c>
      <c r="I351" s="50">
        <v>308</v>
      </c>
      <c r="J351" s="51">
        <v>12717.3</v>
      </c>
      <c r="K351" s="878"/>
      <c r="L351" s="880"/>
    </row>
    <row r="352" spans="1:12" ht="15" thickBot="1" x14ac:dyDescent="0.35">
      <c r="A352" s="175">
        <v>119</v>
      </c>
      <c r="B352" s="8">
        <v>4220.75</v>
      </c>
      <c r="C352" s="8" t="s">
        <v>2599</v>
      </c>
      <c r="D352" s="8">
        <f>+I352</f>
        <v>119</v>
      </c>
      <c r="E352" s="8">
        <f>+J352</f>
        <v>4028.9</v>
      </c>
      <c r="F352" s="8" t="s">
        <v>2600</v>
      </c>
      <c r="G352" s="8">
        <v>94821</v>
      </c>
      <c r="H352" s="14"/>
      <c r="I352" s="45">
        <v>119</v>
      </c>
      <c r="J352" s="46">
        <v>4028.9</v>
      </c>
      <c r="K352" s="54">
        <f>+A352-D352</f>
        <v>0</v>
      </c>
      <c r="L352" s="33">
        <f t="shared" ref="L352:L353" si="115">+(B352-E352)/B352</f>
        <v>4.5454006989279136E-2</v>
      </c>
    </row>
    <row r="353" spans="1:12" x14ac:dyDescent="0.3">
      <c r="A353" s="871">
        <v>1205</v>
      </c>
      <c r="B353" s="873">
        <v>54904.75</v>
      </c>
      <c r="C353" s="873" t="s">
        <v>2601</v>
      </c>
      <c r="D353" s="873">
        <f>+I353+I354+I355</f>
        <v>1205</v>
      </c>
      <c r="E353" s="873">
        <f>+J353+J354+J355</f>
        <v>53776.000000000007</v>
      </c>
      <c r="F353" s="12" t="s">
        <v>2602</v>
      </c>
      <c r="G353" s="12">
        <v>94831</v>
      </c>
      <c r="H353" s="39"/>
      <c r="I353" s="39">
        <v>300</v>
      </c>
      <c r="J353" s="41">
        <v>13370.300000000001</v>
      </c>
      <c r="K353" s="877">
        <f>+A353-D353</f>
        <v>0</v>
      </c>
      <c r="L353" s="879">
        <f t="shared" si="115"/>
        <v>2.0558330563384637E-2</v>
      </c>
    </row>
    <row r="354" spans="1:12" x14ac:dyDescent="0.3">
      <c r="A354" s="875"/>
      <c r="B354" s="881"/>
      <c r="C354" s="881"/>
      <c r="D354" s="881"/>
      <c r="E354" s="881"/>
      <c r="F354" s="15" t="s">
        <v>2602</v>
      </c>
      <c r="G354" s="15">
        <v>94831</v>
      </c>
      <c r="H354" s="50"/>
      <c r="I354" s="50">
        <v>803</v>
      </c>
      <c r="J354" s="51">
        <v>35965.600000000006</v>
      </c>
      <c r="K354" s="886"/>
      <c r="L354" s="885"/>
    </row>
    <row r="355" spans="1:12" ht="15" thickBot="1" x14ac:dyDescent="0.35">
      <c r="A355" s="872"/>
      <c r="B355" s="874"/>
      <c r="C355" s="874"/>
      <c r="D355" s="874"/>
      <c r="E355" s="874"/>
      <c r="F355" s="10" t="s">
        <v>2602</v>
      </c>
      <c r="G355" s="10">
        <v>94831</v>
      </c>
      <c r="H355" s="42"/>
      <c r="I355" s="42">
        <v>102</v>
      </c>
      <c r="J355" s="44">
        <v>4440.1000000000004</v>
      </c>
      <c r="K355" s="878"/>
      <c r="L355" s="880"/>
    </row>
    <row r="356" spans="1:12" ht="15" thickBot="1" x14ac:dyDescent="0.35">
      <c r="A356" s="175">
        <v>711</v>
      </c>
      <c r="B356" s="8">
        <v>30014.5</v>
      </c>
      <c r="C356" s="8" t="s">
        <v>2603</v>
      </c>
      <c r="D356" s="8">
        <f t="shared" ref="D356:E357" si="116">+I356</f>
        <v>711</v>
      </c>
      <c r="E356" s="8">
        <f t="shared" si="116"/>
        <v>29438.199999999997</v>
      </c>
      <c r="F356" s="8" t="s">
        <v>2604</v>
      </c>
      <c r="G356" s="8">
        <v>94841</v>
      </c>
      <c r="H356" s="45"/>
      <c r="I356" s="45">
        <v>711</v>
      </c>
      <c r="J356" s="46">
        <v>29438.199999999997</v>
      </c>
      <c r="K356" s="54">
        <f>+A356-D356</f>
        <v>0</v>
      </c>
      <c r="L356" s="33">
        <f t="shared" ref="L356:L357" si="117">+(B356-E356)/B356</f>
        <v>1.9200719652168217E-2</v>
      </c>
    </row>
    <row r="357" spans="1:12" ht="15" thickBot="1" x14ac:dyDescent="0.35">
      <c r="A357" s="174">
        <v>450</v>
      </c>
      <c r="B357" s="12">
        <v>21013.75</v>
      </c>
      <c r="C357" s="12" t="s">
        <v>2605</v>
      </c>
      <c r="D357" s="12">
        <f t="shared" si="116"/>
        <v>450</v>
      </c>
      <c r="E357" s="12">
        <f t="shared" si="116"/>
        <v>20689.900000000001</v>
      </c>
      <c r="F357" s="12" t="s">
        <v>2606</v>
      </c>
      <c r="G357" s="12">
        <v>94851</v>
      </c>
      <c r="H357" s="39"/>
      <c r="I357" s="39">
        <v>450</v>
      </c>
      <c r="J357" s="41">
        <v>20689.900000000001</v>
      </c>
      <c r="K357" s="54">
        <f>+A357-D357</f>
        <v>0</v>
      </c>
      <c r="L357" s="33">
        <f t="shared" si="117"/>
        <v>1.5411337814526135E-2</v>
      </c>
    </row>
    <row r="358" spans="1:12" x14ac:dyDescent="0.3">
      <c r="A358" s="871">
        <v>2238</v>
      </c>
      <c r="B358" s="873">
        <v>102272.75</v>
      </c>
      <c r="C358" s="873" t="s">
        <v>2607</v>
      </c>
      <c r="D358" s="873">
        <f>+I358+I359</f>
        <v>2238</v>
      </c>
      <c r="E358" s="873">
        <f>+J358+J359</f>
        <v>99847.4</v>
      </c>
      <c r="F358" s="12" t="s">
        <v>2608</v>
      </c>
      <c r="G358" s="12">
        <v>94931</v>
      </c>
      <c r="H358" s="39"/>
      <c r="I358" s="39">
        <v>379</v>
      </c>
      <c r="J358" s="41">
        <v>16860.599999999999</v>
      </c>
      <c r="K358" s="877">
        <f>+A358-D358</f>
        <v>0</v>
      </c>
      <c r="L358" s="879">
        <f t="shared" ref="L358" si="118">+(B358-E358)/B358</f>
        <v>2.3714528063438264E-2</v>
      </c>
    </row>
    <row r="359" spans="1:12" ht="15" thickBot="1" x14ac:dyDescent="0.35">
      <c r="A359" s="872"/>
      <c r="B359" s="881"/>
      <c r="C359" s="881"/>
      <c r="D359" s="881"/>
      <c r="E359" s="881"/>
      <c r="F359" s="15" t="s">
        <v>2608</v>
      </c>
      <c r="G359" s="15">
        <v>94931</v>
      </c>
      <c r="H359" s="50"/>
      <c r="I359" s="50">
        <v>1859</v>
      </c>
      <c r="J359" s="51">
        <v>82986.8</v>
      </c>
      <c r="K359" s="878"/>
      <c r="L359" s="880"/>
    </row>
    <row r="360" spans="1:12" x14ac:dyDescent="0.3">
      <c r="A360" s="871">
        <v>915</v>
      </c>
      <c r="B360" s="873">
        <v>42157.5</v>
      </c>
      <c r="C360" s="873" t="s">
        <v>2609</v>
      </c>
      <c r="D360" s="873">
        <f>+I360+I361</f>
        <v>915</v>
      </c>
      <c r="E360" s="873">
        <f>+J360+J361</f>
        <v>41150.300000000003</v>
      </c>
      <c r="F360" s="12" t="s">
        <v>2610</v>
      </c>
      <c r="G360" s="12">
        <v>94941</v>
      </c>
      <c r="H360" s="39"/>
      <c r="I360" s="39">
        <v>636</v>
      </c>
      <c r="J360" s="41">
        <v>28437</v>
      </c>
      <c r="K360" s="877">
        <f>+A360-D360</f>
        <v>0</v>
      </c>
      <c r="L360" s="879">
        <f t="shared" ref="L360" si="119">+(B360-E360)/B360</f>
        <v>2.389135978177067E-2</v>
      </c>
    </row>
    <row r="361" spans="1:12" ht="15" thickBot="1" x14ac:dyDescent="0.35">
      <c r="A361" s="872"/>
      <c r="B361" s="874"/>
      <c r="C361" s="874"/>
      <c r="D361" s="874"/>
      <c r="E361" s="874"/>
      <c r="F361" s="10" t="s">
        <v>2610</v>
      </c>
      <c r="G361" s="10">
        <v>94941</v>
      </c>
      <c r="H361" s="42"/>
      <c r="I361" s="42">
        <v>279</v>
      </c>
      <c r="J361" s="44">
        <v>12713.3</v>
      </c>
      <c r="K361" s="878"/>
      <c r="L361" s="880"/>
    </row>
    <row r="362" spans="1:12" x14ac:dyDescent="0.3">
      <c r="A362" s="871">
        <v>1750</v>
      </c>
      <c r="B362" s="873">
        <v>75628.899999999994</v>
      </c>
      <c r="C362" s="873" t="s">
        <v>2611</v>
      </c>
      <c r="D362" s="873">
        <f>+I362+I363</f>
        <v>1751</v>
      </c>
      <c r="E362" s="873">
        <f>+J362+J363</f>
        <v>73163.199999999997</v>
      </c>
      <c r="F362" s="12" t="s">
        <v>2612</v>
      </c>
      <c r="G362" s="12">
        <v>95001</v>
      </c>
      <c r="H362" s="39"/>
      <c r="I362" s="39">
        <v>1400</v>
      </c>
      <c r="J362" s="41">
        <v>57973.7</v>
      </c>
      <c r="K362" s="877">
        <f>+A362-D362</f>
        <v>-1</v>
      </c>
      <c r="L362" s="879">
        <f>((+B362/A362)-(E362/D362))/(B362/A362)</f>
        <v>3.3155098996234277E-2</v>
      </c>
    </row>
    <row r="363" spans="1:12" ht="15" thickBot="1" x14ac:dyDescent="0.35">
      <c r="A363" s="872"/>
      <c r="B363" s="874"/>
      <c r="C363" s="874"/>
      <c r="D363" s="874"/>
      <c r="E363" s="874"/>
      <c r="F363" s="10" t="s">
        <v>2612</v>
      </c>
      <c r="G363" s="10">
        <v>95001</v>
      </c>
      <c r="H363" s="42"/>
      <c r="I363" s="42">
        <v>351</v>
      </c>
      <c r="J363" s="44">
        <v>15189.5</v>
      </c>
      <c r="K363" s="878"/>
      <c r="L363" s="880"/>
    </row>
    <row r="364" spans="1:12" ht="15" thickBot="1" x14ac:dyDescent="0.35">
      <c r="A364" s="175">
        <v>181</v>
      </c>
      <c r="B364" s="8">
        <v>7846</v>
      </c>
      <c r="C364" s="8" t="s">
        <v>2613</v>
      </c>
      <c r="D364" s="8">
        <f>+I364</f>
        <v>180</v>
      </c>
      <c r="E364" s="8">
        <f>+J364</f>
        <v>7650.6</v>
      </c>
      <c r="F364" s="8" t="s">
        <v>2614</v>
      </c>
      <c r="G364" s="8">
        <v>95041</v>
      </c>
      <c r="H364" s="45"/>
      <c r="I364" s="45">
        <v>180</v>
      </c>
      <c r="J364" s="46">
        <v>7650.6</v>
      </c>
      <c r="K364" s="54">
        <f>+A364-D364</f>
        <v>1</v>
      </c>
      <c r="L364" s="53">
        <f>((+B364/A364)-(E364/D364))/(B364/A364)</f>
        <v>1.9487212167558821E-2</v>
      </c>
    </row>
    <row r="365" spans="1:12" x14ac:dyDescent="0.3">
      <c r="A365" s="871">
        <v>1133</v>
      </c>
      <c r="B365" s="873">
        <v>50378.25</v>
      </c>
      <c r="C365" s="873" t="s">
        <v>2615</v>
      </c>
      <c r="D365" s="873">
        <f>+I365+I366</f>
        <v>1135</v>
      </c>
      <c r="E365" s="873">
        <f>+J365+J366</f>
        <v>48368.100000000006</v>
      </c>
      <c r="F365" s="12" t="s">
        <v>2616</v>
      </c>
      <c r="G365" s="12">
        <v>95051</v>
      </c>
      <c r="H365" s="39"/>
      <c r="I365" s="39">
        <v>300</v>
      </c>
      <c r="J365" s="41">
        <v>13318.8</v>
      </c>
      <c r="K365" s="877">
        <f>+A365-D365</f>
        <v>-2</v>
      </c>
      <c r="L365" s="879">
        <f>((+B365/A365)-(E365/D365))/(B365/A365)</f>
        <v>4.1592951961582351E-2</v>
      </c>
    </row>
    <row r="366" spans="1:12" ht="15" thickBot="1" x14ac:dyDescent="0.35">
      <c r="A366" s="872"/>
      <c r="B366" s="874"/>
      <c r="C366" s="874"/>
      <c r="D366" s="874"/>
      <c r="E366" s="874"/>
      <c r="F366" s="10" t="s">
        <v>2616</v>
      </c>
      <c r="G366" s="10">
        <v>95051</v>
      </c>
      <c r="H366" s="42"/>
      <c r="I366" s="42">
        <v>835</v>
      </c>
      <c r="J366" s="44">
        <v>35049.300000000003</v>
      </c>
      <c r="K366" s="878"/>
      <c r="L366" s="880"/>
    </row>
    <row r="367" spans="1:12" x14ac:dyDescent="0.3">
      <c r="A367" s="871">
        <v>511</v>
      </c>
      <c r="B367" s="873">
        <v>22555.25</v>
      </c>
      <c r="C367" s="873" t="s">
        <v>2617</v>
      </c>
      <c r="D367" s="873">
        <f>+I367+I368</f>
        <v>511</v>
      </c>
      <c r="E367" s="873">
        <f>+J367+J368</f>
        <v>21819.5</v>
      </c>
      <c r="F367" s="12" t="s">
        <v>2618</v>
      </c>
      <c r="G367" s="12">
        <v>95061</v>
      </c>
      <c r="H367" s="39"/>
      <c r="I367" s="39">
        <v>450</v>
      </c>
      <c r="J367" s="41">
        <v>19250</v>
      </c>
      <c r="K367" s="877">
        <f>+A367-D367</f>
        <v>0</v>
      </c>
      <c r="L367" s="879">
        <f t="shared" ref="L367" si="120">+(B367-E367)/B367</f>
        <v>3.261990002327618E-2</v>
      </c>
    </row>
    <row r="368" spans="1:12" ht="15" thickBot="1" x14ac:dyDescent="0.35">
      <c r="A368" s="872"/>
      <c r="B368" s="874"/>
      <c r="C368" s="874"/>
      <c r="D368" s="874"/>
      <c r="E368" s="874"/>
      <c r="F368" s="10" t="s">
        <v>2618</v>
      </c>
      <c r="G368" s="10">
        <v>95061</v>
      </c>
      <c r="H368" s="42"/>
      <c r="I368" s="42">
        <v>61</v>
      </c>
      <c r="J368" s="44">
        <v>2569.5</v>
      </c>
      <c r="K368" s="878"/>
      <c r="L368" s="880"/>
    </row>
    <row r="369" spans="1:12" ht="15" thickBot="1" x14ac:dyDescent="0.35">
      <c r="A369" s="199">
        <v>556</v>
      </c>
      <c r="B369" s="10">
        <v>25811.75</v>
      </c>
      <c r="C369" s="10" t="s">
        <v>2757</v>
      </c>
      <c r="D369" s="10">
        <f>+I369</f>
        <v>556</v>
      </c>
      <c r="E369" s="10">
        <f>+J369</f>
        <v>24965.200000000001</v>
      </c>
      <c r="F369" s="10" t="s">
        <v>2758</v>
      </c>
      <c r="G369" s="10">
        <v>95171</v>
      </c>
      <c r="H369" s="42"/>
      <c r="I369" s="42">
        <v>556</v>
      </c>
      <c r="J369" s="44">
        <v>24965.200000000001</v>
      </c>
      <c r="K369" s="54">
        <f>+A369-D369</f>
        <v>0</v>
      </c>
      <c r="L369" s="33">
        <f t="shared" ref="L369:L373" si="121">+(B369-E369)/B369</f>
        <v>3.2797078849748633E-2</v>
      </c>
    </row>
    <row r="370" spans="1:12" ht="15" thickBot="1" x14ac:dyDescent="0.35">
      <c r="A370" s="199">
        <v>600</v>
      </c>
      <c r="B370" s="10">
        <v>26971.5</v>
      </c>
      <c r="C370" s="10" t="s">
        <v>2759</v>
      </c>
      <c r="D370" s="10">
        <f t="shared" ref="D370:E380" si="122">+I370</f>
        <v>600</v>
      </c>
      <c r="E370" s="10">
        <f t="shared" si="122"/>
        <v>26231.8</v>
      </c>
      <c r="F370" s="10" t="s">
        <v>2760</v>
      </c>
      <c r="G370" s="10">
        <v>95181</v>
      </c>
      <c r="H370" s="42"/>
      <c r="I370" s="42">
        <v>600</v>
      </c>
      <c r="J370" s="44">
        <v>26231.8</v>
      </c>
      <c r="K370" s="54">
        <f>+A370-D370</f>
        <v>0</v>
      </c>
      <c r="L370" s="33">
        <f t="shared" si="121"/>
        <v>2.7425245166193973E-2</v>
      </c>
    </row>
    <row r="371" spans="1:12" ht="15" thickBot="1" x14ac:dyDescent="0.35">
      <c r="A371" s="199">
        <v>145</v>
      </c>
      <c r="B371" s="10">
        <v>4909.5</v>
      </c>
      <c r="C371" s="10" t="s">
        <v>2761</v>
      </c>
      <c r="D371" s="10">
        <f t="shared" si="122"/>
        <v>145</v>
      </c>
      <c r="E371" s="10">
        <f t="shared" si="122"/>
        <v>4728.2</v>
      </c>
      <c r="F371" s="10" t="s">
        <v>2762</v>
      </c>
      <c r="G371" s="10">
        <v>95241</v>
      </c>
      <c r="H371" s="42"/>
      <c r="I371" s="42">
        <v>145</v>
      </c>
      <c r="J371" s="44">
        <v>4728.2</v>
      </c>
      <c r="K371" s="54">
        <f>+A371-D371</f>
        <v>0</v>
      </c>
      <c r="L371" s="33">
        <f t="shared" si="121"/>
        <v>3.6928404114471979E-2</v>
      </c>
    </row>
    <row r="372" spans="1:12" ht="15" thickBot="1" x14ac:dyDescent="0.35">
      <c r="A372" s="199">
        <v>145</v>
      </c>
      <c r="B372" s="10">
        <v>4761.25</v>
      </c>
      <c r="C372" s="10" t="s">
        <v>2763</v>
      </c>
      <c r="D372" s="10">
        <f t="shared" si="122"/>
        <v>145</v>
      </c>
      <c r="E372" s="10">
        <f t="shared" si="122"/>
        <v>4630.3</v>
      </c>
      <c r="F372" s="10" t="s">
        <v>2764</v>
      </c>
      <c r="G372" s="10">
        <v>95251</v>
      </c>
      <c r="H372" s="42"/>
      <c r="I372" s="42">
        <v>145</v>
      </c>
      <c r="J372" s="44">
        <v>4630.3</v>
      </c>
      <c r="K372" s="54">
        <f>+A372-D372</f>
        <v>0</v>
      </c>
      <c r="L372" s="33">
        <f t="shared" si="121"/>
        <v>2.7503281701233881E-2</v>
      </c>
    </row>
    <row r="373" spans="1:12" x14ac:dyDescent="0.3">
      <c r="A373" s="929">
        <v>2750</v>
      </c>
      <c r="B373" s="873">
        <v>116388.4</v>
      </c>
      <c r="C373" s="873" t="s">
        <v>2765</v>
      </c>
      <c r="D373" s="873">
        <f>+I373+I374+I375</f>
        <v>2750</v>
      </c>
      <c r="E373" s="873">
        <f>+J373+J374+J375</f>
        <v>111398.6</v>
      </c>
      <c r="F373" s="12" t="s">
        <v>2766</v>
      </c>
      <c r="G373" s="12">
        <v>95301</v>
      </c>
      <c r="H373" s="39"/>
      <c r="I373" s="39">
        <v>1000</v>
      </c>
      <c r="J373" s="41">
        <v>38967.4</v>
      </c>
      <c r="K373" s="877">
        <f>+A373-D373</f>
        <v>0</v>
      </c>
      <c r="L373" s="879">
        <f t="shared" si="121"/>
        <v>4.287197005887175E-2</v>
      </c>
    </row>
    <row r="374" spans="1:12" x14ac:dyDescent="0.3">
      <c r="A374" s="930"/>
      <c r="B374" s="881"/>
      <c r="C374" s="881"/>
      <c r="D374" s="881"/>
      <c r="E374" s="881"/>
      <c r="F374" s="15" t="s">
        <v>2766</v>
      </c>
      <c r="G374" s="15">
        <v>95301</v>
      </c>
      <c r="H374" s="50"/>
      <c r="I374" s="50">
        <v>250</v>
      </c>
      <c r="J374" s="51">
        <v>10369.299999999999</v>
      </c>
      <c r="K374" s="886"/>
      <c r="L374" s="885"/>
    </row>
    <row r="375" spans="1:12" ht="15" thickBot="1" x14ac:dyDescent="0.35">
      <c r="A375" s="931"/>
      <c r="B375" s="874"/>
      <c r="C375" s="874"/>
      <c r="D375" s="874"/>
      <c r="E375" s="874"/>
      <c r="F375" s="10" t="s">
        <v>2766</v>
      </c>
      <c r="G375" s="10">
        <v>95301</v>
      </c>
      <c r="H375" s="42"/>
      <c r="I375" s="42">
        <v>1500</v>
      </c>
      <c r="J375" s="44">
        <v>62061.900000000009</v>
      </c>
      <c r="K375" s="878"/>
      <c r="L375" s="880"/>
    </row>
    <row r="376" spans="1:12" ht="15" thickBot="1" x14ac:dyDescent="0.35">
      <c r="A376" s="181">
        <v>250</v>
      </c>
      <c r="B376" s="15">
        <v>11027.75</v>
      </c>
      <c r="C376" s="15" t="s">
        <v>2767</v>
      </c>
      <c r="D376" s="15">
        <f>+I376</f>
        <v>250</v>
      </c>
      <c r="E376" s="15">
        <f>+J376</f>
        <v>10814.5</v>
      </c>
      <c r="F376" s="15" t="s">
        <v>2768</v>
      </c>
      <c r="G376" s="15">
        <v>95351</v>
      </c>
      <c r="H376" s="50"/>
      <c r="I376" s="50">
        <v>250</v>
      </c>
      <c r="J376" s="51">
        <v>10814.5</v>
      </c>
      <c r="K376" s="54">
        <f>+A376-D376</f>
        <v>0</v>
      </c>
      <c r="L376" s="33">
        <f t="shared" ref="L376" si="123">+(B376-E376)/B376</f>
        <v>1.933758019541611E-2</v>
      </c>
    </row>
    <row r="377" spans="1:12" x14ac:dyDescent="0.3">
      <c r="A377" s="871">
        <v>2950</v>
      </c>
      <c r="B377" s="873">
        <v>116036.75</v>
      </c>
      <c r="C377" s="873" t="s">
        <v>2769</v>
      </c>
      <c r="D377" s="873">
        <f>+I377+I378+I379</f>
        <v>2948</v>
      </c>
      <c r="E377" s="873">
        <f>+J377+J378+J379</f>
        <v>116122.3</v>
      </c>
      <c r="F377" s="12" t="s">
        <v>2770</v>
      </c>
      <c r="G377" s="12">
        <v>95361</v>
      </c>
      <c r="H377" s="39"/>
      <c r="I377" s="39">
        <v>1772</v>
      </c>
      <c r="J377" s="41">
        <v>70287.899999999994</v>
      </c>
      <c r="K377" s="877">
        <f>+A377-D377</f>
        <v>2</v>
      </c>
      <c r="L377" s="879">
        <f>((+B377/A377)-(E377/D377))/(B377/A377)</f>
        <v>-1.4161926586801835E-3</v>
      </c>
    </row>
    <row r="378" spans="1:12" x14ac:dyDescent="0.3">
      <c r="A378" s="875"/>
      <c r="B378" s="881"/>
      <c r="C378" s="881"/>
      <c r="D378" s="881"/>
      <c r="E378" s="881"/>
      <c r="F378" s="15" t="s">
        <v>2770</v>
      </c>
      <c r="G378" s="15">
        <v>95361</v>
      </c>
      <c r="H378" s="50"/>
      <c r="I378" s="50">
        <v>1071</v>
      </c>
      <c r="J378" s="51">
        <v>41618.600000000006</v>
      </c>
      <c r="K378" s="886"/>
      <c r="L378" s="885"/>
    </row>
    <row r="379" spans="1:12" ht="15" thickBot="1" x14ac:dyDescent="0.35">
      <c r="A379" s="872"/>
      <c r="B379" s="881"/>
      <c r="C379" s="881"/>
      <c r="D379" s="881"/>
      <c r="E379" s="881"/>
      <c r="F379" s="15" t="s">
        <v>2770</v>
      </c>
      <c r="G379" s="15">
        <v>95361</v>
      </c>
      <c r="H379" s="50"/>
      <c r="I379" s="50">
        <v>105</v>
      </c>
      <c r="J379" s="51">
        <v>4215.8</v>
      </c>
      <c r="K379" s="878"/>
      <c r="L379" s="880"/>
    </row>
    <row r="380" spans="1:12" ht="15" thickBot="1" x14ac:dyDescent="0.35">
      <c r="A380" s="175">
        <v>300</v>
      </c>
      <c r="B380" s="8">
        <v>13320.5</v>
      </c>
      <c r="C380" s="8" t="s">
        <v>2771</v>
      </c>
      <c r="D380" s="8">
        <f t="shared" si="122"/>
        <v>300</v>
      </c>
      <c r="E380" s="8">
        <f t="shared" si="122"/>
        <v>12956.1</v>
      </c>
      <c r="F380" s="8" t="s">
        <v>2772</v>
      </c>
      <c r="G380" s="8">
        <v>95401</v>
      </c>
      <c r="H380" s="45"/>
      <c r="I380" s="45">
        <v>300</v>
      </c>
      <c r="J380" s="46">
        <v>12956.1</v>
      </c>
      <c r="K380" s="54">
        <f>+A380-D380</f>
        <v>0</v>
      </c>
      <c r="L380" s="33">
        <f t="shared" ref="L380" si="124">+(B380-E380)/B380</f>
        <v>2.7356330468075497E-2</v>
      </c>
    </row>
    <row r="381" spans="1:12" x14ac:dyDescent="0.3">
      <c r="A381" s="871">
        <v>1523</v>
      </c>
      <c r="B381" s="873">
        <v>57115.75</v>
      </c>
      <c r="C381" s="873" t="s">
        <v>2773</v>
      </c>
      <c r="D381" s="873">
        <f>+I381+I382</f>
        <v>1524</v>
      </c>
      <c r="E381" s="873">
        <f>+J381+J382</f>
        <v>58307.9</v>
      </c>
      <c r="F381" s="12" t="s">
        <v>2774</v>
      </c>
      <c r="G381" s="12">
        <v>95441</v>
      </c>
      <c r="H381" s="39"/>
      <c r="I381" s="39">
        <v>695</v>
      </c>
      <c r="J381" s="41">
        <v>26015</v>
      </c>
      <c r="K381" s="877">
        <f>+A381-D381</f>
        <v>-1</v>
      </c>
      <c r="L381" s="879">
        <f>((+B381/A381)-(E381/D381))/(B381/A381)</f>
        <v>-2.02026625422429E-2</v>
      </c>
    </row>
    <row r="382" spans="1:12" ht="15" thickBot="1" x14ac:dyDescent="0.35">
      <c r="A382" s="872"/>
      <c r="B382" s="874"/>
      <c r="C382" s="874"/>
      <c r="D382" s="874"/>
      <c r="E382" s="874"/>
      <c r="F382" s="10" t="s">
        <v>2774</v>
      </c>
      <c r="G382" s="10">
        <v>95441</v>
      </c>
      <c r="H382" s="42"/>
      <c r="I382" s="42">
        <v>829</v>
      </c>
      <c r="J382" s="44">
        <v>32292.9</v>
      </c>
      <c r="K382" s="878"/>
      <c r="L382" s="880"/>
    </row>
    <row r="383" spans="1:12" x14ac:dyDescent="0.3">
      <c r="A383" s="871">
        <v>998</v>
      </c>
      <c r="B383" s="873">
        <v>48934.2</v>
      </c>
      <c r="C383" s="873" t="s">
        <v>2775</v>
      </c>
      <c r="D383" s="873">
        <f>+I383+I384</f>
        <v>998</v>
      </c>
      <c r="E383" s="873">
        <f>+J383+J384</f>
        <v>47678.899999999994</v>
      </c>
      <c r="F383" s="12" t="s">
        <v>2776</v>
      </c>
      <c r="G383" s="12">
        <v>95501</v>
      </c>
      <c r="H383" s="39"/>
      <c r="I383" s="39">
        <v>608</v>
      </c>
      <c r="J383" s="41">
        <v>29053.599999999999</v>
      </c>
      <c r="K383" s="877">
        <f>+A383-D383</f>
        <v>0</v>
      </c>
      <c r="L383" s="879">
        <f t="shared" ref="L383" si="125">+(B383-E383)/B383</f>
        <v>2.565281541335105E-2</v>
      </c>
    </row>
    <row r="384" spans="1:12" ht="15" thickBot="1" x14ac:dyDescent="0.35">
      <c r="A384" s="872"/>
      <c r="B384" s="874"/>
      <c r="C384" s="874"/>
      <c r="D384" s="874"/>
      <c r="E384" s="874"/>
      <c r="F384" s="10" t="s">
        <v>2776</v>
      </c>
      <c r="G384" s="10">
        <v>95501</v>
      </c>
      <c r="H384" s="42"/>
      <c r="I384" s="42">
        <v>390</v>
      </c>
      <c r="J384" s="44">
        <v>18625.3</v>
      </c>
      <c r="K384" s="878"/>
      <c r="L384" s="880"/>
    </row>
    <row r="385" spans="1:12" ht="15" thickBot="1" x14ac:dyDescent="0.35">
      <c r="A385" s="175">
        <v>792</v>
      </c>
      <c r="B385" s="8">
        <v>36957</v>
      </c>
      <c r="C385" s="8" t="s">
        <v>2777</v>
      </c>
      <c r="D385" s="8">
        <f>+I385</f>
        <v>793</v>
      </c>
      <c r="E385" s="8">
        <f>+J385</f>
        <v>36162.300000000003</v>
      </c>
      <c r="F385" s="8" t="s">
        <v>2778</v>
      </c>
      <c r="G385" s="8">
        <v>95511</v>
      </c>
      <c r="H385" s="45"/>
      <c r="I385" s="45">
        <v>793</v>
      </c>
      <c r="J385" s="46">
        <v>36162.300000000003</v>
      </c>
      <c r="K385" s="54">
        <f>+A385-D385</f>
        <v>-1</v>
      </c>
      <c r="L385" s="53">
        <f>((+B385/A385)-(E385/D385))/(B385/A385)</f>
        <v>2.2737286347676272E-2</v>
      </c>
    </row>
    <row r="386" spans="1:12" ht="15" thickBot="1" x14ac:dyDescent="0.35">
      <c r="A386" s="175">
        <v>614</v>
      </c>
      <c r="B386" s="8">
        <v>28346</v>
      </c>
      <c r="C386" s="8" t="s">
        <v>2884</v>
      </c>
      <c r="D386" s="8">
        <f t="shared" ref="D386:E387" si="126">+I386</f>
        <v>614</v>
      </c>
      <c r="E386" s="8">
        <f t="shared" si="126"/>
        <v>28092.1</v>
      </c>
      <c r="F386" s="8" t="s">
        <v>2885</v>
      </c>
      <c r="G386" s="8">
        <v>95521</v>
      </c>
      <c r="H386" s="45"/>
      <c r="I386" s="45">
        <v>614</v>
      </c>
      <c r="J386" s="46">
        <v>28092.1</v>
      </c>
      <c r="K386" s="54">
        <f>+A386-D386</f>
        <v>0</v>
      </c>
      <c r="L386" s="33">
        <f t="shared" ref="L386" si="127">+(B386-E386)/B386</f>
        <v>8.9571720877725768E-3</v>
      </c>
    </row>
    <row r="387" spans="1:12" ht="15" thickBot="1" x14ac:dyDescent="0.35">
      <c r="A387" s="174">
        <v>340</v>
      </c>
      <c r="B387" s="12">
        <v>14377.1</v>
      </c>
      <c r="C387" s="12" t="s">
        <v>2886</v>
      </c>
      <c r="D387" s="12">
        <f t="shared" si="126"/>
        <v>339</v>
      </c>
      <c r="E387" s="12">
        <f t="shared" si="126"/>
        <v>14184.8</v>
      </c>
      <c r="F387" s="12" t="s">
        <v>2887</v>
      </c>
      <c r="G387" s="12">
        <v>95591</v>
      </c>
      <c r="H387" s="39"/>
      <c r="I387" s="39">
        <v>339</v>
      </c>
      <c r="J387" s="41">
        <v>14184.8</v>
      </c>
      <c r="K387" s="54">
        <f>+A387-D387</f>
        <v>1</v>
      </c>
      <c r="L387" s="53">
        <f>((+B387/A387)-(E387/D387))/(B387/A387)</f>
        <v>1.0465040387379531E-2</v>
      </c>
    </row>
    <row r="388" spans="1:12" x14ac:dyDescent="0.3">
      <c r="A388" s="871">
        <v>2053</v>
      </c>
      <c r="B388" s="873">
        <v>89875.5</v>
      </c>
      <c r="C388" s="873" t="s">
        <v>2888</v>
      </c>
      <c r="D388" s="873">
        <f>+I388+I389</f>
        <v>2063</v>
      </c>
      <c r="E388" s="873">
        <f>+J388+J389</f>
        <v>88713.2</v>
      </c>
      <c r="F388" s="12" t="s">
        <v>2889</v>
      </c>
      <c r="G388" s="12">
        <v>95601</v>
      </c>
      <c r="H388" s="39"/>
      <c r="I388" s="39">
        <v>1063</v>
      </c>
      <c r="J388" s="41">
        <v>46315.299999999996</v>
      </c>
      <c r="K388" s="882">
        <f>+A388-D388</f>
        <v>-10</v>
      </c>
      <c r="L388" s="879">
        <f>((+B388/A388)-(E388/D388))/(B388/A388)</f>
        <v>1.7716956887037224E-2</v>
      </c>
    </row>
    <row r="389" spans="1:12" ht="15" thickBot="1" x14ac:dyDescent="0.35">
      <c r="A389" s="872"/>
      <c r="B389" s="874"/>
      <c r="C389" s="874"/>
      <c r="D389" s="874"/>
      <c r="E389" s="874"/>
      <c r="F389" s="10" t="s">
        <v>2889</v>
      </c>
      <c r="G389" s="10">
        <v>95601</v>
      </c>
      <c r="H389" s="42"/>
      <c r="I389" s="42">
        <v>1000</v>
      </c>
      <c r="J389" s="44">
        <v>42397.9</v>
      </c>
      <c r="K389" s="884"/>
      <c r="L389" s="880"/>
    </row>
    <row r="390" spans="1:12" x14ac:dyDescent="0.3">
      <c r="A390" s="871">
        <v>928</v>
      </c>
      <c r="B390" s="873">
        <v>39371.5</v>
      </c>
      <c r="C390" s="873" t="s">
        <v>2890</v>
      </c>
      <c r="D390" s="873">
        <f>+I390+I391</f>
        <v>928</v>
      </c>
      <c r="E390" s="873">
        <f>+J390+J391</f>
        <v>39055.200000000004</v>
      </c>
      <c r="F390" s="12" t="s">
        <v>2891</v>
      </c>
      <c r="G390" s="12">
        <v>95661</v>
      </c>
      <c r="H390" s="39"/>
      <c r="I390" s="39">
        <v>628</v>
      </c>
      <c r="J390" s="41">
        <v>26511.000000000004</v>
      </c>
      <c r="K390" s="882">
        <f>+A390-D390</f>
        <v>0</v>
      </c>
      <c r="L390" s="879">
        <f t="shared" ref="L390" si="128">+(B390-E390)/B390</f>
        <v>8.0337299823475261E-3</v>
      </c>
    </row>
    <row r="391" spans="1:12" ht="15" thickBot="1" x14ac:dyDescent="0.35">
      <c r="A391" s="872"/>
      <c r="B391" s="874"/>
      <c r="C391" s="874"/>
      <c r="D391" s="881"/>
      <c r="E391" s="881"/>
      <c r="F391" s="15" t="s">
        <v>2891</v>
      </c>
      <c r="G391" s="15">
        <v>95661</v>
      </c>
      <c r="H391" s="50"/>
      <c r="I391" s="50">
        <v>300</v>
      </c>
      <c r="J391" s="51">
        <v>12544.2</v>
      </c>
      <c r="K391" s="884"/>
      <c r="L391" s="880"/>
    </row>
    <row r="392" spans="1:12" x14ac:dyDescent="0.3">
      <c r="A392" s="871">
        <v>858</v>
      </c>
      <c r="B392" s="873">
        <v>37326.5</v>
      </c>
      <c r="C392" s="873" t="s">
        <v>2892</v>
      </c>
      <c r="D392" s="873">
        <f>+I392+I393</f>
        <v>857</v>
      </c>
      <c r="E392" s="873">
        <f>+J392+J393</f>
        <v>36630.6</v>
      </c>
      <c r="F392" s="12" t="s">
        <v>2893</v>
      </c>
      <c r="G392" s="12">
        <v>95671</v>
      </c>
      <c r="H392" s="39"/>
      <c r="I392" s="39">
        <v>528</v>
      </c>
      <c r="J392" s="41">
        <v>22498.5</v>
      </c>
      <c r="K392" s="882">
        <f>+A392-D392</f>
        <v>1</v>
      </c>
      <c r="L392" s="879">
        <f>((+B392/A392)-(E392/D392))/(B392/A392)</f>
        <v>1.7498484352833285E-2</v>
      </c>
    </row>
    <row r="393" spans="1:12" ht="15" thickBot="1" x14ac:dyDescent="0.35">
      <c r="A393" s="872"/>
      <c r="B393" s="881"/>
      <c r="C393" s="881"/>
      <c r="D393" s="881"/>
      <c r="E393" s="881"/>
      <c r="F393" s="15" t="s">
        <v>2893</v>
      </c>
      <c r="G393" s="15">
        <v>95671</v>
      </c>
      <c r="H393" s="50"/>
      <c r="I393" s="50">
        <v>329</v>
      </c>
      <c r="J393" s="51">
        <v>14132.099999999999</v>
      </c>
      <c r="K393" s="884"/>
      <c r="L393" s="880"/>
    </row>
    <row r="394" spans="1:12" x14ac:dyDescent="0.3">
      <c r="A394" s="932">
        <v>2053</v>
      </c>
      <c r="B394" s="873">
        <v>99413.5</v>
      </c>
      <c r="C394" s="873" t="s">
        <v>2894</v>
      </c>
      <c r="D394" s="873">
        <f>+I394+I395+I396+I397+I398</f>
        <v>2094</v>
      </c>
      <c r="E394" s="873">
        <f>+J394+J395+J396+J397+J398</f>
        <v>95001.600000000006</v>
      </c>
      <c r="F394" s="12" t="s">
        <v>2895</v>
      </c>
      <c r="G394" s="12">
        <v>95691</v>
      </c>
      <c r="H394" s="39"/>
      <c r="I394" s="39">
        <v>225</v>
      </c>
      <c r="J394" s="41">
        <v>10505.8</v>
      </c>
      <c r="K394" s="882">
        <f>+A394-D394</f>
        <v>-41</v>
      </c>
      <c r="L394" s="879">
        <f>((+B394/A394)-(E394/D394))/(B394/A394)</f>
        <v>6.3090100805118801E-2</v>
      </c>
    </row>
    <row r="395" spans="1:12" x14ac:dyDescent="0.3">
      <c r="A395" s="933"/>
      <c r="B395" s="881"/>
      <c r="C395" s="881"/>
      <c r="D395" s="881"/>
      <c r="E395" s="881"/>
      <c r="F395" s="15" t="s">
        <v>2895</v>
      </c>
      <c r="G395" s="15">
        <v>95691</v>
      </c>
      <c r="H395" s="50"/>
      <c r="I395" s="50">
        <v>74</v>
      </c>
      <c r="J395" s="51">
        <v>3411.5</v>
      </c>
      <c r="K395" s="883"/>
      <c r="L395" s="885"/>
    </row>
    <row r="396" spans="1:12" x14ac:dyDescent="0.3">
      <c r="A396" s="933"/>
      <c r="B396" s="881"/>
      <c r="C396" s="881"/>
      <c r="D396" s="881"/>
      <c r="E396" s="881"/>
      <c r="F396" s="15" t="s">
        <v>2895</v>
      </c>
      <c r="G396" s="15">
        <v>95691</v>
      </c>
      <c r="I396" s="50">
        <v>147</v>
      </c>
      <c r="J396" s="51">
        <v>6749.4</v>
      </c>
      <c r="K396" s="883"/>
      <c r="L396" s="885"/>
    </row>
    <row r="397" spans="1:12" x14ac:dyDescent="0.3">
      <c r="A397" s="933"/>
      <c r="B397" s="881"/>
      <c r="C397" s="881"/>
      <c r="D397" s="881"/>
      <c r="E397" s="881"/>
      <c r="F397" s="15" t="s">
        <v>2895</v>
      </c>
      <c r="G397" s="15">
        <v>95691</v>
      </c>
      <c r="I397" s="50">
        <v>955</v>
      </c>
      <c r="J397" s="51">
        <v>44127.700000000004</v>
      </c>
      <c r="K397" s="883"/>
      <c r="L397" s="885"/>
    </row>
    <row r="398" spans="1:12" ht="15" thickBot="1" x14ac:dyDescent="0.35">
      <c r="A398" s="934"/>
      <c r="B398" s="881"/>
      <c r="C398" s="881"/>
      <c r="D398" s="881"/>
      <c r="E398" s="881"/>
      <c r="F398" s="15" t="s">
        <v>2895</v>
      </c>
      <c r="G398" s="15">
        <v>95691</v>
      </c>
      <c r="I398" s="50">
        <v>693</v>
      </c>
      <c r="J398" s="51">
        <v>30207.200000000001</v>
      </c>
      <c r="K398" s="884"/>
      <c r="L398" s="880"/>
    </row>
    <row r="399" spans="1:12" x14ac:dyDescent="0.3">
      <c r="A399" s="871">
        <v>1762</v>
      </c>
      <c r="B399" s="873">
        <v>67838.5</v>
      </c>
      <c r="C399" s="873" t="s">
        <v>2896</v>
      </c>
      <c r="D399" s="873">
        <f>+I399+I400</f>
        <v>1759</v>
      </c>
      <c r="E399" s="873">
        <f>+J399+J400</f>
        <v>69156.5</v>
      </c>
      <c r="F399" s="12" t="s">
        <v>2897</v>
      </c>
      <c r="G399" s="12">
        <v>95761</v>
      </c>
      <c r="H399" s="40"/>
      <c r="I399" s="39">
        <v>695</v>
      </c>
      <c r="J399" s="41">
        <v>25915.300000000003</v>
      </c>
      <c r="K399" s="882">
        <f>+A399-D399</f>
        <v>3</v>
      </c>
      <c r="L399" s="879">
        <f>((+B399/A399)-(E399/D399))/(B399/A399)</f>
        <v>-2.1167145696072476E-2</v>
      </c>
    </row>
    <row r="400" spans="1:12" ht="15" thickBot="1" x14ac:dyDescent="0.35">
      <c r="A400" s="872"/>
      <c r="B400" s="881"/>
      <c r="C400" s="881"/>
      <c r="D400" s="881"/>
      <c r="E400" s="881"/>
      <c r="F400" s="15" t="s">
        <v>2897</v>
      </c>
      <c r="G400" s="15">
        <v>95761</v>
      </c>
      <c r="I400" s="50">
        <v>1064</v>
      </c>
      <c r="J400" s="51">
        <v>43241.2</v>
      </c>
      <c r="K400" s="884"/>
      <c r="L400" s="880"/>
    </row>
    <row r="401" spans="1:12" x14ac:dyDescent="0.3">
      <c r="A401" s="871">
        <v>1200</v>
      </c>
      <c r="B401" s="873">
        <v>48765.65</v>
      </c>
      <c r="C401" s="873" t="s">
        <v>2898</v>
      </c>
      <c r="D401" s="873">
        <f>+I401+I402</f>
        <v>1200</v>
      </c>
      <c r="E401" s="873">
        <f>+J401+J402</f>
        <v>50296.500000000007</v>
      </c>
      <c r="F401" s="12" t="s">
        <v>2899</v>
      </c>
      <c r="G401" s="12">
        <v>95831</v>
      </c>
      <c r="H401" s="39"/>
      <c r="I401" s="39">
        <v>1026</v>
      </c>
      <c r="J401" s="41">
        <v>42750.100000000006</v>
      </c>
      <c r="K401" s="882">
        <f>+A401-D401</f>
        <v>0</v>
      </c>
      <c r="L401" s="879">
        <f t="shared" ref="L401" si="129">+(B401-E401)/B401</f>
        <v>-3.1391973653586196E-2</v>
      </c>
    </row>
    <row r="402" spans="1:12" ht="15" thickBot="1" x14ac:dyDescent="0.35">
      <c r="A402" s="872"/>
      <c r="B402" s="874"/>
      <c r="C402" s="874"/>
      <c r="D402" s="874"/>
      <c r="E402" s="874"/>
      <c r="F402" s="10" t="s">
        <v>2899</v>
      </c>
      <c r="G402" s="10">
        <v>95831</v>
      </c>
      <c r="H402" s="43"/>
      <c r="I402" s="42">
        <v>174</v>
      </c>
      <c r="J402" s="44">
        <v>7546.4</v>
      </c>
      <c r="K402" s="883"/>
      <c r="L402" s="880"/>
    </row>
    <row r="403" spans="1:12" ht="15" thickBot="1" x14ac:dyDescent="0.35">
      <c r="A403" s="174">
        <v>1106</v>
      </c>
      <c r="B403" s="12">
        <v>44823</v>
      </c>
      <c r="C403" s="12" t="s">
        <v>2900</v>
      </c>
      <c r="D403" s="12">
        <f t="shared" ref="D403:E403" si="130">+I403</f>
        <v>1101</v>
      </c>
      <c r="E403" s="12">
        <f t="shared" si="130"/>
        <v>45769.5</v>
      </c>
      <c r="F403" s="12" t="s">
        <v>2901</v>
      </c>
      <c r="G403" s="12">
        <v>95911</v>
      </c>
      <c r="H403" s="40"/>
      <c r="I403" s="39">
        <v>1101</v>
      </c>
      <c r="J403" s="41">
        <v>45769.5</v>
      </c>
      <c r="K403" s="54">
        <f>+A403-D403</f>
        <v>5</v>
      </c>
      <c r="L403" s="53">
        <f>((+B403/A403)-(E403/D403))/(B403/A403)</f>
        <v>-2.5753613623212181E-2</v>
      </c>
    </row>
    <row r="404" spans="1:12" x14ac:dyDescent="0.3">
      <c r="A404" s="871">
        <v>2481</v>
      </c>
      <c r="B404" s="873">
        <v>101887.5</v>
      </c>
      <c r="C404" s="873" t="s">
        <v>2902</v>
      </c>
      <c r="D404" s="873">
        <v>2481</v>
      </c>
      <c r="E404" s="873">
        <v>99463.4</v>
      </c>
      <c r="F404" s="12" t="s">
        <v>2903</v>
      </c>
      <c r="G404" s="12">
        <v>95941</v>
      </c>
      <c r="H404" s="40"/>
      <c r="I404" s="39">
        <v>250</v>
      </c>
      <c r="J404" s="41">
        <v>9982.2000000000007</v>
      </c>
      <c r="K404" s="877">
        <f>+A404-D404</f>
        <v>0</v>
      </c>
      <c r="L404" s="879">
        <f>((+B404/A404)-(E404/D404))/(B404/A404)</f>
        <v>2.3791927370874738E-2</v>
      </c>
    </row>
    <row r="405" spans="1:12" ht="15" thickBot="1" x14ac:dyDescent="0.35">
      <c r="A405" s="872"/>
      <c r="B405" s="874"/>
      <c r="C405" s="874"/>
      <c r="D405" s="874"/>
      <c r="E405" s="874"/>
      <c r="F405" s="126" t="s">
        <v>2903</v>
      </c>
      <c r="G405" s="126">
        <v>95941</v>
      </c>
      <c r="H405" s="278"/>
      <c r="I405" s="279">
        <v>689</v>
      </c>
      <c r="J405" s="280">
        <v>27916.399999999998</v>
      </c>
      <c r="K405" s="878"/>
      <c r="L405" s="880"/>
    </row>
    <row r="406" spans="1:12" ht="15" thickBot="1" x14ac:dyDescent="0.35">
      <c r="A406" s="175">
        <v>1800</v>
      </c>
      <c r="B406" s="8">
        <v>73318</v>
      </c>
      <c r="C406" s="8" t="s">
        <v>2994</v>
      </c>
      <c r="D406" s="8">
        <f>+I406</f>
        <v>1792</v>
      </c>
      <c r="E406" s="8">
        <f>+J406</f>
        <v>75390</v>
      </c>
      <c r="F406" s="8" t="s">
        <v>2995</v>
      </c>
      <c r="G406" s="8">
        <v>95991</v>
      </c>
      <c r="H406" s="14"/>
      <c r="I406" s="45">
        <v>1792</v>
      </c>
      <c r="J406" s="46">
        <v>75390</v>
      </c>
      <c r="K406" s="54">
        <f>+A406-D406</f>
        <v>8</v>
      </c>
      <c r="L406" s="53">
        <f>((+B406/A406)-(E406/D406))/(B406/A406)</f>
        <v>-3.2850902916064337E-2</v>
      </c>
    </row>
    <row r="407" spans="1:12" ht="15" thickBot="1" x14ac:dyDescent="0.35">
      <c r="A407" s="174">
        <v>500</v>
      </c>
      <c r="B407" s="12">
        <v>21746</v>
      </c>
      <c r="C407" s="12" t="s">
        <v>2996</v>
      </c>
      <c r="D407" s="12">
        <f>+I407</f>
        <v>500</v>
      </c>
      <c r="E407" s="12">
        <f>+J407</f>
        <v>20901.5</v>
      </c>
      <c r="F407" s="12" t="s">
        <v>2997</v>
      </c>
      <c r="G407" s="12">
        <v>96061</v>
      </c>
      <c r="H407" s="40"/>
      <c r="I407" s="39">
        <v>500</v>
      </c>
      <c r="J407" s="41">
        <v>20901.5</v>
      </c>
      <c r="K407" s="54">
        <f>+A407-D407</f>
        <v>0</v>
      </c>
      <c r="L407" s="53">
        <f>((+B407/A407)-(E407/D407))/(B407/A407)</f>
        <v>3.8834728225880626E-2</v>
      </c>
    </row>
    <row r="408" spans="1:12" x14ac:dyDescent="0.3">
      <c r="A408" s="871">
        <v>2860</v>
      </c>
      <c r="B408" s="873">
        <v>124953.4</v>
      </c>
      <c r="C408" s="873" t="s">
        <v>2998</v>
      </c>
      <c r="D408" s="873">
        <f>+I408+I409+I410</f>
        <v>2859</v>
      </c>
      <c r="E408" s="873">
        <f>+J408+J409+J410</f>
        <v>122686.90000000001</v>
      </c>
      <c r="F408" s="12" t="s">
        <v>2999</v>
      </c>
      <c r="G408" s="12">
        <v>96141</v>
      </c>
      <c r="H408" s="40"/>
      <c r="I408" s="39">
        <v>1414</v>
      </c>
      <c r="J408" s="41">
        <v>60232</v>
      </c>
      <c r="K408" s="877">
        <f>+A408-D408</f>
        <v>1</v>
      </c>
      <c r="L408" s="879">
        <f>((+B408/A408)-(E408/D408))/(B408/A408)</f>
        <v>1.7795333925600974E-2</v>
      </c>
    </row>
    <row r="409" spans="1:12" x14ac:dyDescent="0.3">
      <c r="A409" s="875"/>
      <c r="B409" s="881"/>
      <c r="C409" s="881"/>
      <c r="D409" s="881"/>
      <c r="E409" s="881"/>
      <c r="F409" s="15" t="s">
        <v>2999</v>
      </c>
      <c r="G409" s="15">
        <v>96141</v>
      </c>
      <c r="I409" s="50">
        <v>1005</v>
      </c>
      <c r="J409" s="51">
        <v>42548.1</v>
      </c>
      <c r="K409" s="886"/>
      <c r="L409" s="885"/>
    </row>
    <row r="410" spans="1:12" ht="15" thickBot="1" x14ac:dyDescent="0.35">
      <c r="A410" s="872"/>
      <c r="B410" s="874"/>
      <c r="C410" s="874"/>
      <c r="D410" s="874"/>
      <c r="E410" s="874"/>
      <c r="F410" s="10" t="s">
        <v>2999</v>
      </c>
      <c r="G410" s="10">
        <v>96141</v>
      </c>
      <c r="H410" s="43"/>
      <c r="I410" s="42">
        <v>440</v>
      </c>
      <c r="J410" s="44">
        <v>19906.8</v>
      </c>
      <c r="K410" s="878"/>
      <c r="L410" s="880"/>
    </row>
    <row r="411" spans="1:12" ht="15" thickBot="1" x14ac:dyDescent="0.35">
      <c r="A411" s="175">
        <v>592</v>
      </c>
      <c r="B411" s="8">
        <v>24746.75</v>
      </c>
      <c r="C411" s="8" t="s">
        <v>3000</v>
      </c>
      <c r="D411" s="8">
        <f t="shared" ref="D411:E415" si="131">+I411</f>
        <v>587</v>
      </c>
      <c r="E411" s="8">
        <f t="shared" si="131"/>
        <v>25091.9</v>
      </c>
      <c r="F411" s="8" t="s">
        <v>3001</v>
      </c>
      <c r="G411" s="8">
        <v>96151</v>
      </c>
      <c r="H411" s="14"/>
      <c r="I411" s="45">
        <v>587</v>
      </c>
      <c r="J411" s="46">
        <v>25091.9</v>
      </c>
      <c r="K411" s="54">
        <f t="shared" ref="K411:K416" si="132">+A411-D411</f>
        <v>5</v>
      </c>
      <c r="L411" s="53">
        <f t="shared" ref="L411:L416" si="133">((+B411/A411)-(E411/D411))/(B411/A411)</f>
        <v>-2.2583974985168828E-2</v>
      </c>
    </row>
    <row r="412" spans="1:12" ht="15" thickBot="1" x14ac:dyDescent="0.35">
      <c r="A412" s="175">
        <v>880</v>
      </c>
      <c r="B412" s="8">
        <v>39279.4</v>
      </c>
      <c r="C412" s="8" t="s">
        <v>3002</v>
      </c>
      <c r="D412" s="8">
        <f t="shared" si="131"/>
        <v>880</v>
      </c>
      <c r="E412" s="8">
        <f t="shared" si="131"/>
        <v>38408</v>
      </c>
      <c r="F412" s="8" t="s">
        <v>3003</v>
      </c>
      <c r="G412" s="8">
        <v>96161</v>
      </c>
      <c r="H412" s="14"/>
      <c r="I412" s="45">
        <v>880</v>
      </c>
      <c r="J412" s="46">
        <v>38408</v>
      </c>
      <c r="K412" s="54">
        <f t="shared" si="132"/>
        <v>0</v>
      </c>
      <c r="L412" s="53">
        <f t="shared" si="133"/>
        <v>2.2184656588440797E-2</v>
      </c>
    </row>
    <row r="413" spans="1:12" ht="15" thickBot="1" x14ac:dyDescent="0.35">
      <c r="A413" s="175">
        <v>100</v>
      </c>
      <c r="B413" s="8">
        <v>3895.5</v>
      </c>
      <c r="C413" s="8" t="s">
        <v>3004</v>
      </c>
      <c r="D413" s="8">
        <f t="shared" si="131"/>
        <v>98</v>
      </c>
      <c r="E413" s="8">
        <f t="shared" si="131"/>
        <v>3966.7</v>
      </c>
      <c r="F413" s="8" t="s">
        <v>3005</v>
      </c>
      <c r="G413" s="8">
        <v>96291</v>
      </c>
      <c r="H413" s="14"/>
      <c r="I413" s="45">
        <v>98</v>
      </c>
      <c r="J413" s="46">
        <v>3966.7</v>
      </c>
      <c r="K413" s="54">
        <f t="shared" si="132"/>
        <v>2</v>
      </c>
      <c r="L413" s="53">
        <f t="shared" si="133"/>
        <v>-3.9058673141955977E-2</v>
      </c>
    </row>
    <row r="414" spans="1:12" ht="15" thickBot="1" x14ac:dyDescent="0.35">
      <c r="A414" s="175">
        <v>943</v>
      </c>
      <c r="B414" s="8">
        <v>40320.300000000003</v>
      </c>
      <c r="C414" s="8" t="s">
        <v>3006</v>
      </c>
      <c r="D414" s="8">
        <f t="shared" si="131"/>
        <v>943</v>
      </c>
      <c r="E414" s="8">
        <f t="shared" si="131"/>
        <v>39058</v>
      </c>
      <c r="F414" s="8" t="s">
        <v>3007</v>
      </c>
      <c r="G414" s="8">
        <v>96311</v>
      </c>
      <c r="H414" s="14"/>
      <c r="I414" s="45">
        <v>943</v>
      </c>
      <c r="J414" s="46">
        <v>39058</v>
      </c>
      <c r="K414" s="54">
        <f t="shared" si="132"/>
        <v>0</v>
      </c>
      <c r="L414" s="53">
        <f t="shared" si="133"/>
        <v>3.1306810713213916E-2</v>
      </c>
    </row>
    <row r="415" spans="1:12" ht="15" thickBot="1" x14ac:dyDescent="0.35">
      <c r="A415" s="175">
        <v>1055</v>
      </c>
      <c r="B415" s="8">
        <v>38031</v>
      </c>
      <c r="C415" s="8" t="s">
        <v>3008</v>
      </c>
      <c r="D415" s="8">
        <f t="shared" si="131"/>
        <v>1055</v>
      </c>
      <c r="E415" s="8">
        <f t="shared" si="131"/>
        <v>37817.500000000007</v>
      </c>
      <c r="F415" s="8" t="s">
        <v>3009</v>
      </c>
      <c r="G415" s="8">
        <v>96321</v>
      </c>
      <c r="H415" s="14"/>
      <c r="I415" s="45">
        <v>1055</v>
      </c>
      <c r="J415" s="46">
        <v>37817.500000000007</v>
      </c>
      <c r="K415" s="54">
        <f t="shared" si="132"/>
        <v>0</v>
      </c>
      <c r="L415" s="53">
        <f t="shared" si="133"/>
        <v>5.6138413399591689E-3</v>
      </c>
    </row>
    <row r="416" spans="1:12" x14ac:dyDescent="0.3">
      <c r="A416" s="871">
        <v>1858</v>
      </c>
      <c r="B416" s="873">
        <v>78630.75</v>
      </c>
      <c r="C416" s="873" t="s">
        <v>3010</v>
      </c>
      <c r="D416" s="873">
        <f>+I416+I417</f>
        <v>1858</v>
      </c>
      <c r="E416" s="873">
        <f>+J416+J417</f>
        <v>79107.5</v>
      </c>
      <c r="F416" s="12" t="s">
        <v>3011</v>
      </c>
      <c r="G416" s="12">
        <v>96331</v>
      </c>
      <c r="H416" s="40"/>
      <c r="I416" s="39">
        <v>362</v>
      </c>
      <c r="J416" s="41">
        <v>15298.6</v>
      </c>
      <c r="K416" s="877">
        <f t="shared" si="132"/>
        <v>0</v>
      </c>
      <c r="L416" s="879">
        <f t="shared" si="133"/>
        <v>-6.0631495947831857E-3</v>
      </c>
    </row>
    <row r="417" spans="1:12" ht="15" thickBot="1" x14ac:dyDescent="0.35">
      <c r="A417" s="872"/>
      <c r="B417" s="874"/>
      <c r="C417" s="874"/>
      <c r="D417" s="874"/>
      <c r="E417" s="874"/>
      <c r="F417" s="10" t="s">
        <v>3011</v>
      </c>
      <c r="G417" s="10">
        <v>96331</v>
      </c>
      <c r="H417" s="43"/>
      <c r="I417" s="42">
        <v>1496</v>
      </c>
      <c r="J417" s="44">
        <v>63808.9</v>
      </c>
      <c r="K417" s="878"/>
      <c r="L417" s="880"/>
    </row>
    <row r="418" spans="1:12" ht="15" thickBot="1" x14ac:dyDescent="0.35">
      <c r="A418" s="175">
        <v>300</v>
      </c>
      <c r="B418" s="8">
        <v>9614.25</v>
      </c>
      <c r="C418" s="8" t="s">
        <v>3012</v>
      </c>
      <c r="D418" s="8">
        <f>+I418</f>
        <v>300</v>
      </c>
      <c r="E418" s="8">
        <f>+J418</f>
        <v>9626.4</v>
      </c>
      <c r="F418" s="8" t="s">
        <v>3013</v>
      </c>
      <c r="G418" s="8">
        <v>96381</v>
      </c>
      <c r="H418" s="14"/>
      <c r="I418" s="45">
        <v>300</v>
      </c>
      <c r="J418" s="46">
        <v>9626.4</v>
      </c>
      <c r="K418" s="54">
        <f>+A418-D418</f>
        <v>0</v>
      </c>
      <c r="L418" s="53">
        <f>((+B418/A418)-(E418/D418))/(B418/A418)</f>
        <v>-1.2637491223964907E-3</v>
      </c>
    </row>
    <row r="419" spans="1:12" ht="15" thickBot="1" x14ac:dyDescent="0.35">
      <c r="A419" s="175">
        <v>311</v>
      </c>
      <c r="B419" s="8">
        <v>10100</v>
      </c>
      <c r="C419" s="8" t="s">
        <v>3014</v>
      </c>
      <c r="D419" s="8">
        <f>+I419</f>
        <v>310</v>
      </c>
      <c r="E419" s="8">
        <f>+J419</f>
        <v>9991.9</v>
      </c>
      <c r="F419" s="8" t="s">
        <v>3015</v>
      </c>
      <c r="G419" s="8">
        <v>96391</v>
      </c>
      <c r="H419" s="14"/>
      <c r="I419" s="45">
        <v>310</v>
      </c>
      <c r="J419" s="46">
        <v>9991.9</v>
      </c>
      <c r="K419" s="54">
        <f>+A419-D419</f>
        <v>1</v>
      </c>
      <c r="L419" s="53">
        <f>((+B419/A419)-(E419/D419))/(B419/A419)</f>
        <v>7.5116895560523554E-3</v>
      </c>
    </row>
    <row r="420" spans="1:12" x14ac:dyDescent="0.3">
      <c r="A420" s="871">
        <v>1925</v>
      </c>
      <c r="B420" s="873">
        <v>91574.9</v>
      </c>
      <c r="C420" s="873" t="s">
        <v>3016</v>
      </c>
      <c r="D420" s="873">
        <f>+I420+I421+I422</f>
        <v>1925</v>
      </c>
      <c r="E420" s="873">
        <f>+J420+J421+J422</f>
        <v>89305</v>
      </c>
      <c r="F420" s="12" t="s">
        <v>3017</v>
      </c>
      <c r="G420" s="12">
        <v>96401</v>
      </c>
      <c r="H420" s="40"/>
      <c r="I420" s="39">
        <v>104</v>
      </c>
      <c r="J420" s="41">
        <v>4682.8</v>
      </c>
      <c r="K420" s="877">
        <f>+A420-D420</f>
        <v>0</v>
      </c>
      <c r="L420" s="879">
        <f>((+B420/A420)-(E420/D420))/(B420/A420)</f>
        <v>2.4787359855156801E-2</v>
      </c>
    </row>
    <row r="421" spans="1:12" x14ac:dyDescent="0.3">
      <c r="A421" s="875"/>
      <c r="B421" s="881"/>
      <c r="C421" s="881"/>
      <c r="D421" s="881"/>
      <c r="E421" s="881"/>
      <c r="F421" s="15" t="s">
        <v>3017</v>
      </c>
      <c r="G421" s="15">
        <v>96401</v>
      </c>
      <c r="I421" s="50">
        <v>1406</v>
      </c>
      <c r="J421" s="51">
        <v>65141.000000000007</v>
      </c>
      <c r="K421" s="886"/>
      <c r="L421" s="885"/>
    </row>
    <row r="422" spans="1:12" ht="15" thickBot="1" x14ac:dyDescent="0.35">
      <c r="A422" s="872"/>
      <c r="B422" s="874"/>
      <c r="C422" s="874"/>
      <c r="D422" s="874"/>
      <c r="E422" s="874"/>
      <c r="F422" s="10" t="s">
        <v>3017</v>
      </c>
      <c r="G422" s="10">
        <v>96401</v>
      </c>
      <c r="H422" s="43"/>
      <c r="I422" s="42">
        <v>415</v>
      </c>
      <c r="J422" s="44">
        <v>19481.199999999997</v>
      </c>
      <c r="K422" s="878"/>
      <c r="L422" s="880"/>
    </row>
    <row r="423" spans="1:12" x14ac:dyDescent="0.3">
      <c r="A423" s="871">
        <v>1718</v>
      </c>
      <c r="B423" s="873">
        <v>62837</v>
      </c>
      <c r="C423" s="873" t="s">
        <v>3018</v>
      </c>
      <c r="D423" s="873">
        <f>+I423+I424</f>
        <v>1718</v>
      </c>
      <c r="E423" s="873">
        <f>+J423+J424</f>
        <v>60444.100000000006</v>
      </c>
      <c r="F423" s="12" t="s">
        <v>3019</v>
      </c>
      <c r="G423" s="12">
        <v>96471</v>
      </c>
      <c r="H423" s="40"/>
      <c r="I423" s="39">
        <v>1000</v>
      </c>
      <c r="J423" s="41">
        <v>34805.800000000003</v>
      </c>
      <c r="K423" s="877">
        <f>+A423-D423</f>
        <v>0</v>
      </c>
      <c r="L423" s="879">
        <f>((+B423/A423)-(E423/D423))/(B423/A423)</f>
        <v>3.8081066887343418E-2</v>
      </c>
    </row>
    <row r="424" spans="1:12" ht="15" thickBot="1" x14ac:dyDescent="0.35">
      <c r="A424" s="872"/>
      <c r="B424" s="874"/>
      <c r="C424" s="874"/>
      <c r="D424" s="874"/>
      <c r="E424" s="874"/>
      <c r="F424" s="10" t="s">
        <v>3019</v>
      </c>
      <c r="G424" s="10">
        <v>96471</v>
      </c>
      <c r="H424" s="43"/>
      <c r="I424" s="42">
        <v>718</v>
      </c>
      <c r="J424" s="44">
        <v>25638.3</v>
      </c>
      <c r="K424" s="878"/>
      <c r="L424" s="880"/>
    </row>
    <row r="425" spans="1:12" ht="15" thickBot="1" x14ac:dyDescent="0.35">
      <c r="A425" s="175">
        <v>588</v>
      </c>
      <c r="B425" s="8">
        <v>26218.7</v>
      </c>
      <c r="C425" s="8" t="s">
        <v>3020</v>
      </c>
      <c r="D425" s="8">
        <f t="shared" ref="D425:E431" si="134">+I425</f>
        <v>588</v>
      </c>
      <c r="E425" s="8">
        <f t="shared" si="134"/>
        <v>25854.199999999997</v>
      </c>
      <c r="F425" s="8" t="s">
        <v>3021</v>
      </c>
      <c r="G425" s="8">
        <v>96481</v>
      </c>
      <c r="H425" s="14"/>
      <c r="I425" s="45">
        <v>588</v>
      </c>
      <c r="J425" s="46">
        <v>25854.199999999997</v>
      </c>
      <c r="K425" s="54">
        <f t="shared" ref="K425:K432" si="135">+A425-D425</f>
        <v>0</v>
      </c>
      <c r="L425" s="53">
        <f>((+B425/A425)-(E425/D425))/(B425/A425)</f>
        <v>1.3902291112831708E-2</v>
      </c>
    </row>
    <row r="426" spans="1:12" ht="15" thickBot="1" x14ac:dyDescent="0.35">
      <c r="A426" s="175">
        <v>293</v>
      </c>
      <c r="B426" s="8">
        <v>12731.7</v>
      </c>
      <c r="C426" s="8" t="s">
        <v>3022</v>
      </c>
      <c r="D426" s="8">
        <f t="shared" si="134"/>
        <v>293</v>
      </c>
      <c r="E426" s="8">
        <f t="shared" si="134"/>
        <v>12552.3</v>
      </c>
      <c r="F426" s="8" t="s">
        <v>3023</v>
      </c>
      <c r="G426" s="8">
        <v>96571</v>
      </c>
      <c r="H426" s="14"/>
      <c r="I426" s="45">
        <v>293</v>
      </c>
      <c r="J426" s="46">
        <v>12552.3</v>
      </c>
      <c r="K426" s="54">
        <f t="shared" si="135"/>
        <v>0</v>
      </c>
      <c r="L426" s="53">
        <f>((+B426/A426)-(E426/D426))/(B426/A426)</f>
        <v>1.4090812695869566E-2</v>
      </c>
    </row>
    <row r="427" spans="1:12" ht="15" thickBot="1" x14ac:dyDescent="0.35">
      <c r="A427" s="175">
        <v>178</v>
      </c>
      <c r="B427" s="8">
        <v>8019</v>
      </c>
      <c r="C427" s="8" t="s">
        <v>3024</v>
      </c>
      <c r="D427" s="8">
        <f t="shared" si="134"/>
        <v>178</v>
      </c>
      <c r="E427" s="8">
        <f t="shared" si="134"/>
        <v>7963.6</v>
      </c>
      <c r="F427" s="8" t="s">
        <v>3025</v>
      </c>
      <c r="G427" s="8">
        <v>96581</v>
      </c>
      <c r="H427" s="14"/>
      <c r="I427" s="45">
        <v>178</v>
      </c>
      <c r="J427" s="46">
        <v>7963.6</v>
      </c>
      <c r="K427" s="54">
        <f t="shared" si="135"/>
        <v>0</v>
      </c>
      <c r="L427" s="53">
        <f>((+B427/A427)-(E427/D427))/(B427/A427)</f>
        <v>6.908592093777202E-3</v>
      </c>
    </row>
    <row r="428" spans="1:12" ht="15" thickBot="1" x14ac:dyDescent="0.35">
      <c r="A428" s="175">
        <v>140</v>
      </c>
      <c r="B428" s="8">
        <v>5073</v>
      </c>
      <c r="C428" s="8" t="s">
        <v>3026</v>
      </c>
      <c r="D428" s="8">
        <f t="shared" si="134"/>
        <v>140</v>
      </c>
      <c r="E428" s="8">
        <f t="shared" si="134"/>
        <v>5028.5</v>
      </c>
      <c r="F428" s="8" t="s">
        <v>3027</v>
      </c>
      <c r="G428" s="8">
        <v>96591</v>
      </c>
      <c r="H428" s="14"/>
      <c r="I428" s="45">
        <v>140</v>
      </c>
      <c r="J428" s="46">
        <v>5028.5</v>
      </c>
      <c r="K428" s="54">
        <f t="shared" si="135"/>
        <v>0</v>
      </c>
      <c r="L428" s="33">
        <f t="shared" ref="L428" si="136">+(B428-E428)/B428</f>
        <v>8.771929824561403E-3</v>
      </c>
    </row>
    <row r="429" spans="1:12" ht="15" thickBot="1" x14ac:dyDescent="0.35">
      <c r="A429" s="175">
        <v>947</v>
      </c>
      <c r="B429" s="8">
        <v>39961.5</v>
      </c>
      <c r="C429" s="8" t="s">
        <v>3186</v>
      </c>
      <c r="D429" s="8">
        <f t="shared" si="134"/>
        <v>947</v>
      </c>
      <c r="E429" s="8">
        <f t="shared" si="134"/>
        <v>38441.4</v>
      </c>
      <c r="F429" s="8" t="s">
        <v>3187</v>
      </c>
      <c r="G429" s="8">
        <v>96601</v>
      </c>
      <c r="H429" s="14"/>
      <c r="I429" s="45">
        <v>947</v>
      </c>
      <c r="J429" s="46">
        <v>38441.4</v>
      </c>
      <c r="K429" s="54">
        <f t="shared" si="135"/>
        <v>0</v>
      </c>
      <c r="L429" s="53">
        <f>((+B429/A429)-(E429/D429))/(B429/A429)</f>
        <v>3.8039112645921802E-2</v>
      </c>
    </row>
    <row r="430" spans="1:12" ht="15" thickBot="1" x14ac:dyDescent="0.35">
      <c r="A430" s="199">
        <v>1206</v>
      </c>
      <c r="B430" s="10">
        <v>54079.25</v>
      </c>
      <c r="C430" s="10" t="s">
        <v>3188</v>
      </c>
      <c r="D430" s="8">
        <f t="shared" si="134"/>
        <v>1208</v>
      </c>
      <c r="E430" s="8">
        <f t="shared" si="134"/>
        <v>54462.8</v>
      </c>
      <c r="F430" s="10" t="s">
        <v>3189</v>
      </c>
      <c r="G430" s="10">
        <v>96611</v>
      </c>
      <c r="H430" s="43"/>
      <c r="I430" s="42">
        <v>1208</v>
      </c>
      <c r="J430" s="44">
        <v>54462.8</v>
      </c>
      <c r="K430" s="54">
        <f t="shared" si="135"/>
        <v>-2</v>
      </c>
      <c r="L430" s="53">
        <f>((+B430/A430)-(E430/D430))/(B430/A430)</f>
        <v>-5.4249975974982852E-3</v>
      </c>
    </row>
    <row r="431" spans="1:12" ht="15" thickBot="1" x14ac:dyDescent="0.35">
      <c r="A431" s="181">
        <v>467</v>
      </c>
      <c r="B431" s="15">
        <v>20138</v>
      </c>
      <c r="C431" s="15" t="s">
        <v>3190</v>
      </c>
      <c r="D431" s="8">
        <f t="shared" si="134"/>
        <v>467</v>
      </c>
      <c r="E431" s="8">
        <f t="shared" si="134"/>
        <v>20668.900000000001</v>
      </c>
      <c r="F431" s="15" t="s">
        <v>3191</v>
      </c>
      <c r="G431" s="15">
        <v>96651</v>
      </c>
      <c r="I431" s="50">
        <v>467</v>
      </c>
      <c r="J431" s="51">
        <v>20668.900000000001</v>
      </c>
      <c r="K431" s="54">
        <f t="shared" si="135"/>
        <v>0</v>
      </c>
      <c r="L431" s="53">
        <f>((+B431/A431)-(E431/D431))/(B431/A431)</f>
        <v>-2.6363094646936241E-2</v>
      </c>
    </row>
    <row r="432" spans="1:12" x14ac:dyDescent="0.3">
      <c r="A432" s="871">
        <v>496</v>
      </c>
      <c r="B432" s="873">
        <v>21828.5</v>
      </c>
      <c r="C432" s="873" t="s">
        <v>3192</v>
      </c>
      <c r="D432" s="873">
        <f>+I432+I433</f>
        <v>496</v>
      </c>
      <c r="E432" s="873">
        <f>+J432+J433</f>
        <v>21075.300000000003</v>
      </c>
      <c r="F432" s="12" t="s">
        <v>3193</v>
      </c>
      <c r="G432" s="12">
        <v>96671</v>
      </c>
      <c r="H432" s="40"/>
      <c r="I432" s="39">
        <v>400</v>
      </c>
      <c r="J432" s="41">
        <v>16997.100000000002</v>
      </c>
      <c r="K432" s="882">
        <f t="shared" si="135"/>
        <v>0</v>
      </c>
      <c r="L432" s="879">
        <f>((+B432/A432)-(E432/D432))/(B432/A432)</f>
        <v>3.4505348512265853E-2</v>
      </c>
    </row>
    <row r="433" spans="1:12" ht="15" thickBot="1" x14ac:dyDescent="0.35">
      <c r="A433" s="872"/>
      <c r="B433" s="881"/>
      <c r="C433" s="881"/>
      <c r="D433" s="881"/>
      <c r="E433" s="881"/>
      <c r="F433" s="15" t="s">
        <v>3193</v>
      </c>
      <c r="G433" s="15">
        <v>96671</v>
      </c>
      <c r="I433" s="50">
        <v>96</v>
      </c>
      <c r="J433" s="51">
        <v>4078.2</v>
      </c>
      <c r="K433" s="884"/>
      <c r="L433" s="880"/>
    </row>
    <row r="434" spans="1:12" x14ac:dyDescent="0.3">
      <c r="A434" s="871">
        <v>1250</v>
      </c>
      <c r="B434" s="873">
        <v>45754.25</v>
      </c>
      <c r="C434" s="873" t="s">
        <v>3194</v>
      </c>
      <c r="D434" s="873">
        <f>+I434+I435</f>
        <v>1250</v>
      </c>
      <c r="E434" s="873">
        <f>+J434+J435</f>
        <v>44478.8</v>
      </c>
      <c r="F434" s="12" t="s">
        <v>3195</v>
      </c>
      <c r="G434" s="12">
        <v>9668</v>
      </c>
      <c r="H434" s="39"/>
      <c r="I434" s="39">
        <v>904</v>
      </c>
      <c r="J434" s="41">
        <v>31932.3</v>
      </c>
      <c r="K434" s="882">
        <f>+A434-D434</f>
        <v>0</v>
      </c>
      <c r="L434" s="879">
        <f>((+B434/A434)-(E434/D434))/(B434/A434)</f>
        <v>2.7876098941628281E-2</v>
      </c>
    </row>
    <row r="435" spans="1:12" ht="15" thickBot="1" x14ac:dyDescent="0.35">
      <c r="A435" s="872"/>
      <c r="B435" s="874"/>
      <c r="C435" s="874"/>
      <c r="D435" s="874"/>
      <c r="E435" s="874"/>
      <c r="F435" s="10" t="s">
        <v>3195</v>
      </c>
      <c r="G435" s="10">
        <v>96681</v>
      </c>
      <c r="H435" s="42"/>
      <c r="I435" s="42">
        <v>346</v>
      </c>
      <c r="J435" s="44">
        <v>12546.5</v>
      </c>
      <c r="K435" s="884"/>
      <c r="L435" s="880"/>
    </row>
    <row r="436" spans="1:12" ht="15" thickBot="1" x14ac:dyDescent="0.35">
      <c r="A436" s="175">
        <v>619</v>
      </c>
      <c r="B436" s="8">
        <v>26159.5</v>
      </c>
      <c r="C436" s="8" t="s">
        <v>3196</v>
      </c>
      <c r="D436" s="8">
        <f>+I436</f>
        <v>619</v>
      </c>
      <c r="E436" s="8">
        <f>+J436</f>
        <v>25887.3</v>
      </c>
      <c r="F436" s="8" t="s">
        <v>3197</v>
      </c>
      <c r="G436" s="8">
        <v>96691</v>
      </c>
      <c r="H436" s="14"/>
      <c r="I436" s="45">
        <v>619</v>
      </c>
      <c r="J436" s="46">
        <v>25887.3</v>
      </c>
      <c r="K436" s="54">
        <f>+A436-D436</f>
        <v>0</v>
      </c>
      <c r="L436" s="33">
        <f t="shared" ref="L436" si="137">+(B436-E436)/B436</f>
        <v>1.0405397656683068E-2</v>
      </c>
    </row>
    <row r="437" spans="1:12" ht="15" thickBot="1" x14ac:dyDescent="0.35">
      <c r="A437" s="175">
        <v>885</v>
      </c>
      <c r="B437" s="8">
        <v>35859.25</v>
      </c>
      <c r="C437" s="8" t="s">
        <v>3198</v>
      </c>
      <c r="D437" s="8">
        <f>+I437</f>
        <v>885</v>
      </c>
      <c r="E437" s="8">
        <f>+J437</f>
        <v>35140.9</v>
      </c>
      <c r="F437" s="8" t="s">
        <v>3199</v>
      </c>
      <c r="G437" s="8">
        <v>9671</v>
      </c>
      <c r="H437" s="14"/>
      <c r="I437" s="45">
        <v>885</v>
      </c>
      <c r="J437" s="46">
        <v>35140.9</v>
      </c>
      <c r="K437" s="54">
        <f>+A437-D437</f>
        <v>0</v>
      </c>
      <c r="L437" s="33">
        <f t="shared" ref="L437" si="138">+(B437-E437)/B437</f>
        <v>2.0032488130677539E-2</v>
      </c>
    </row>
    <row r="438" spans="1:12" x14ac:dyDescent="0.3">
      <c r="A438" s="871">
        <v>1497</v>
      </c>
      <c r="B438" s="873">
        <v>65048</v>
      </c>
      <c r="C438" s="873" t="s">
        <v>3200</v>
      </c>
      <c r="D438" s="873">
        <f>+I438+I439+I440</f>
        <v>1488</v>
      </c>
      <c r="E438" s="873">
        <f>+J438+J439+J440</f>
        <v>62909.5</v>
      </c>
      <c r="F438" s="12" t="s">
        <v>3201</v>
      </c>
      <c r="G438" s="12">
        <v>96711</v>
      </c>
      <c r="H438" s="40"/>
      <c r="I438" s="39">
        <v>776</v>
      </c>
      <c r="J438" s="41">
        <v>32305.5</v>
      </c>
      <c r="K438" s="882">
        <f>+A438-D438</f>
        <v>9</v>
      </c>
      <c r="L438" s="879">
        <f>((+B438/A438)-(E438/D438))/(B438/A438)</f>
        <v>2.7026180542606745E-2</v>
      </c>
    </row>
    <row r="439" spans="1:12" x14ac:dyDescent="0.3">
      <c r="A439" s="875"/>
      <c r="B439" s="881"/>
      <c r="C439" s="881"/>
      <c r="D439" s="881"/>
      <c r="E439" s="881"/>
      <c r="F439" s="15" t="s">
        <v>3201</v>
      </c>
      <c r="G439" s="15">
        <v>96711</v>
      </c>
      <c r="I439" s="50">
        <v>601</v>
      </c>
      <c r="J439" s="51">
        <v>25689.5</v>
      </c>
      <c r="K439" s="883"/>
      <c r="L439" s="885"/>
    </row>
    <row r="440" spans="1:12" ht="15" thickBot="1" x14ac:dyDescent="0.35">
      <c r="A440" s="872"/>
      <c r="B440" s="881"/>
      <c r="C440" s="881"/>
      <c r="D440" s="881"/>
      <c r="E440" s="881"/>
      <c r="F440" s="15" t="s">
        <v>3201</v>
      </c>
      <c r="G440" s="15">
        <v>96711</v>
      </c>
      <c r="I440" s="50">
        <v>111</v>
      </c>
      <c r="J440" s="51">
        <v>4914.5</v>
      </c>
      <c r="K440" s="884"/>
      <c r="L440" s="880"/>
    </row>
    <row r="441" spans="1:12" x14ac:dyDescent="0.3">
      <c r="A441" s="871">
        <v>658</v>
      </c>
      <c r="B441" s="873">
        <v>29390</v>
      </c>
      <c r="C441" s="873" t="s">
        <v>3202</v>
      </c>
      <c r="D441" s="873">
        <f>+I441+I442</f>
        <v>658</v>
      </c>
      <c r="E441" s="873">
        <f>+J441+J442</f>
        <v>29247.3</v>
      </c>
      <c r="F441" s="12" t="s">
        <v>3203</v>
      </c>
      <c r="G441" s="12">
        <v>96731</v>
      </c>
      <c r="H441" s="40"/>
      <c r="I441" s="39">
        <v>200</v>
      </c>
      <c r="J441" s="41">
        <v>8979.5</v>
      </c>
      <c r="K441" s="882">
        <f>+A441-D441</f>
        <v>0</v>
      </c>
      <c r="L441" s="879">
        <f>((+B441/A441)-(E441/D441))/(B441/A441)</f>
        <v>4.8553929908131711E-3</v>
      </c>
    </row>
    <row r="442" spans="1:12" ht="15" thickBot="1" x14ac:dyDescent="0.35">
      <c r="A442" s="872"/>
      <c r="B442" s="874"/>
      <c r="C442" s="874"/>
      <c r="D442" s="874"/>
      <c r="E442" s="874"/>
      <c r="F442" s="10" t="s">
        <v>3203</v>
      </c>
      <c r="G442" s="10">
        <v>96731</v>
      </c>
      <c r="H442" s="43"/>
      <c r="I442" s="42">
        <v>458</v>
      </c>
      <c r="J442" s="44">
        <v>20267.8</v>
      </c>
      <c r="K442" s="884"/>
      <c r="L442" s="880"/>
    </row>
    <row r="443" spans="1:12" ht="15" thickBot="1" x14ac:dyDescent="0.35">
      <c r="A443" s="175">
        <v>3344</v>
      </c>
      <c r="B443" s="8">
        <v>122508.25</v>
      </c>
      <c r="C443" s="8" t="s">
        <v>3204</v>
      </c>
      <c r="D443" s="8">
        <v>3336</v>
      </c>
      <c r="E443" s="8">
        <v>124170.3</v>
      </c>
      <c r="F443" s="8" t="s">
        <v>3205</v>
      </c>
      <c r="G443" s="8">
        <v>96741</v>
      </c>
      <c r="H443" s="14"/>
      <c r="I443" s="45">
        <v>1666</v>
      </c>
      <c r="J443" s="46">
        <v>62368.1</v>
      </c>
      <c r="K443" s="54">
        <f>+A443-D443</f>
        <v>8</v>
      </c>
      <c r="L443" s="53">
        <f>((+B443/A443)-(E443/D443))/(B443/A443)</f>
        <v>-1.5997457343461391E-2</v>
      </c>
    </row>
    <row r="444" spans="1:12" x14ac:dyDescent="0.3">
      <c r="A444" s="871">
        <v>2381</v>
      </c>
      <c r="B444" s="873">
        <v>97806.6</v>
      </c>
      <c r="C444" s="873" t="s">
        <v>3206</v>
      </c>
      <c r="D444" s="873">
        <f>+I444+I445+I446</f>
        <v>2355</v>
      </c>
      <c r="E444" s="873">
        <f>+J444+J445+J446</f>
        <v>93731.7</v>
      </c>
      <c r="F444" s="12" t="s">
        <v>3207</v>
      </c>
      <c r="G444" s="12">
        <v>96831</v>
      </c>
      <c r="H444" s="39"/>
      <c r="I444" s="39">
        <v>671</v>
      </c>
      <c r="J444" s="41">
        <v>26211.9</v>
      </c>
      <c r="K444" s="882">
        <f>+A444-D444</f>
        <v>26</v>
      </c>
      <c r="L444" s="879">
        <f>((+B444/A444)-(E444/D444))/(B444/A444)</f>
        <v>3.1082464691368557E-2</v>
      </c>
    </row>
    <row r="445" spans="1:12" x14ac:dyDescent="0.3">
      <c r="A445" s="875"/>
      <c r="B445" s="881"/>
      <c r="C445" s="881"/>
      <c r="D445" s="881"/>
      <c r="E445" s="881"/>
      <c r="F445" s="15" t="s">
        <v>3207</v>
      </c>
      <c r="G445" s="15">
        <v>96831</v>
      </c>
      <c r="H445" s="50"/>
      <c r="I445" s="50">
        <v>1074</v>
      </c>
      <c r="J445" s="51">
        <v>44326.5</v>
      </c>
      <c r="K445" s="883"/>
      <c r="L445" s="885"/>
    </row>
    <row r="446" spans="1:12" ht="15" thickBot="1" x14ac:dyDescent="0.35">
      <c r="A446" s="872"/>
      <c r="B446" s="874"/>
      <c r="C446" s="874"/>
      <c r="D446" s="874"/>
      <c r="E446" s="874"/>
      <c r="F446" s="10" t="s">
        <v>3207</v>
      </c>
      <c r="G446" s="10">
        <v>96831</v>
      </c>
      <c r="H446" s="42"/>
      <c r="I446" s="42">
        <v>610</v>
      </c>
      <c r="J446" s="44">
        <v>23193.3</v>
      </c>
      <c r="K446" s="884"/>
      <c r="L446" s="880"/>
    </row>
    <row r="447" spans="1:12" ht="15" thickBot="1" x14ac:dyDescent="0.35">
      <c r="A447" s="175">
        <v>299</v>
      </c>
      <c r="B447" s="8">
        <v>11683.8</v>
      </c>
      <c r="C447" s="8" t="s">
        <v>3208</v>
      </c>
      <c r="D447" s="8">
        <v>299</v>
      </c>
      <c r="E447" s="8">
        <v>11535.9</v>
      </c>
      <c r="F447" s="8" t="s">
        <v>3209</v>
      </c>
      <c r="G447" s="8">
        <v>96881</v>
      </c>
      <c r="H447" s="45"/>
      <c r="I447" s="45">
        <v>200</v>
      </c>
      <c r="J447" s="46">
        <v>7637.2</v>
      </c>
      <c r="K447" s="54">
        <f>+A447-D447</f>
        <v>0</v>
      </c>
      <c r="L447" s="53">
        <f>((+B447/A447)-(E447/D447))/(B447/A447)</f>
        <v>1.2658552868073807E-2</v>
      </c>
    </row>
    <row r="448" spans="1:12" x14ac:dyDescent="0.3">
      <c r="A448" s="871">
        <v>3129</v>
      </c>
      <c r="B448" s="873">
        <v>120740.25</v>
      </c>
      <c r="C448" s="873" t="s">
        <v>3210</v>
      </c>
      <c r="D448" s="873">
        <v>3128</v>
      </c>
      <c r="E448" s="873">
        <v>124735.8</v>
      </c>
      <c r="F448" s="12" t="s">
        <v>3211</v>
      </c>
      <c r="G448" s="12">
        <v>96891</v>
      </c>
      <c r="H448" s="39"/>
      <c r="I448" s="39">
        <v>1000</v>
      </c>
      <c r="J448" s="41">
        <v>40567.5</v>
      </c>
      <c r="K448" s="877">
        <f>+A448-D448</f>
        <v>1</v>
      </c>
      <c r="L448" s="879">
        <f>((+B448/A448)-(E448/D448))/(B448/A448)</f>
        <v>-3.3422385442410878E-2</v>
      </c>
    </row>
    <row r="449" spans="1:12" x14ac:dyDescent="0.3">
      <c r="A449" s="875"/>
      <c r="B449" s="881"/>
      <c r="C449" s="881"/>
      <c r="D449" s="881"/>
      <c r="E449" s="881"/>
      <c r="F449" s="15" t="s">
        <v>3211</v>
      </c>
      <c r="G449" s="15">
        <v>96891</v>
      </c>
      <c r="H449" s="50"/>
      <c r="I449" s="50">
        <v>1339</v>
      </c>
      <c r="J449" s="51">
        <v>53615.899999999994</v>
      </c>
      <c r="K449" s="886"/>
      <c r="L449" s="885"/>
    </row>
    <row r="450" spans="1:12" ht="15" thickBot="1" x14ac:dyDescent="0.35">
      <c r="A450" s="872"/>
      <c r="B450" s="874"/>
      <c r="C450" s="874"/>
      <c r="D450" s="874"/>
      <c r="E450" s="874"/>
      <c r="F450" s="10" t="s">
        <v>3211</v>
      </c>
      <c r="G450" s="10">
        <v>96891</v>
      </c>
      <c r="H450" s="42"/>
      <c r="I450" s="42">
        <v>261</v>
      </c>
      <c r="J450" s="44">
        <v>10166</v>
      </c>
      <c r="K450" s="878"/>
      <c r="L450" s="880"/>
    </row>
    <row r="451" spans="1:12" ht="15" thickBot="1" x14ac:dyDescent="0.35">
      <c r="A451" s="175">
        <v>39</v>
      </c>
      <c r="B451" s="8">
        <v>1950</v>
      </c>
      <c r="C451" s="8" t="s">
        <v>3320</v>
      </c>
      <c r="D451" s="8">
        <f t="shared" ref="D451:E453" si="139">+I451</f>
        <v>39</v>
      </c>
      <c r="E451" s="8">
        <f t="shared" si="139"/>
        <v>1787.3</v>
      </c>
      <c r="F451" s="8" t="s">
        <v>3321</v>
      </c>
      <c r="G451" s="8">
        <v>96931</v>
      </c>
      <c r="H451" s="45"/>
      <c r="I451" s="45">
        <v>39</v>
      </c>
      <c r="J451" s="46">
        <v>1787.3</v>
      </c>
      <c r="K451" s="54">
        <f>+A451-D451</f>
        <v>0</v>
      </c>
      <c r="L451" s="33">
        <f t="shared" ref="L451:L453" si="140">+(B451-E451)/B451</f>
        <v>8.3435897435897466E-2</v>
      </c>
    </row>
    <row r="452" spans="1:12" ht="15" thickBot="1" x14ac:dyDescent="0.35">
      <c r="A452" s="175">
        <v>245</v>
      </c>
      <c r="B452" s="8">
        <v>9747.5</v>
      </c>
      <c r="C452" s="8" t="s">
        <v>3322</v>
      </c>
      <c r="D452" s="8">
        <f t="shared" si="139"/>
        <v>245</v>
      </c>
      <c r="E452" s="8">
        <f t="shared" si="139"/>
        <v>9410.7000000000007</v>
      </c>
      <c r="F452" s="8" t="s">
        <v>3323</v>
      </c>
      <c r="G452" s="8">
        <v>96941</v>
      </c>
      <c r="H452" s="45"/>
      <c r="I452" s="45">
        <v>245</v>
      </c>
      <c r="J452" s="46">
        <v>9410.7000000000007</v>
      </c>
      <c r="K452" s="54">
        <f>+A452-D452</f>
        <v>0</v>
      </c>
      <c r="L452" s="33">
        <f t="shared" si="140"/>
        <v>3.4552449345986079E-2</v>
      </c>
    </row>
    <row r="453" spans="1:12" ht="15" thickBot="1" x14ac:dyDescent="0.35">
      <c r="A453" s="174">
        <v>570</v>
      </c>
      <c r="B453" s="12">
        <v>20400.25</v>
      </c>
      <c r="C453" s="12" t="s">
        <v>3324</v>
      </c>
      <c r="D453" s="12">
        <f t="shared" si="139"/>
        <v>570</v>
      </c>
      <c r="E453" s="12">
        <f t="shared" si="139"/>
        <v>19932.5</v>
      </c>
      <c r="F453" s="12" t="s">
        <v>3325</v>
      </c>
      <c r="G453" s="12">
        <v>96951</v>
      </c>
      <c r="H453" s="39"/>
      <c r="I453" s="39">
        <v>570</v>
      </c>
      <c r="J453" s="41">
        <v>19932.5</v>
      </c>
      <c r="K453" s="54">
        <f>+A453-D453</f>
        <v>0</v>
      </c>
      <c r="L453" s="33">
        <f t="shared" si="140"/>
        <v>2.2928640580385046E-2</v>
      </c>
    </row>
    <row r="454" spans="1:12" x14ac:dyDescent="0.3">
      <c r="A454" s="871">
        <v>1442</v>
      </c>
      <c r="B454" s="873">
        <v>54486.25</v>
      </c>
      <c r="C454" s="873" t="s">
        <v>3326</v>
      </c>
      <c r="D454" s="873">
        <f>+I454+I455</f>
        <v>1442</v>
      </c>
      <c r="E454" s="873">
        <f>+J454+J455</f>
        <v>56129.5</v>
      </c>
      <c r="F454" s="12" t="s">
        <v>3327</v>
      </c>
      <c r="G454" s="12">
        <v>97051</v>
      </c>
      <c r="H454" s="39"/>
      <c r="I454" s="39">
        <v>1000</v>
      </c>
      <c r="J454" s="41">
        <v>39496.200000000004</v>
      </c>
      <c r="K454" s="882">
        <f>+A454-D454</f>
        <v>0</v>
      </c>
      <c r="L454" s="879">
        <f>((+B454/A454)-(E454/D454))/(B454/A454)</f>
        <v>-3.0158985065039376E-2</v>
      </c>
    </row>
    <row r="455" spans="1:12" ht="15" thickBot="1" x14ac:dyDescent="0.35">
      <c r="A455" s="872"/>
      <c r="B455" s="874"/>
      <c r="C455" s="874"/>
      <c r="D455" s="874"/>
      <c r="E455" s="874"/>
      <c r="F455" s="10" t="s">
        <v>3327</v>
      </c>
      <c r="G455" s="10">
        <v>97051</v>
      </c>
      <c r="H455" s="42"/>
      <c r="I455" s="42">
        <v>442</v>
      </c>
      <c r="J455" s="44">
        <v>16633.3</v>
      </c>
      <c r="K455" s="884"/>
      <c r="L455" s="880"/>
    </row>
    <row r="456" spans="1:12" x14ac:dyDescent="0.3">
      <c r="A456" s="871">
        <v>1301</v>
      </c>
      <c r="B456" s="873">
        <v>57089.75</v>
      </c>
      <c r="C456" s="873" t="s">
        <v>3328</v>
      </c>
      <c r="D456" s="873">
        <f>+I456+I457</f>
        <v>1300</v>
      </c>
      <c r="E456" s="873">
        <f>+J456+J457</f>
        <v>54756</v>
      </c>
      <c r="F456" s="12" t="s">
        <v>3329</v>
      </c>
      <c r="G456" s="12">
        <v>97061</v>
      </c>
      <c r="H456" s="39"/>
      <c r="I456" s="39">
        <v>921</v>
      </c>
      <c r="J456" s="41">
        <v>38724.5</v>
      </c>
      <c r="K456" s="882">
        <f>+A456-D456</f>
        <v>1</v>
      </c>
      <c r="L456" s="879">
        <f>((+B456/A456)-(E456/D456))/(B456/A456)</f>
        <v>4.0140830884703597E-2</v>
      </c>
    </row>
    <row r="457" spans="1:12" ht="15" thickBot="1" x14ac:dyDescent="0.35">
      <c r="A457" s="872"/>
      <c r="B457" s="874"/>
      <c r="C457" s="874"/>
      <c r="D457" s="874"/>
      <c r="E457" s="874"/>
      <c r="F457" s="10" t="s">
        <v>3329</v>
      </c>
      <c r="G457" s="10">
        <v>97061</v>
      </c>
      <c r="H457" s="42"/>
      <c r="I457" s="42">
        <v>379</v>
      </c>
      <c r="J457" s="44">
        <v>16031.5</v>
      </c>
      <c r="K457" s="884"/>
      <c r="L457" s="880"/>
    </row>
    <row r="458" spans="1:12" ht="15" thickBot="1" x14ac:dyDescent="0.35">
      <c r="A458" s="15">
        <v>187</v>
      </c>
      <c r="B458" s="15">
        <v>8640.4</v>
      </c>
      <c r="C458" s="15" t="s">
        <v>3330</v>
      </c>
      <c r="D458" s="15">
        <f>+I458</f>
        <v>187</v>
      </c>
      <c r="E458" s="15">
        <f>+J458</f>
        <v>8329</v>
      </c>
      <c r="F458" s="10" t="s">
        <v>3331</v>
      </c>
      <c r="G458" s="10">
        <v>97071</v>
      </c>
      <c r="H458" s="42"/>
      <c r="I458" s="42">
        <v>187</v>
      </c>
      <c r="J458" s="44">
        <v>8329</v>
      </c>
      <c r="K458" s="54">
        <f>+A458-D458</f>
        <v>0</v>
      </c>
      <c r="L458" s="33">
        <f t="shared" ref="L458" si="141">+(B458-E458)/B458</f>
        <v>3.6039998148233839E-2</v>
      </c>
    </row>
    <row r="459" spans="1:12" x14ac:dyDescent="0.3">
      <c r="A459" s="871">
        <v>1361</v>
      </c>
      <c r="B459" s="873">
        <v>59596.25</v>
      </c>
      <c r="C459" s="873" t="s">
        <v>3332</v>
      </c>
      <c r="D459" s="873">
        <f>+I459+I460</f>
        <v>1361</v>
      </c>
      <c r="E459" s="873">
        <f>+J459+J460</f>
        <v>58454</v>
      </c>
      <c r="F459" s="12" t="s">
        <v>3333</v>
      </c>
      <c r="G459" s="12">
        <v>97081</v>
      </c>
      <c r="H459" s="39"/>
      <c r="I459" s="39">
        <v>600</v>
      </c>
      <c r="J459" s="41">
        <v>24957.1</v>
      </c>
      <c r="K459" s="882">
        <f>+A459-D459</f>
        <v>0</v>
      </c>
      <c r="L459" s="879">
        <f>((+B459/A459)-(E459/D459))/(B459/A459)</f>
        <v>1.9166474400654384E-2</v>
      </c>
    </row>
    <row r="460" spans="1:12" ht="15" thickBot="1" x14ac:dyDescent="0.35">
      <c r="A460" s="872"/>
      <c r="B460" s="874"/>
      <c r="C460" s="874"/>
      <c r="D460" s="874"/>
      <c r="E460" s="874"/>
      <c r="F460" s="10" t="s">
        <v>3333</v>
      </c>
      <c r="G460" s="10">
        <v>97081</v>
      </c>
      <c r="H460" s="42"/>
      <c r="I460" s="42">
        <v>761</v>
      </c>
      <c r="J460" s="44">
        <v>33496.9</v>
      </c>
      <c r="K460" s="884"/>
      <c r="L460" s="880"/>
    </row>
    <row r="461" spans="1:12" ht="15" thickBot="1" x14ac:dyDescent="0.35">
      <c r="A461" s="199">
        <v>47</v>
      </c>
      <c r="B461" s="10">
        <v>1881.25</v>
      </c>
      <c r="C461" s="10" t="s">
        <v>3411</v>
      </c>
      <c r="D461" s="10">
        <v>47</v>
      </c>
      <c r="E461" s="10">
        <v>1777.1</v>
      </c>
      <c r="F461" s="10" t="s">
        <v>3412</v>
      </c>
      <c r="G461" s="10">
        <v>97101</v>
      </c>
      <c r="H461" s="42"/>
      <c r="I461" s="42"/>
      <c r="J461" s="44"/>
      <c r="K461" s="54">
        <f>+A461-D461</f>
        <v>0</v>
      </c>
      <c r="L461" s="33">
        <f t="shared" ref="L461" si="142">+(B461-E461)/B461</f>
        <v>5.5362126245847222E-2</v>
      </c>
    </row>
    <row r="462" spans="1:12" ht="15" thickBot="1" x14ac:dyDescent="0.35">
      <c r="A462" s="306">
        <v>900</v>
      </c>
      <c r="B462" s="29">
        <v>40030</v>
      </c>
      <c r="C462" s="29" t="s">
        <v>3413</v>
      </c>
      <c r="D462" s="12">
        <f>+I462</f>
        <v>886</v>
      </c>
      <c r="E462" s="12">
        <f>+J462</f>
        <v>38156.6</v>
      </c>
      <c r="F462" s="12" t="s">
        <v>3414</v>
      </c>
      <c r="G462" s="12">
        <v>97111</v>
      </c>
      <c r="H462" s="39"/>
      <c r="I462" s="39">
        <v>886</v>
      </c>
      <c r="J462" s="41">
        <v>38156.6</v>
      </c>
      <c r="K462" s="54">
        <f>+A462-D462</f>
        <v>14</v>
      </c>
      <c r="L462" s="53">
        <f>((+B462/A462)-(E462/D462))/(B462/A462)</f>
        <v>3.1738047480191205E-2</v>
      </c>
    </row>
    <row r="463" spans="1:12" x14ac:dyDescent="0.3">
      <c r="A463" s="902">
        <v>612</v>
      </c>
      <c r="B463" s="905">
        <v>26710.5</v>
      </c>
      <c r="C463" s="905" t="s">
        <v>3415</v>
      </c>
      <c r="D463" s="873">
        <f>+I463+I464</f>
        <v>604</v>
      </c>
      <c r="E463" s="873">
        <f>+J463+J464</f>
        <v>26234.800000000003</v>
      </c>
      <c r="F463" s="12" t="s">
        <v>3416</v>
      </c>
      <c r="G463" s="12">
        <v>97121</v>
      </c>
      <c r="H463" s="39"/>
      <c r="I463" s="39">
        <v>400</v>
      </c>
      <c r="J463" s="41">
        <v>17348.400000000001</v>
      </c>
      <c r="K463" s="877">
        <f>+A463-D463</f>
        <v>8</v>
      </c>
      <c r="L463" s="879">
        <f>((+B463/A463)-(E463/D463))/(B463/A463)</f>
        <v>4.8003296568021325E-3</v>
      </c>
    </row>
    <row r="464" spans="1:12" ht="15" thickBot="1" x14ac:dyDescent="0.35">
      <c r="A464" s="904"/>
      <c r="B464" s="907"/>
      <c r="C464" s="907"/>
      <c r="D464" s="874"/>
      <c r="E464" s="874"/>
      <c r="F464" s="10" t="s">
        <v>3416</v>
      </c>
      <c r="G464" s="10">
        <v>97121</v>
      </c>
      <c r="H464" s="42"/>
      <c r="I464" s="42">
        <v>204</v>
      </c>
      <c r="J464" s="44">
        <v>8886.4</v>
      </c>
      <c r="K464" s="878"/>
      <c r="L464" s="880"/>
    </row>
    <row r="465" spans="1:12" ht="15" thickBot="1" x14ac:dyDescent="0.35">
      <c r="A465" s="175">
        <v>602</v>
      </c>
      <c r="B465" s="8">
        <v>28116.2</v>
      </c>
      <c r="C465" s="8" t="s">
        <v>3334</v>
      </c>
      <c r="D465" s="8">
        <f>+I465+459</f>
        <v>602</v>
      </c>
      <c r="E465" s="8">
        <f>+J465+19520.2</f>
        <v>26265.7</v>
      </c>
      <c r="F465" s="8" t="s">
        <v>3335</v>
      </c>
      <c r="G465" s="8">
        <v>97181</v>
      </c>
      <c r="H465" s="45"/>
      <c r="I465" s="45">
        <v>143</v>
      </c>
      <c r="J465" s="46">
        <v>6745.5</v>
      </c>
      <c r="K465" s="54">
        <f>+A465-D465</f>
        <v>0</v>
      </c>
      <c r="L465" s="53">
        <f>((+B465/A465)-(E465/D465))/(B465/A465)</f>
        <v>6.5816148697192309E-2</v>
      </c>
    </row>
    <row r="466" spans="1:12" ht="15" thickBot="1" x14ac:dyDescent="0.35">
      <c r="A466" s="307">
        <v>215</v>
      </c>
      <c r="B466" s="30">
        <v>9025.7000000000007</v>
      </c>
      <c r="C466" s="30" t="s">
        <v>3417</v>
      </c>
      <c r="D466" s="15">
        <f>+I466</f>
        <v>215</v>
      </c>
      <c r="E466" s="15">
        <f>+J466</f>
        <v>8486</v>
      </c>
      <c r="F466" s="15" t="s">
        <v>3418</v>
      </c>
      <c r="G466" s="15">
        <v>97191</v>
      </c>
      <c r="H466" s="50"/>
      <c r="I466" s="50">
        <v>215</v>
      </c>
      <c r="J466" s="51">
        <v>8486</v>
      </c>
      <c r="K466" s="54">
        <f>+A466-D466</f>
        <v>0</v>
      </c>
      <c r="L466" s="53">
        <f>((+B466/A466)-(E466/D466))/(B466/A466)</f>
        <v>5.9795916106230147E-2</v>
      </c>
    </row>
    <row r="467" spans="1:12" x14ac:dyDescent="0.3">
      <c r="A467" s="902">
        <v>2640</v>
      </c>
      <c r="B467" s="905">
        <v>108681.4</v>
      </c>
      <c r="C467" s="905" t="s">
        <v>3419</v>
      </c>
      <c r="D467" s="873">
        <f>+I467+I468+I469</f>
        <v>2640</v>
      </c>
      <c r="E467" s="873">
        <f>+J467+J468+J469</f>
        <v>102911.7</v>
      </c>
      <c r="F467" s="12" t="s">
        <v>3420</v>
      </c>
      <c r="G467" s="12">
        <v>97201</v>
      </c>
      <c r="H467" s="39"/>
      <c r="I467" s="39">
        <v>803</v>
      </c>
      <c r="J467" s="41">
        <v>32347.300000000003</v>
      </c>
      <c r="K467" s="877">
        <f>+A467-D467</f>
        <v>0</v>
      </c>
      <c r="L467" s="879">
        <f>((+B467/A467)-(E467/D467))/(B467/A467)</f>
        <v>5.3088200924905148E-2</v>
      </c>
    </row>
    <row r="468" spans="1:12" x14ac:dyDescent="0.3">
      <c r="A468" s="903"/>
      <c r="B468" s="906"/>
      <c r="C468" s="906"/>
      <c r="D468" s="881"/>
      <c r="E468" s="881"/>
      <c r="F468" s="15" t="s">
        <v>3420</v>
      </c>
      <c r="G468" s="15">
        <v>97201</v>
      </c>
      <c r="H468" s="50"/>
      <c r="I468" s="50">
        <v>517</v>
      </c>
      <c r="J468" s="51">
        <v>19574.099999999999</v>
      </c>
      <c r="K468" s="886"/>
      <c r="L468" s="885"/>
    </row>
    <row r="469" spans="1:12" ht="15" thickBot="1" x14ac:dyDescent="0.35">
      <c r="A469" s="904"/>
      <c r="B469" s="907"/>
      <c r="C469" s="907"/>
      <c r="D469" s="874"/>
      <c r="E469" s="874"/>
      <c r="F469" s="10" t="s">
        <v>3420</v>
      </c>
      <c r="G469" s="10">
        <v>97201</v>
      </c>
      <c r="H469" s="42"/>
      <c r="I469" s="42">
        <v>1320</v>
      </c>
      <c r="J469" s="44">
        <v>50990.299999999996</v>
      </c>
      <c r="K469" s="878"/>
      <c r="L469" s="880"/>
    </row>
    <row r="470" spans="1:12" x14ac:dyDescent="0.3">
      <c r="A470" s="871">
        <v>1540</v>
      </c>
      <c r="B470" s="873">
        <v>64694.8</v>
      </c>
      <c r="C470" s="873" t="s">
        <v>3421</v>
      </c>
      <c r="D470" s="873">
        <f>+I470+I471+I472</f>
        <v>1540</v>
      </c>
      <c r="E470" s="873">
        <f>+J470+J471+J472</f>
        <v>61444.5</v>
      </c>
      <c r="F470" s="12" t="s">
        <v>3422</v>
      </c>
      <c r="G470" s="12">
        <v>97271</v>
      </c>
      <c r="H470" s="39"/>
      <c r="I470" s="39">
        <v>220</v>
      </c>
      <c r="J470" s="41">
        <v>9280.2999999999993</v>
      </c>
      <c r="K470" s="877">
        <f>+A470-D470</f>
        <v>0</v>
      </c>
      <c r="L470" s="879">
        <f>((+B470/A470)-(E470/D470))/(B470/A470)</f>
        <v>5.0240513920747971E-2</v>
      </c>
    </row>
    <row r="471" spans="1:12" x14ac:dyDescent="0.3">
      <c r="A471" s="875"/>
      <c r="B471" s="881"/>
      <c r="C471" s="881"/>
      <c r="D471" s="881"/>
      <c r="E471" s="881"/>
      <c r="F471" s="15" t="s">
        <v>3422</v>
      </c>
      <c r="G471" s="15">
        <v>97271</v>
      </c>
      <c r="H471" s="50"/>
      <c r="I471" s="50">
        <v>440</v>
      </c>
      <c r="J471" s="51">
        <v>17543.400000000001</v>
      </c>
      <c r="K471" s="886"/>
      <c r="L471" s="885"/>
    </row>
    <row r="472" spans="1:12" ht="15" thickBot="1" x14ac:dyDescent="0.35">
      <c r="A472" s="872"/>
      <c r="B472" s="881"/>
      <c r="C472" s="881"/>
      <c r="D472" s="881"/>
      <c r="E472" s="881"/>
      <c r="F472" s="15" t="s">
        <v>3422</v>
      </c>
      <c r="G472" s="15">
        <v>97271</v>
      </c>
      <c r="H472" s="50"/>
      <c r="I472" s="50">
        <v>880</v>
      </c>
      <c r="J472" s="51">
        <v>34620.799999999996</v>
      </c>
      <c r="K472" s="878"/>
      <c r="L472" s="880"/>
    </row>
    <row r="473" spans="1:12" x14ac:dyDescent="0.3">
      <c r="A473" s="871">
        <v>1279</v>
      </c>
      <c r="B473" s="873">
        <v>54405.2</v>
      </c>
      <c r="C473" s="873" t="s">
        <v>3423</v>
      </c>
      <c r="D473" s="873">
        <f>+I473+I474</f>
        <v>1279</v>
      </c>
      <c r="E473" s="873">
        <f>+J473+J474</f>
        <v>51516.3</v>
      </c>
      <c r="F473" s="12" t="s">
        <v>3424</v>
      </c>
      <c r="G473" s="12">
        <v>97331</v>
      </c>
      <c r="H473" s="39"/>
      <c r="I473" s="39">
        <v>728</v>
      </c>
      <c r="J473" s="41">
        <v>29329.100000000002</v>
      </c>
      <c r="K473" s="877">
        <f>+A473-D473</f>
        <v>0</v>
      </c>
      <c r="L473" s="879">
        <f>((+B473/A473)-(E473/D473))/(B473/A473)</f>
        <v>5.3099703704792743E-2</v>
      </c>
    </row>
    <row r="474" spans="1:12" ht="15" thickBot="1" x14ac:dyDescent="0.35">
      <c r="A474" s="872"/>
      <c r="B474" s="874"/>
      <c r="C474" s="874"/>
      <c r="D474" s="874"/>
      <c r="E474" s="874"/>
      <c r="F474" s="10" t="s">
        <v>3424</v>
      </c>
      <c r="G474" s="10">
        <v>97331</v>
      </c>
      <c r="H474" s="42"/>
      <c r="I474" s="42">
        <v>551</v>
      </c>
      <c r="J474" s="44">
        <v>22187.200000000001</v>
      </c>
      <c r="K474" s="878"/>
      <c r="L474" s="880"/>
    </row>
    <row r="475" spans="1:12" x14ac:dyDescent="0.3">
      <c r="A475" s="871">
        <v>2118</v>
      </c>
      <c r="B475" s="873">
        <v>93533.7</v>
      </c>
      <c r="C475" s="873" t="s">
        <v>3425</v>
      </c>
      <c r="D475" s="873">
        <f>+I475+I476</f>
        <v>2116</v>
      </c>
      <c r="E475" s="873">
        <f>+J475+J476</f>
        <v>89447</v>
      </c>
      <c r="F475" s="12" t="s">
        <v>3426</v>
      </c>
      <c r="G475" s="12">
        <v>97341</v>
      </c>
      <c r="H475" s="39"/>
      <c r="I475" s="39">
        <v>1441</v>
      </c>
      <c r="J475" s="41">
        <v>63003.500000000007</v>
      </c>
      <c r="K475" s="877">
        <f>+A475-D475</f>
        <v>2</v>
      </c>
      <c r="L475" s="879">
        <f>((+B475/A475)-(E475/D475))/(B475/A475)</f>
        <v>4.2788390940796006E-2</v>
      </c>
    </row>
    <row r="476" spans="1:12" ht="15" thickBot="1" x14ac:dyDescent="0.35">
      <c r="A476" s="872"/>
      <c r="B476" s="874"/>
      <c r="C476" s="874"/>
      <c r="D476" s="874"/>
      <c r="E476" s="874"/>
      <c r="F476" s="10" t="s">
        <v>3426</v>
      </c>
      <c r="G476" s="10">
        <v>97341</v>
      </c>
      <c r="H476" s="42"/>
      <c r="I476" s="42">
        <v>675</v>
      </c>
      <c r="J476" s="44">
        <v>26443.5</v>
      </c>
      <c r="K476" s="878"/>
      <c r="L476" s="880"/>
    </row>
    <row r="477" spans="1:12" ht="15" thickBot="1" x14ac:dyDescent="0.35">
      <c r="A477" s="175">
        <v>880</v>
      </c>
      <c r="B477" s="8">
        <v>36199.300000000003</v>
      </c>
      <c r="C477" s="8" t="s">
        <v>3427</v>
      </c>
      <c r="D477" s="8">
        <f>+I477</f>
        <v>880</v>
      </c>
      <c r="E477" s="8">
        <f>+J477</f>
        <v>34071.199999999997</v>
      </c>
      <c r="F477" s="8" t="s">
        <v>3428</v>
      </c>
      <c r="G477" s="8">
        <v>97441</v>
      </c>
      <c r="H477" s="45"/>
      <c r="I477" s="45">
        <v>880</v>
      </c>
      <c r="J477" s="46">
        <v>34071.199999999997</v>
      </c>
      <c r="K477" s="54">
        <f>+A477-D477</f>
        <v>0</v>
      </c>
      <c r="L477" s="53">
        <f>((+B477/A477)-(E477/D477))/(B477/A477)</f>
        <v>5.8788429610517577E-2</v>
      </c>
    </row>
    <row r="478" spans="1:12" x14ac:dyDescent="0.3">
      <c r="A478" s="871">
        <v>2920</v>
      </c>
      <c r="B478" s="873">
        <v>125356.4</v>
      </c>
      <c r="C478" s="873" t="s">
        <v>3429</v>
      </c>
      <c r="D478" s="873">
        <v>2923</v>
      </c>
      <c r="E478" s="873">
        <v>119440.4</v>
      </c>
      <c r="F478" s="12" t="s">
        <v>3430</v>
      </c>
      <c r="G478" s="12">
        <v>97501</v>
      </c>
      <c r="H478" s="39"/>
      <c r="I478" s="39">
        <v>661</v>
      </c>
      <c r="J478" s="41">
        <v>27441.5</v>
      </c>
      <c r="K478" s="877">
        <f>+A478-D478</f>
        <v>-3</v>
      </c>
      <c r="L478" s="879">
        <f>((+B478/A478)-(E478/D478))/(B478/A478)</f>
        <v>4.8171348207106515E-2</v>
      </c>
    </row>
    <row r="479" spans="1:12" ht="15" thickBot="1" x14ac:dyDescent="0.35">
      <c r="A479" s="872"/>
      <c r="B479" s="874"/>
      <c r="C479" s="874"/>
      <c r="D479" s="874"/>
      <c r="E479" s="874"/>
      <c r="F479" s="10" t="s">
        <v>3430</v>
      </c>
      <c r="G479" s="10">
        <v>97501</v>
      </c>
      <c r="H479" s="42"/>
      <c r="I479" s="42">
        <v>880</v>
      </c>
      <c r="J479" s="44">
        <v>35798</v>
      </c>
      <c r="K479" s="878"/>
      <c r="L479" s="880"/>
    </row>
    <row r="480" spans="1:12" x14ac:dyDescent="0.3">
      <c r="A480" s="871">
        <v>880</v>
      </c>
      <c r="B480" s="873">
        <v>38385.699999999997</v>
      </c>
      <c r="C480" s="873" t="s">
        <v>3577</v>
      </c>
      <c r="D480" s="873">
        <f>+I480+I481</f>
        <v>878</v>
      </c>
      <c r="E480" s="873">
        <f>+J480+J481</f>
        <v>36291.9</v>
      </c>
      <c r="F480" s="12" t="s">
        <v>3578</v>
      </c>
      <c r="G480" s="12">
        <v>97511</v>
      </c>
      <c r="H480" s="39"/>
      <c r="I480" s="39">
        <v>218</v>
      </c>
      <c r="J480" s="41">
        <v>9284.1</v>
      </c>
      <c r="K480" s="877">
        <f>+A480-D480</f>
        <v>2</v>
      </c>
      <c r="L480" s="879">
        <f>((+B480/A480)-(E480/D480))/(B480/A480)</f>
        <v>5.2392701550785563E-2</v>
      </c>
    </row>
    <row r="481" spans="1:12" ht="15" thickBot="1" x14ac:dyDescent="0.35">
      <c r="A481" s="872"/>
      <c r="B481" s="874"/>
      <c r="C481" s="874"/>
      <c r="D481" s="874"/>
      <c r="E481" s="874"/>
      <c r="F481" s="10" t="s">
        <v>3578</v>
      </c>
      <c r="G481" s="10">
        <v>97511</v>
      </c>
      <c r="H481" s="42"/>
      <c r="I481" s="42">
        <v>660</v>
      </c>
      <c r="J481" s="44">
        <v>27007.8</v>
      </c>
      <c r="K481" s="878"/>
      <c r="L481" s="880"/>
    </row>
    <row r="482" spans="1:12" ht="15" thickBot="1" x14ac:dyDescent="0.35">
      <c r="A482" s="175">
        <v>1600</v>
      </c>
      <c r="B482" s="8">
        <v>65204.5</v>
      </c>
      <c r="C482" s="8" t="s">
        <v>3579</v>
      </c>
      <c r="D482" s="8">
        <f t="shared" ref="D482:E483" si="143">+I482</f>
        <v>1600</v>
      </c>
      <c r="E482" s="8">
        <f t="shared" si="143"/>
        <v>63213.100000000006</v>
      </c>
      <c r="F482" s="8" t="s">
        <v>3580</v>
      </c>
      <c r="G482" s="8">
        <v>97591</v>
      </c>
      <c r="H482" s="45"/>
      <c r="I482" s="45">
        <v>1600</v>
      </c>
      <c r="J482" s="46">
        <v>63213.100000000006</v>
      </c>
      <c r="K482" s="54">
        <f>+A482-D482</f>
        <v>0</v>
      </c>
      <c r="L482" s="53">
        <f>((+B482/A482)-(E482/D482))/(B482/A482)</f>
        <v>3.0540836905428113E-2</v>
      </c>
    </row>
    <row r="483" spans="1:12" ht="15" thickBot="1" x14ac:dyDescent="0.35">
      <c r="A483" s="174">
        <v>78</v>
      </c>
      <c r="B483" s="12">
        <v>3656.25</v>
      </c>
      <c r="C483" s="12" t="s">
        <v>3581</v>
      </c>
      <c r="D483" s="12">
        <f t="shared" si="143"/>
        <v>78</v>
      </c>
      <c r="E483" s="12">
        <f t="shared" si="143"/>
        <v>3390.6</v>
      </c>
      <c r="F483" s="12" t="s">
        <v>3582</v>
      </c>
      <c r="G483" s="12">
        <v>97641</v>
      </c>
      <c r="H483" s="39"/>
      <c r="I483" s="39">
        <v>78</v>
      </c>
      <c r="J483" s="41">
        <v>3390.6</v>
      </c>
      <c r="K483" s="54">
        <f>+A483-D483</f>
        <v>0</v>
      </c>
      <c r="L483" s="53">
        <f>((+B483/A483)-(E483/D483))/(B483/A483)</f>
        <v>7.2656410256410259E-2</v>
      </c>
    </row>
    <row r="484" spans="1:12" x14ac:dyDescent="0.3">
      <c r="A484" s="871">
        <v>2469</v>
      </c>
      <c r="B484" s="873">
        <v>107562.7</v>
      </c>
      <c r="C484" s="873" t="s">
        <v>3583</v>
      </c>
      <c r="D484" s="873">
        <v>2470</v>
      </c>
      <c r="E484" s="873">
        <v>103698.6</v>
      </c>
      <c r="F484" s="12" t="s">
        <v>3584</v>
      </c>
      <c r="G484" s="12">
        <v>97671</v>
      </c>
      <c r="H484" s="39"/>
      <c r="I484" s="39">
        <v>598</v>
      </c>
      <c r="J484" s="41">
        <v>24372.1</v>
      </c>
      <c r="K484" s="877">
        <f>+A484-D484</f>
        <v>-1</v>
      </c>
      <c r="L484" s="879">
        <f>((+B484/A484)-(E484/D484))/(B484/A484)</f>
        <v>3.6314477405888779E-2</v>
      </c>
    </row>
    <row r="485" spans="1:12" ht="15" thickBot="1" x14ac:dyDescent="0.35">
      <c r="A485" s="872"/>
      <c r="B485" s="874"/>
      <c r="C485" s="874"/>
      <c r="D485" s="874"/>
      <c r="E485" s="874"/>
      <c r="F485" s="10" t="s">
        <v>3584</v>
      </c>
      <c r="G485" s="10">
        <v>97671</v>
      </c>
      <c r="H485" s="42"/>
      <c r="I485" s="42">
        <v>1792</v>
      </c>
      <c r="J485" s="44">
        <v>75966.8</v>
      </c>
      <c r="K485" s="878"/>
      <c r="L485" s="880"/>
    </row>
    <row r="486" spans="1:12" ht="15" thickBot="1" x14ac:dyDescent="0.35">
      <c r="A486" s="175">
        <v>220</v>
      </c>
      <c r="B486" s="8">
        <v>10162</v>
      </c>
      <c r="C486" s="8" t="s">
        <v>3696</v>
      </c>
      <c r="D486" s="8">
        <f>+I486</f>
        <v>220</v>
      </c>
      <c r="E486" s="8">
        <f>+J486</f>
        <v>9904</v>
      </c>
      <c r="F486" s="8" t="s">
        <v>3697</v>
      </c>
      <c r="G486" s="8">
        <v>98681</v>
      </c>
      <c r="H486" s="45"/>
      <c r="I486" s="45">
        <v>220</v>
      </c>
      <c r="J486" s="46">
        <v>9904</v>
      </c>
      <c r="K486" s="54">
        <f>+A486-D486</f>
        <v>0</v>
      </c>
      <c r="L486" s="53">
        <f>((+B486/A486)-(E486/D486))/(B486/A486)</f>
        <v>2.5388703011218251E-2</v>
      </c>
    </row>
    <row r="487" spans="1:12" x14ac:dyDescent="0.3">
      <c r="A487" s="871">
        <v>1320</v>
      </c>
      <c r="B487" s="873">
        <v>57450.7</v>
      </c>
      <c r="C487" s="873" t="s">
        <v>3698</v>
      </c>
      <c r="D487" s="873">
        <f>+I487+I488+I489</f>
        <v>1320</v>
      </c>
      <c r="E487" s="873">
        <f>+J487+J488+J489</f>
        <v>56298.9</v>
      </c>
      <c r="F487" s="12" t="s">
        <v>3699</v>
      </c>
      <c r="G487" s="12">
        <v>97731</v>
      </c>
      <c r="H487" s="39"/>
      <c r="I487" s="39">
        <v>610</v>
      </c>
      <c r="J487" s="41">
        <v>26400.699999999997</v>
      </c>
      <c r="K487" s="877">
        <f>+A487-D487</f>
        <v>0</v>
      </c>
      <c r="L487" s="879">
        <f>((+B487/A487)-(E487/D487))/(B487/A487)</f>
        <v>2.0048493752034404E-2</v>
      </c>
    </row>
    <row r="488" spans="1:12" x14ac:dyDescent="0.3">
      <c r="A488" s="875"/>
      <c r="B488" s="881"/>
      <c r="C488" s="881"/>
      <c r="D488" s="881"/>
      <c r="E488" s="881"/>
      <c r="F488" s="15" t="s">
        <v>3699</v>
      </c>
      <c r="G488" s="15">
        <v>97731</v>
      </c>
      <c r="H488" s="50"/>
      <c r="I488" s="50">
        <v>599</v>
      </c>
      <c r="J488" s="51">
        <v>24981.9</v>
      </c>
      <c r="K488" s="886"/>
      <c r="L488" s="885"/>
    </row>
    <row r="489" spans="1:12" ht="15" thickBot="1" x14ac:dyDescent="0.35">
      <c r="A489" s="872"/>
      <c r="B489" s="874"/>
      <c r="C489" s="874"/>
      <c r="D489" s="874"/>
      <c r="E489" s="874"/>
      <c r="F489" s="10" t="s">
        <v>3699</v>
      </c>
      <c r="G489" s="10">
        <v>97731</v>
      </c>
      <c r="H489" s="42"/>
      <c r="I489" s="42">
        <v>111</v>
      </c>
      <c r="J489" s="44">
        <v>4916.3</v>
      </c>
      <c r="K489" s="878"/>
      <c r="L489" s="880"/>
    </row>
    <row r="490" spans="1:12" x14ac:dyDescent="0.3">
      <c r="A490" s="871">
        <v>1321</v>
      </c>
      <c r="B490" s="873">
        <v>58493.599999999999</v>
      </c>
      <c r="C490" s="873" t="s">
        <v>3700</v>
      </c>
      <c r="D490" s="873">
        <f>+I490+I491</f>
        <v>1320</v>
      </c>
      <c r="E490" s="873">
        <f>+J490+J491</f>
        <v>56206.400000000001</v>
      </c>
      <c r="F490" s="12" t="s">
        <v>3701</v>
      </c>
      <c r="G490" s="12">
        <v>97741</v>
      </c>
      <c r="H490" s="39"/>
      <c r="I490" s="39">
        <v>660</v>
      </c>
      <c r="J490" s="41">
        <v>26874.3</v>
      </c>
      <c r="K490" s="877">
        <f>+A490-D490</f>
        <v>1</v>
      </c>
      <c r="L490" s="879">
        <f>((+B490/A490)-(E490/D490))/(B490/A490)</f>
        <v>3.8373760444551049E-2</v>
      </c>
    </row>
    <row r="491" spans="1:12" ht="15" thickBot="1" x14ac:dyDescent="0.35">
      <c r="A491" s="872"/>
      <c r="B491" s="881"/>
      <c r="C491" s="881"/>
      <c r="D491" s="881"/>
      <c r="E491" s="881"/>
      <c r="F491" s="15" t="s">
        <v>3701</v>
      </c>
      <c r="G491" s="15">
        <v>97741</v>
      </c>
      <c r="H491" s="50"/>
      <c r="I491" s="50">
        <v>660</v>
      </c>
      <c r="J491" s="51">
        <v>29332.100000000002</v>
      </c>
      <c r="K491" s="878"/>
      <c r="L491" s="880"/>
    </row>
    <row r="492" spans="1:12" x14ac:dyDescent="0.3">
      <c r="A492" s="871">
        <v>1320</v>
      </c>
      <c r="B492" s="873">
        <v>57571.3</v>
      </c>
      <c r="C492" s="873" t="s">
        <v>3702</v>
      </c>
      <c r="D492" s="873">
        <f>+I492+I493</f>
        <v>1320</v>
      </c>
      <c r="E492" s="873">
        <f>+J492+J493</f>
        <v>55446</v>
      </c>
      <c r="F492" s="12" t="s">
        <v>3703</v>
      </c>
      <c r="G492" s="12">
        <v>97751</v>
      </c>
      <c r="H492" s="39"/>
      <c r="I492" s="39">
        <v>220</v>
      </c>
      <c r="J492" s="41">
        <v>9019.5</v>
      </c>
      <c r="K492" s="877">
        <f>+A492-D492</f>
        <v>0</v>
      </c>
      <c r="L492" s="879">
        <f>((+B492/A492)-(E492/D492))/(B492/A492)</f>
        <v>3.691596333589825E-2</v>
      </c>
    </row>
    <row r="493" spans="1:12" ht="15" thickBot="1" x14ac:dyDescent="0.35">
      <c r="A493" s="872"/>
      <c r="B493" s="874"/>
      <c r="C493" s="874"/>
      <c r="D493" s="874"/>
      <c r="E493" s="874"/>
      <c r="F493" s="10" t="s">
        <v>3703</v>
      </c>
      <c r="G493" s="10">
        <v>97751</v>
      </c>
      <c r="H493" s="42"/>
      <c r="I493" s="42">
        <v>1100</v>
      </c>
      <c r="J493" s="44">
        <v>46426.5</v>
      </c>
      <c r="K493" s="878"/>
      <c r="L493" s="880"/>
    </row>
    <row r="494" spans="1:12" ht="15" thickBot="1" x14ac:dyDescent="0.35">
      <c r="A494" s="175">
        <v>103</v>
      </c>
      <c r="B494" s="8">
        <v>4293</v>
      </c>
      <c r="C494" s="8" t="s">
        <v>3704</v>
      </c>
      <c r="D494" s="8">
        <f>+I494</f>
        <v>103</v>
      </c>
      <c r="E494" s="8">
        <f>+J494</f>
        <v>4137.8</v>
      </c>
      <c r="F494" s="8" t="s">
        <v>3705</v>
      </c>
      <c r="G494" s="8">
        <v>97801</v>
      </c>
      <c r="H494" s="45"/>
      <c r="I494" s="45">
        <v>103</v>
      </c>
      <c r="J494" s="46">
        <v>4137.8</v>
      </c>
      <c r="K494" s="54">
        <f>+A494-D494</f>
        <v>0</v>
      </c>
      <c r="L494" s="53">
        <f>((+B494/A494)-(E494/D494))/(B494/A494)</f>
        <v>3.6151875145585773E-2</v>
      </c>
    </row>
    <row r="495" spans="1:12" x14ac:dyDescent="0.3">
      <c r="A495" s="871">
        <v>3080</v>
      </c>
      <c r="B495" s="873">
        <v>137898.9</v>
      </c>
      <c r="C495" s="873" t="s">
        <v>3708</v>
      </c>
      <c r="D495" s="873">
        <f>+I495+I496+I497+I498</f>
        <v>3082</v>
      </c>
      <c r="E495" s="873">
        <f>+J495+J496+J497+J498</f>
        <v>133038.90000000002</v>
      </c>
      <c r="F495" s="12" t="s">
        <v>3709</v>
      </c>
      <c r="G495" s="12">
        <v>97851</v>
      </c>
      <c r="H495" s="39"/>
      <c r="I495" s="39">
        <v>880</v>
      </c>
      <c r="J495" s="41">
        <v>36745.700000000004</v>
      </c>
      <c r="K495" s="882">
        <f>+A495-D495</f>
        <v>-2</v>
      </c>
      <c r="L495" s="879">
        <f>((+B495/A495)-(E495/D495))/(B495/A495)</f>
        <v>3.5869269702810229E-2</v>
      </c>
    </row>
    <row r="496" spans="1:12" x14ac:dyDescent="0.3">
      <c r="A496" s="875"/>
      <c r="B496" s="881"/>
      <c r="C496" s="881"/>
      <c r="D496" s="881"/>
      <c r="E496" s="881"/>
      <c r="F496" s="15" t="s">
        <v>3709</v>
      </c>
      <c r="G496" s="15">
        <v>97851</v>
      </c>
      <c r="H496" s="50"/>
      <c r="I496" s="50">
        <v>660</v>
      </c>
      <c r="J496" s="51">
        <v>27948.000000000004</v>
      </c>
      <c r="K496" s="883"/>
      <c r="L496" s="885"/>
    </row>
    <row r="497" spans="1:12" x14ac:dyDescent="0.3">
      <c r="A497" s="875"/>
      <c r="B497" s="881"/>
      <c r="C497" s="881"/>
      <c r="D497" s="881"/>
      <c r="E497" s="881"/>
      <c r="F497" s="15" t="s">
        <v>3709</v>
      </c>
      <c r="G497" s="15">
        <v>97851</v>
      </c>
      <c r="I497" s="50">
        <v>660</v>
      </c>
      <c r="J497" s="51">
        <v>29512.6</v>
      </c>
      <c r="K497" s="883"/>
      <c r="L497" s="885"/>
    </row>
    <row r="498" spans="1:12" ht="15" thickBot="1" x14ac:dyDescent="0.35">
      <c r="A498" s="872"/>
      <c r="B498" s="874"/>
      <c r="C498" s="874"/>
      <c r="D498" s="874"/>
      <c r="E498" s="874"/>
      <c r="F498" s="10" t="s">
        <v>3709</v>
      </c>
      <c r="G498" s="10">
        <v>97851</v>
      </c>
      <c r="H498" s="43"/>
      <c r="I498" s="42">
        <v>882</v>
      </c>
      <c r="J498" s="44">
        <v>38832.6</v>
      </c>
      <c r="K498" s="884"/>
      <c r="L498" s="880"/>
    </row>
    <row r="499" spans="1:12" ht="15" thickBot="1" x14ac:dyDescent="0.35">
      <c r="A499" s="174">
        <v>1100</v>
      </c>
      <c r="B499" s="12">
        <v>45573.2</v>
      </c>
      <c r="C499" s="12" t="s">
        <v>3710</v>
      </c>
      <c r="D499" s="12">
        <f t="shared" ref="D499:E512" si="144">+I499</f>
        <v>1100</v>
      </c>
      <c r="E499" s="12">
        <f t="shared" si="144"/>
        <v>44399.6</v>
      </c>
      <c r="F499" s="12" t="s">
        <v>3711</v>
      </c>
      <c r="G499" s="12">
        <v>97921</v>
      </c>
      <c r="H499" s="40"/>
      <c r="I499" s="39">
        <v>1100</v>
      </c>
      <c r="J499" s="41">
        <v>44399.6</v>
      </c>
      <c r="K499" s="54">
        <f>+A499-D499</f>
        <v>0</v>
      </c>
      <c r="L499" s="53">
        <f>((+B499/A499)-(E499/D499))/(B499/A499)</f>
        <v>2.5751977039136908E-2</v>
      </c>
    </row>
    <row r="500" spans="1:12" x14ac:dyDescent="0.3">
      <c r="A500" s="871">
        <v>1463</v>
      </c>
      <c r="B500" s="873">
        <v>67959.3</v>
      </c>
      <c r="C500" s="873" t="s">
        <v>3712</v>
      </c>
      <c r="D500" s="873">
        <f>+I500+I501+I502+I503</f>
        <v>1463</v>
      </c>
      <c r="E500" s="873">
        <f>+J500+J501+J502+J503</f>
        <v>64950.899999999994</v>
      </c>
      <c r="F500" s="12" t="s">
        <v>3713</v>
      </c>
      <c r="G500" s="12">
        <v>97961</v>
      </c>
      <c r="H500" s="40"/>
      <c r="I500" s="39">
        <v>540</v>
      </c>
      <c r="J500" s="41">
        <v>24694.5</v>
      </c>
      <c r="K500" s="882">
        <f>+A500-D500</f>
        <v>0</v>
      </c>
      <c r="L500" s="879">
        <f>((+B500/A500)-(E500/D500))/(B500/A500)</f>
        <v>4.4267671974255358E-2</v>
      </c>
    </row>
    <row r="501" spans="1:12" x14ac:dyDescent="0.3">
      <c r="A501" s="875"/>
      <c r="B501" s="881"/>
      <c r="C501" s="881"/>
      <c r="D501" s="881"/>
      <c r="E501" s="881"/>
      <c r="F501" s="15" t="s">
        <v>3713</v>
      </c>
      <c r="G501" s="15">
        <v>97961</v>
      </c>
      <c r="I501" s="50">
        <v>660</v>
      </c>
      <c r="J501" s="51">
        <v>28869.200000000001</v>
      </c>
      <c r="K501" s="883"/>
      <c r="L501" s="885"/>
    </row>
    <row r="502" spans="1:12" x14ac:dyDescent="0.3">
      <c r="A502" s="875"/>
      <c r="B502" s="881"/>
      <c r="C502" s="881"/>
      <c r="D502" s="881"/>
      <c r="E502" s="881"/>
      <c r="F502" s="15" t="s">
        <v>3713</v>
      </c>
      <c r="G502" s="15">
        <v>97961</v>
      </c>
      <c r="I502" s="50">
        <v>143</v>
      </c>
      <c r="J502" s="51">
        <v>6199.2</v>
      </c>
      <c r="K502" s="883"/>
      <c r="L502" s="885"/>
    </row>
    <row r="503" spans="1:12" ht="15" thickBot="1" x14ac:dyDescent="0.35">
      <c r="A503" s="872"/>
      <c r="B503" s="874"/>
      <c r="C503" s="874"/>
      <c r="D503" s="874"/>
      <c r="E503" s="874"/>
      <c r="F503" s="10" t="s">
        <v>3713</v>
      </c>
      <c r="G503" s="10">
        <v>97961</v>
      </c>
      <c r="H503" s="43"/>
      <c r="I503" s="42">
        <v>120</v>
      </c>
      <c r="J503" s="44">
        <v>5188</v>
      </c>
      <c r="K503" s="884"/>
      <c r="L503" s="880"/>
    </row>
    <row r="504" spans="1:12" ht="15" thickBot="1" x14ac:dyDescent="0.35">
      <c r="A504" s="181">
        <v>785</v>
      </c>
      <c r="B504" s="15">
        <v>33628.1</v>
      </c>
      <c r="C504" s="15" t="s">
        <v>3714</v>
      </c>
      <c r="D504" s="15">
        <f>+I504</f>
        <v>785</v>
      </c>
      <c r="E504" s="15">
        <f>+J504</f>
        <v>32841.5</v>
      </c>
      <c r="F504" s="15" t="s">
        <v>3715</v>
      </c>
      <c r="G504" s="15">
        <v>97971</v>
      </c>
      <c r="I504" s="50">
        <v>785</v>
      </c>
      <c r="J504" s="51">
        <v>32841.5</v>
      </c>
      <c r="K504" s="54">
        <f>+A504-D504</f>
        <v>0</v>
      </c>
      <c r="L504" s="53">
        <f>((+B504/A504)-(E504/D504))/(B504/A504)</f>
        <v>2.339115204248822E-2</v>
      </c>
    </row>
    <row r="505" spans="1:12" x14ac:dyDescent="0.3">
      <c r="A505" s="871">
        <v>1191</v>
      </c>
      <c r="B505" s="873">
        <v>49123.4</v>
      </c>
      <c r="C505" s="873" t="s">
        <v>3716</v>
      </c>
      <c r="D505" s="873">
        <f>+I505+I506+I507</f>
        <v>1191</v>
      </c>
      <c r="E505" s="873">
        <f>+J505+J506+J507</f>
        <v>48005.5</v>
      </c>
      <c r="F505" s="12" t="s">
        <v>3717</v>
      </c>
      <c r="G505" s="12">
        <v>97981</v>
      </c>
      <c r="H505" s="40"/>
      <c r="I505" s="39">
        <v>163</v>
      </c>
      <c r="J505" s="41">
        <v>6373.2</v>
      </c>
      <c r="K505" s="877">
        <f>+A505-D505</f>
        <v>0</v>
      </c>
      <c r="L505" s="879">
        <f>((+B505/A505)-(E505/D505))/(B505/A505)</f>
        <v>2.275697529079836E-2</v>
      </c>
    </row>
    <row r="506" spans="1:12" x14ac:dyDescent="0.3">
      <c r="A506" s="875"/>
      <c r="B506" s="881"/>
      <c r="C506" s="881"/>
      <c r="D506" s="881"/>
      <c r="E506" s="881"/>
      <c r="F506" s="15" t="s">
        <v>3717</v>
      </c>
      <c r="G506" s="15">
        <v>97981</v>
      </c>
      <c r="I506" s="50">
        <v>120</v>
      </c>
      <c r="J506" s="51">
        <v>4849.5</v>
      </c>
      <c r="K506" s="886"/>
      <c r="L506" s="885"/>
    </row>
    <row r="507" spans="1:12" ht="15" thickBot="1" x14ac:dyDescent="0.35">
      <c r="A507" s="872"/>
      <c r="B507" s="874"/>
      <c r="C507" s="874"/>
      <c r="D507" s="874"/>
      <c r="E507" s="874"/>
      <c r="F507" s="10" t="s">
        <v>3717</v>
      </c>
      <c r="G507" s="10">
        <v>97981</v>
      </c>
      <c r="H507" s="43"/>
      <c r="I507" s="42">
        <v>908</v>
      </c>
      <c r="J507" s="44">
        <v>36782.799999999996</v>
      </c>
      <c r="K507" s="878"/>
      <c r="L507" s="880"/>
    </row>
    <row r="508" spans="1:12" x14ac:dyDescent="0.3">
      <c r="A508" s="871">
        <v>880</v>
      </c>
      <c r="B508" s="873">
        <v>37443.699999999997</v>
      </c>
      <c r="C508" s="873" t="s">
        <v>3718</v>
      </c>
      <c r="D508" s="873">
        <f>+I508+I509</f>
        <v>878</v>
      </c>
      <c r="E508" s="873">
        <f>+J508+J509</f>
        <v>36220</v>
      </c>
      <c r="F508" s="12" t="s">
        <v>3719</v>
      </c>
      <c r="G508" s="12">
        <v>98071</v>
      </c>
      <c r="H508" s="40"/>
      <c r="I508" s="39">
        <v>493</v>
      </c>
      <c r="J508" s="41">
        <v>20133.899999999998</v>
      </c>
      <c r="K508" s="877">
        <f>+A508-D508</f>
        <v>2</v>
      </c>
      <c r="L508" s="879">
        <f>((+B508/A508)-(E508/D508))/(B508/A508)</f>
        <v>3.0477605184294723E-2</v>
      </c>
    </row>
    <row r="509" spans="1:12" ht="15" thickBot="1" x14ac:dyDescent="0.35">
      <c r="A509" s="872"/>
      <c r="B509" s="874"/>
      <c r="C509" s="874"/>
      <c r="D509" s="874"/>
      <c r="E509" s="874"/>
      <c r="F509" s="10" t="s">
        <v>3719</v>
      </c>
      <c r="G509" s="10">
        <v>98071</v>
      </c>
      <c r="H509" s="43"/>
      <c r="I509" s="42">
        <v>385</v>
      </c>
      <c r="J509" s="44">
        <v>16086.099999999999</v>
      </c>
      <c r="K509" s="878"/>
      <c r="L509" s="880"/>
    </row>
    <row r="510" spans="1:12" ht="15" thickBot="1" x14ac:dyDescent="0.35">
      <c r="A510" s="199">
        <v>1071</v>
      </c>
      <c r="B510" s="10">
        <v>48433.3</v>
      </c>
      <c r="C510" s="10" t="s">
        <v>3720</v>
      </c>
      <c r="D510" s="8">
        <f>+I510</f>
        <v>1071</v>
      </c>
      <c r="E510" s="8">
        <f t="shared" ref="E510" si="145">+J510</f>
        <v>46880.700000000004</v>
      </c>
      <c r="F510" s="10" t="s">
        <v>3721</v>
      </c>
      <c r="G510" s="10">
        <v>98081</v>
      </c>
      <c r="H510" s="43"/>
      <c r="I510" s="42">
        <v>1071</v>
      </c>
      <c r="J510" s="44">
        <v>46880.700000000004</v>
      </c>
      <c r="K510" s="54">
        <f>+A510-D510</f>
        <v>0</v>
      </c>
      <c r="L510" s="53">
        <f>((+B510/A510)-(E510/D510))/(B510/A510)</f>
        <v>3.2056457024402595E-2</v>
      </c>
    </row>
    <row r="511" spans="1:12" ht="15" thickBot="1" x14ac:dyDescent="0.35">
      <c r="A511" s="190">
        <v>25</v>
      </c>
      <c r="B511" s="161">
        <f>+A511*48.73</f>
        <v>1218.25</v>
      </c>
      <c r="C511" s="161" t="s">
        <v>3722</v>
      </c>
      <c r="D511" s="8">
        <f t="shared" si="144"/>
        <v>25</v>
      </c>
      <c r="E511" s="8">
        <f t="shared" si="144"/>
        <v>1133.3</v>
      </c>
      <c r="F511" s="8" t="s">
        <v>3723</v>
      </c>
      <c r="G511" s="8">
        <v>98111</v>
      </c>
      <c r="H511" s="14"/>
      <c r="I511" s="45">
        <v>25</v>
      </c>
      <c r="J511" s="46">
        <v>1133.3</v>
      </c>
      <c r="K511" s="54">
        <f>+A511-D511</f>
        <v>0</v>
      </c>
      <c r="L511" s="53">
        <f>((+B511/A511)-(E511/D511))/(B511/A511)</f>
        <v>6.9731171762774394E-2</v>
      </c>
    </row>
    <row r="512" spans="1:12" ht="15" thickBot="1" x14ac:dyDescent="0.35">
      <c r="A512" s="199">
        <v>880</v>
      </c>
      <c r="B512" s="10">
        <v>38163.5</v>
      </c>
      <c r="C512" s="10" t="s">
        <v>3726</v>
      </c>
      <c r="D512" s="8">
        <f t="shared" si="144"/>
        <v>880</v>
      </c>
      <c r="E512" s="8">
        <f t="shared" si="144"/>
        <v>37145.699999999997</v>
      </c>
      <c r="F512" s="10" t="s">
        <v>3727</v>
      </c>
      <c r="G512" s="10">
        <v>98161</v>
      </c>
      <c r="H512" s="43"/>
      <c r="I512" s="42">
        <v>880</v>
      </c>
      <c r="J512" s="44">
        <v>37145.699999999997</v>
      </c>
      <c r="K512" s="54">
        <f>+A512-D512</f>
        <v>0</v>
      </c>
      <c r="L512" s="53">
        <f>((+B512/A512)-(E512/D512))/(B512/A512)</f>
        <v>2.6669461658390865E-2</v>
      </c>
    </row>
    <row r="513" spans="1:12" ht="15" thickBot="1" x14ac:dyDescent="0.35">
      <c r="A513" s="180">
        <v>384</v>
      </c>
      <c r="B513" s="191">
        <v>15791.28</v>
      </c>
      <c r="C513" s="191" t="s">
        <v>3728</v>
      </c>
      <c r="D513" s="12">
        <f t="shared" ref="D513:E513" si="146">+I513</f>
        <v>384</v>
      </c>
      <c r="E513" s="12">
        <f t="shared" si="146"/>
        <v>15402.5</v>
      </c>
      <c r="F513" s="12" t="s">
        <v>3729</v>
      </c>
      <c r="G513" s="12">
        <v>98221</v>
      </c>
      <c r="H513" s="39"/>
      <c r="I513" s="39">
        <v>384</v>
      </c>
      <c r="J513" s="41">
        <v>15402.5</v>
      </c>
      <c r="K513" s="54">
        <f>+A513-D513</f>
        <v>0</v>
      </c>
      <c r="L513" s="53">
        <f>((+B513/A513)-(E513/D513))/(B513/A513)</f>
        <v>2.4619916814849697E-2</v>
      </c>
    </row>
    <row r="514" spans="1:12" x14ac:dyDescent="0.3">
      <c r="A514" s="871">
        <v>3000</v>
      </c>
      <c r="B514" s="873">
        <v>116192.5</v>
      </c>
      <c r="C514" s="873" t="s">
        <v>3730</v>
      </c>
      <c r="D514" s="873">
        <f>+I514+I516+I515</f>
        <v>3000</v>
      </c>
      <c r="E514" s="873">
        <f>+J514+J516+J515</f>
        <v>116413.5</v>
      </c>
      <c r="F514" s="12" t="s">
        <v>3731</v>
      </c>
      <c r="G514" s="12">
        <v>98251</v>
      </c>
      <c r="H514" s="39"/>
      <c r="I514" s="39">
        <v>1232</v>
      </c>
      <c r="J514" s="41">
        <v>47839.999999999993</v>
      </c>
      <c r="K514" s="877">
        <f>+A514-D514</f>
        <v>0</v>
      </c>
      <c r="L514" s="879">
        <f>((+B514/A514)-(E514/D514))/(B514/A514)</f>
        <v>-1.9020160509497798E-3</v>
      </c>
    </row>
    <row r="515" spans="1:12" x14ac:dyDescent="0.3">
      <c r="A515" s="875"/>
      <c r="B515" s="881"/>
      <c r="C515" s="881"/>
      <c r="D515" s="881"/>
      <c r="E515" s="881"/>
      <c r="F515" s="15" t="s">
        <v>3731</v>
      </c>
      <c r="G515" s="15">
        <v>98251</v>
      </c>
      <c r="H515" s="50"/>
      <c r="I515" s="50">
        <v>1712</v>
      </c>
      <c r="J515" s="51">
        <v>66370.600000000006</v>
      </c>
      <c r="K515" s="886"/>
      <c r="L515" s="885"/>
    </row>
    <row r="516" spans="1:12" ht="15" thickBot="1" x14ac:dyDescent="0.35">
      <c r="A516" s="872"/>
      <c r="B516" s="874"/>
      <c r="C516" s="874"/>
      <c r="D516" s="874"/>
      <c r="E516" s="874"/>
      <c r="F516" s="10" t="s">
        <v>3731</v>
      </c>
      <c r="G516" s="10">
        <v>98251</v>
      </c>
      <c r="H516" s="42"/>
      <c r="I516" s="42">
        <v>56</v>
      </c>
      <c r="J516" s="44">
        <v>2202.9</v>
      </c>
      <c r="K516" s="878"/>
      <c r="L516" s="880"/>
    </row>
    <row r="517" spans="1:12" ht="15" thickBot="1" x14ac:dyDescent="0.35">
      <c r="A517" s="175">
        <v>880</v>
      </c>
      <c r="B517" s="8">
        <v>38056.800000000003</v>
      </c>
      <c r="C517" s="8" t="s">
        <v>3732</v>
      </c>
      <c r="D517" s="8">
        <f>+I517</f>
        <v>880</v>
      </c>
      <c r="E517" s="8">
        <f>+J517</f>
        <v>37672.199999999997</v>
      </c>
      <c r="F517" s="8" t="s">
        <v>3733</v>
      </c>
      <c r="G517" s="8">
        <v>98261</v>
      </c>
      <c r="H517" s="45"/>
      <c r="I517" s="45">
        <v>880</v>
      </c>
      <c r="J517" s="46">
        <v>37672.199999999997</v>
      </c>
      <c r="K517" s="54">
        <f>+A517-D517</f>
        <v>0</v>
      </c>
      <c r="L517" s="53">
        <f>((+B517/A517)-(E517/D517))/(B517/A517)</f>
        <v>1.0105946900422699E-2</v>
      </c>
    </row>
    <row r="518" spans="1:12" ht="15" thickBot="1" x14ac:dyDescent="0.35">
      <c r="A518" s="175">
        <v>5060</v>
      </c>
      <c r="B518" s="8">
        <v>216542.2</v>
      </c>
      <c r="C518" s="8" t="s">
        <v>3734</v>
      </c>
      <c r="D518" s="8">
        <v>5066</v>
      </c>
      <c r="E518" s="8">
        <v>211216.8</v>
      </c>
      <c r="F518" s="8" t="s">
        <v>3735</v>
      </c>
      <c r="G518" s="8">
        <v>98321</v>
      </c>
      <c r="H518" s="14"/>
      <c r="I518" s="45">
        <v>65</v>
      </c>
      <c r="J518" s="46">
        <v>2823.2</v>
      </c>
      <c r="K518" s="54">
        <f>+A518-D518</f>
        <v>-6</v>
      </c>
      <c r="L518" s="53">
        <f>((+B518/A518)-(E518/D518))/(B518/A518)</f>
        <v>2.5748136268268936E-2</v>
      </c>
    </row>
    <row r="519" spans="1:12" x14ac:dyDescent="0.3">
      <c r="A519" s="871">
        <v>1320</v>
      </c>
      <c r="B519" s="873">
        <v>59589.599999999999</v>
      </c>
      <c r="C519" s="873" t="s">
        <v>3936</v>
      </c>
      <c r="D519" s="873">
        <f>+I519+I520</f>
        <v>1320</v>
      </c>
      <c r="E519" s="873">
        <f>+J519+J520</f>
        <v>57880</v>
      </c>
      <c r="F519" s="12" t="s">
        <v>3937</v>
      </c>
      <c r="G519" s="12">
        <v>98331</v>
      </c>
      <c r="H519" s="39"/>
      <c r="I519" s="39">
        <v>220</v>
      </c>
      <c r="J519" s="41">
        <v>9278.2000000000007</v>
      </c>
      <c r="K519" s="877">
        <f>+A519-D519</f>
        <v>0</v>
      </c>
      <c r="L519" s="879">
        <f>((+B519/A519)-(E519/D519))/(B519/A519)</f>
        <v>2.8689569992079035E-2</v>
      </c>
    </row>
    <row r="520" spans="1:12" ht="15" thickBot="1" x14ac:dyDescent="0.35">
      <c r="A520" s="872"/>
      <c r="B520" s="874"/>
      <c r="C520" s="874"/>
      <c r="D520" s="874"/>
      <c r="E520" s="874"/>
      <c r="F520" s="10" t="s">
        <v>3937</v>
      </c>
      <c r="G520" s="10">
        <v>98331</v>
      </c>
      <c r="H520" s="42"/>
      <c r="I520" s="42">
        <v>1100</v>
      </c>
      <c r="J520" s="44">
        <v>48601.799999999996</v>
      </c>
      <c r="K520" s="878"/>
      <c r="L520" s="880"/>
    </row>
    <row r="521" spans="1:12" ht="15" thickBot="1" x14ac:dyDescent="0.35">
      <c r="A521" s="174">
        <v>440</v>
      </c>
      <c r="B521" s="12">
        <v>18882.5</v>
      </c>
      <c r="C521" s="12" t="s">
        <v>3938</v>
      </c>
      <c r="D521" s="12">
        <f>+I521</f>
        <v>440</v>
      </c>
      <c r="E521" s="12">
        <f>+J521</f>
        <v>18200.3</v>
      </c>
      <c r="F521" s="12" t="s">
        <v>3939</v>
      </c>
      <c r="G521" s="12">
        <v>98341</v>
      </c>
      <c r="H521" s="39"/>
      <c r="I521" s="39">
        <v>440</v>
      </c>
      <c r="J521" s="41">
        <v>18200.3</v>
      </c>
      <c r="K521" s="54">
        <f>+A521-D521</f>
        <v>0</v>
      </c>
      <c r="L521" s="53">
        <f>((+B521/A521)-(E521/D521))/(B521/A521)</f>
        <v>3.6128690586522003E-2</v>
      </c>
    </row>
    <row r="522" spans="1:12" x14ac:dyDescent="0.3">
      <c r="A522" s="871">
        <v>3080</v>
      </c>
      <c r="B522" s="873">
        <v>130544.3</v>
      </c>
      <c r="C522" s="873" t="s">
        <v>3940</v>
      </c>
      <c r="D522" s="873">
        <f>+I522+I523+I524</f>
        <v>3080</v>
      </c>
      <c r="E522" s="873">
        <f>+J522+J523+J524</f>
        <v>127478.59999999999</v>
      </c>
      <c r="F522" s="12" t="s">
        <v>3941</v>
      </c>
      <c r="G522" s="12">
        <v>98431</v>
      </c>
      <c r="H522" s="39"/>
      <c r="I522" s="39">
        <v>880</v>
      </c>
      <c r="J522" s="41">
        <v>34754.799999999996</v>
      </c>
      <c r="K522" s="877">
        <f>+A522-D522</f>
        <v>0</v>
      </c>
      <c r="L522" s="879">
        <f>((+B522/A522)-(E522/D522))/(B522/A522)</f>
        <v>2.3483982065858153E-2</v>
      </c>
    </row>
    <row r="523" spans="1:12" x14ac:dyDescent="0.3">
      <c r="A523" s="875"/>
      <c r="B523" s="881"/>
      <c r="C523" s="881"/>
      <c r="D523" s="881"/>
      <c r="E523" s="881"/>
      <c r="F523" s="15" t="s">
        <v>3941</v>
      </c>
      <c r="G523" s="15">
        <v>98431</v>
      </c>
      <c r="H523" s="50"/>
      <c r="I523" s="50">
        <v>660</v>
      </c>
      <c r="J523" s="51">
        <v>27850.3</v>
      </c>
      <c r="K523" s="886"/>
      <c r="L523" s="885"/>
    </row>
    <row r="524" spans="1:12" ht="15" thickBot="1" x14ac:dyDescent="0.35">
      <c r="A524" s="872"/>
      <c r="B524" s="874"/>
      <c r="C524" s="874"/>
      <c r="D524" s="874"/>
      <c r="E524" s="874"/>
      <c r="F524" s="10" t="s">
        <v>3941</v>
      </c>
      <c r="G524" s="10">
        <v>98431</v>
      </c>
      <c r="H524" s="42"/>
      <c r="I524" s="42">
        <v>1540</v>
      </c>
      <c r="J524" s="44">
        <v>64873.5</v>
      </c>
      <c r="K524" s="878"/>
      <c r="L524" s="880"/>
    </row>
    <row r="525" spans="1:12" x14ac:dyDescent="0.3">
      <c r="A525" s="871">
        <v>1675</v>
      </c>
      <c r="B525" s="873">
        <v>72103.8</v>
      </c>
      <c r="C525" s="873" t="s">
        <v>3942</v>
      </c>
      <c r="D525" s="873">
        <f>+I525+I526</f>
        <v>1675</v>
      </c>
      <c r="E525" s="873">
        <f>+J525+J526</f>
        <v>70291.999999999985</v>
      </c>
      <c r="F525" s="12" t="s">
        <v>3943</v>
      </c>
      <c r="G525" s="12">
        <v>98511</v>
      </c>
      <c r="H525" s="39"/>
      <c r="I525" s="39">
        <v>660</v>
      </c>
      <c r="J525" s="41">
        <v>26756.3</v>
      </c>
      <c r="K525" s="877">
        <f>+A525-D525</f>
        <v>0</v>
      </c>
      <c r="L525" s="879">
        <f>((+B525/A525)-(E525/D525))/(B525/A525)</f>
        <v>2.5127663174479231E-2</v>
      </c>
    </row>
    <row r="526" spans="1:12" ht="15" thickBot="1" x14ac:dyDescent="0.35">
      <c r="A526" s="872"/>
      <c r="B526" s="874"/>
      <c r="C526" s="874"/>
      <c r="D526" s="874"/>
      <c r="E526" s="874"/>
      <c r="F526" s="10" t="s">
        <v>3943</v>
      </c>
      <c r="G526" s="10">
        <v>98511</v>
      </c>
      <c r="H526" s="42"/>
      <c r="I526" s="42">
        <v>1015</v>
      </c>
      <c r="J526" s="44">
        <v>43535.69999999999</v>
      </c>
      <c r="K526" s="878"/>
      <c r="L526" s="880"/>
    </row>
    <row r="527" spans="1:12" x14ac:dyDescent="0.3">
      <c r="A527" s="871">
        <v>3080</v>
      </c>
      <c r="B527" s="873">
        <v>130650.3</v>
      </c>
      <c r="C527" s="873" t="s">
        <v>3944</v>
      </c>
      <c r="D527" s="873">
        <f>+I527+I528+I529+I530</f>
        <v>3080</v>
      </c>
      <c r="E527" s="873">
        <f>+J527+J528+J529+J530</f>
        <v>126929.5</v>
      </c>
      <c r="F527" s="12" t="s">
        <v>3945</v>
      </c>
      <c r="G527" s="12">
        <v>98621</v>
      </c>
      <c r="H527" s="39"/>
      <c r="I527" s="39">
        <v>1100</v>
      </c>
      <c r="J527" s="41">
        <v>45360.599999999991</v>
      </c>
      <c r="K527" s="882">
        <f>+A527-D527</f>
        <v>0</v>
      </c>
      <c r="L527" s="879">
        <f>((+B527/A527)-(E527/D527))/(B527/A527)</f>
        <v>2.8479077353821724E-2</v>
      </c>
    </row>
    <row r="528" spans="1:12" x14ac:dyDescent="0.3">
      <c r="A528" s="875"/>
      <c r="B528" s="881"/>
      <c r="C528" s="881"/>
      <c r="D528" s="881"/>
      <c r="E528" s="881"/>
      <c r="F528" s="15" t="s">
        <v>3945</v>
      </c>
      <c r="G528" s="15">
        <v>98621</v>
      </c>
      <c r="H528" s="50"/>
      <c r="I528" s="50">
        <v>440</v>
      </c>
      <c r="J528" s="51">
        <v>16886</v>
      </c>
      <c r="K528" s="883"/>
      <c r="L528" s="885"/>
    </row>
    <row r="529" spans="1:12" x14ac:dyDescent="0.3">
      <c r="A529" s="875"/>
      <c r="B529" s="881"/>
      <c r="C529" s="881"/>
      <c r="D529" s="881"/>
      <c r="E529" s="881"/>
      <c r="F529" s="15" t="s">
        <v>3945</v>
      </c>
      <c r="G529" s="15">
        <v>98621</v>
      </c>
      <c r="H529" s="50"/>
      <c r="I529" s="50">
        <v>660</v>
      </c>
      <c r="J529" s="51">
        <v>26257.7</v>
      </c>
      <c r="K529" s="883"/>
      <c r="L529" s="885"/>
    </row>
    <row r="530" spans="1:12" ht="15" thickBot="1" x14ac:dyDescent="0.35">
      <c r="A530" s="872"/>
      <c r="B530" s="881"/>
      <c r="C530" s="881"/>
      <c r="D530" s="881"/>
      <c r="E530" s="881"/>
      <c r="F530" s="15" t="s">
        <v>3945</v>
      </c>
      <c r="G530" s="15">
        <v>98621</v>
      </c>
      <c r="H530" s="50"/>
      <c r="I530" s="50">
        <v>880</v>
      </c>
      <c r="J530" s="51">
        <v>38425.200000000004</v>
      </c>
      <c r="K530" s="884"/>
      <c r="L530" s="880"/>
    </row>
    <row r="531" spans="1:12" x14ac:dyDescent="0.3">
      <c r="A531" s="871">
        <v>2200</v>
      </c>
      <c r="B531" s="873">
        <v>93950.1</v>
      </c>
      <c r="C531" s="873" t="s">
        <v>3946</v>
      </c>
      <c r="D531" s="873">
        <f>+I531+I532+I533</f>
        <v>2200</v>
      </c>
      <c r="E531" s="873">
        <f>+J531+J532+J533</f>
        <v>92159.4</v>
      </c>
      <c r="F531" s="12" t="s">
        <v>3947</v>
      </c>
      <c r="G531" s="12">
        <v>98681</v>
      </c>
      <c r="H531" s="39"/>
      <c r="I531" s="39">
        <v>220</v>
      </c>
      <c r="J531" s="41">
        <v>9333.6</v>
      </c>
      <c r="K531" s="877">
        <f>+A531-D531</f>
        <v>0</v>
      </c>
      <c r="L531" s="879">
        <f>((+B531/A531)-(E531/D531))/(B531/A531)</f>
        <v>1.9060118083961693E-2</v>
      </c>
    </row>
    <row r="532" spans="1:12" x14ac:dyDescent="0.3">
      <c r="A532" s="875"/>
      <c r="B532" s="881"/>
      <c r="C532" s="881"/>
      <c r="D532" s="881"/>
      <c r="E532" s="881"/>
      <c r="F532" s="15" t="s">
        <v>3947</v>
      </c>
      <c r="G532" s="15">
        <v>98681</v>
      </c>
      <c r="H532" s="50"/>
      <c r="I532" s="50">
        <v>1540</v>
      </c>
      <c r="J532" s="51">
        <v>64324.6</v>
      </c>
      <c r="K532" s="886"/>
      <c r="L532" s="885"/>
    </row>
    <row r="533" spans="1:12" ht="15" thickBot="1" x14ac:dyDescent="0.35">
      <c r="A533" s="872"/>
      <c r="B533" s="874"/>
      <c r="C533" s="874"/>
      <c r="D533" s="874"/>
      <c r="E533" s="874"/>
      <c r="F533" s="10" t="s">
        <v>3947</v>
      </c>
      <c r="G533" s="10">
        <v>98681</v>
      </c>
      <c r="H533" s="42"/>
      <c r="I533" s="42">
        <v>440</v>
      </c>
      <c r="J533" s="44">
        <v>18501.2</v>
      </c>
      <c r="K533" s="878"/>
      <c r="L533" s="880"/>
    </row>
    <row r="534" spans="1:12" ht="15" thickBot="1" x14ac:dyDescent="0.35">
      <c r="A534" s="199">
        <v>250</v>
      </c>
      <c r="B534" s="10">
        <v>11188.5</v>
      </c>
      <c r="C534" s="10" t="s">
        <v>3948</v>
      </c>
      <c r="D534" s="10">
        <f>+I534</f>
        <v>250</v>
      </c>
      <c r="E534" s="10">
        <f>+J534</f>
        <v>10860.3</v>
      </c>
      <c r="F534" s="10" t="s">
        <v>3949</v>
      </c>
      <c r="G534" s="10">
        <v>98691</v>
      </c>
      <c r="H534" s="42"/>
      <c r="I534" s="42">
        <v>250</v>
      </c>
      <c r="J534" s="44">
        <v>10860.3</v>
      </c>
      <c r="K534" s="54">
        <f>+A534-D534</f>
        <v>0</v>
      </c>
      <c r="L534" s="53">
        <f>((+B534/A534)-(E534/D534))/(B534/A534)</f>
        <v>2.9333690843276645E-2</v>
      </c>
    </row>
    <row r="535" spans="1:12" ht="15" thickBot="1" x14ac:dyDescent="0.35">
      <c r="A535" s="174">
        <v>282</v>
      </c>
      <c r="B535" s="12">
        <v>13945.5</v>
      </c>
      <c r="C535" s="12" t="s">
        <v>3950</v>
      </c>
      <c r="D535" s="12">
        <f>+I535</f>
        <v>282</v>
      </c>
      <c r="E535" s="12">
        <f>+J535</f>
        <v>13761.5</v>
      </c>
      <c r="F535" s="12" t="s">
        <v>3951</v>
      </c>
      <c r="G535" s="12">
        <v>98701</v>
      </c>
      <c r="H535" s="39"/>
      <c r="I535" s="39">
        <v>282</v>
      </c>
      <c r="J535" s="41">
        <v>13761.5</v>
      </c>
      <c r="K535" s="54">
        <f>+A535-D535</f>
        <v>0</v>
      </c>
      <c r="L535" s="53">
        <f>((+B535/A535)-(E535/D535))/(B535/A535)</f>
        <v>1.3194220357821477E-2</v>
      </c>
    </row>
    <row r="536" spans="1:12" x14ac:dyDescent="0.3">
      <c r="A536" s="871">
        <v>1856</v>
      </c>
      <c r="B536" s="873">
        <v>69508.75</v>
      </c>
      <c r="C536" s="873" t="s">
        <v>3952</v>
      </c>
      <c r="D536" s="873">
        <f>+I536+I537</f>
        <v>1858</v>
      </c>
      <c r="E536" s="873">
        <f>+J536+J537</f>
        <v>70223.899999999994</v>
      </c>
      <c r="F536" s="12" t="s">
        <v>3953</v>
      </c>
      <c r="G536" s="12">
        <v>98711</v>
      </c>
      <c r="H536" s="39"/>
      <c r="I536" s="39">
        <v>517</v>
      </c>
      <c r="J536" s="41">
        <v>19146.2</v>
      </c>
      <c r="K536" s="877">
        <f>+A536-D536</f>
        <v>-2</v>
      </c>
      <c r="L536" s="879">
        <f>((+B536/A536)-(E536/D536))/(B536/A536)</f>
        <v>-9.2011315067995376E-3</v>
      </c>
    </row>
    <row r="537" spans="1:12" ht="15" thickBot="1" x14ac:dyDescent="0.35">
      <c r="A537" s="872"/>
      <c r="B537" s="874"/>
      <c r="C537" s="874"/>
      <c r="D537" s="874"/>
      <c r="E537" s="874"/>
      <c r="F537" s="10" t="s">
        <v>3953</v>
      </c>
      <c r="G537" s="10">
        <v>98711</v>
      </c>
      <c r="H537" s="42"/>
      <c r="I537" s="42">
        <v>1341</v>
      </c>
      <c r="J537" s="44">
        <v>51077.7</v>
      </c>
      <c r="K537" s="878"/>
      <c r="L537" s="880"/>
    </row>
    <row r="538" spans="1:12" x14ac:dyDescent="0.3">
      <c r="A538" s="871">
        <v>2529</v>
      </c>
      <c r="B538" s="873">
        <v>109872.4</v>
      </c>
      <c r="C538" s="873" t="s">
        <v>3954</v>
      </c>
      <c r="D538" s="881">
        <f>+I538+I539+I540</f>
        <v>2528</v>
      </c>
      <c r="E538" s="881">
        <f>+J538+J539+J540</f>
        <v>108357.90000000001</v>
      </c>
      <c r="F538" s="15" t="s">
        <v>3955</v>
      </c>
      <c r="G538" s="15">
        <v>98791</v>
      </c>
      <c r="H538" s="50"/>
      <c r="I538" s="50">
        <v>659</v>
      </c>
      <c r="J538" s="51">
        <v>28030.400000000001</v>
      </c>
      <c r="K538" s="877">
        <f>+A538-D538</f>
        <v>1</v>
      </c>
      <c r="L538" s="879">
        <f>((+B538/A538)-(E538/D538))/(B538/A538)</f>
        <v>1.3394054436287559E-2</v>
      </c>
    </row>
    <row r="539" spans="1:12" x14ac:dyDescent="0.3">
      <c r="A539" s="875"/>
      <c r="B539" s="881"/>
      <c r="C539" s="881"/>
      <c r="D539" s="881"/>
      <c r="E539" s="881"/>
      <c r="F539" s="15" t="s">
        <v>3955</v>
      </c>
      <c r="G539" s="15">
        <v>98791</v>
      </c>
      <c r="H539" s="50"/>
      <c r="I539" s="50">
        <v>1445</v>
      </c>
      <c r="J539" s="51">
        <v>62729.7</v>
      </c>
      <c r="K539" s="886"/>
      <c r="L539" s="885"/>
    </row>
    <row r="540" spans="1:12" ht="15" thickBot="1" x14ac:dyDescent="0.35">
      <c r="A540" s="872"/>
      <c r="B540" s="874"/>
      <c r="C540" s="874"/>
      <c r="D540" s="874"/>
      <c r="E540" s="874"/>
      <c r="F540" s="10" t="s">
        <v>3955</v>
      </c>
      <c r="G540" s="10">
        <v>98791</v>
      </c>
      <c r="H540" s="42"/>
      <c r="I540" s="42">
        <v>424</v>
      </c>
      <c r="J540" s="44">
        <v>17597.8</v>
      </c>
      <c r="K540" s="878"/>
      <c r="L540" s="880"/>
    </row>
    <row r="541" spans="1:12" x14ac:dyDescent="0.3">
      <c r="A541" s="871">
        <v>5060</v>
      </c>
      <c r="B541" s="873">
        <v>216887.9</v>
      </c>
      <c r="C541" s="873" t="s">
        <v>3956</v>
      </c>
      <c r="D541" s="873">
        <f>+I541+I543+I544+I546+I547+I548+I545+I542</f>
        <v>5060</v>
      </c>
      <c r="E541" s="873">
        <f>+J541+J543+J544+J546+J547+J548+J545+J542</f>
        <v>212329.4</v>
      </c>
      <c r="F541" s="12" t="s">
        <v>3957</v>
      </c>
      <c r="G541" s="12">
        <v>98831</v>
      </c>
      <c r="H541" s="39"/>
      <c r="I541" s="39">
        <v>440</v>
      </c>
      <c r="J541" s="41">
        <v>18634.900000000001</v>
      </c>
      <c r="K541" s="882">
        <f>+A541-D541</f>
        <v>0</v>
      </c>
      <c r="L541" s="879">
        <f>((+B541/A541)-(E541/D541))/(B541/A541)</f>
        <v>2.1017770009299792E-2</v>
      </c>
    </row>
    <row r="542" spans="1:12" x14ac:dyDescent="0.3">
      <c r="A542" s="875"/>
      <c r="B542" s="881"/>
      <c r="C542" s="881"/>
      <c r="D542" s="881"/>
      <c r="E542" s="881"/>
      <c r="F542" s="15" t="s">
        <v>3958</v>
      </c>
      <c r="G542" s="15">
        <v>98831</v>
      </c>
      <c r="H542" s="50"/>
      <c r="I542" s="50">
        <v>220</v>
      </c>
      <c r="J542" s="51">
        <v>8685.7999999999993</v>
      </c>
      <c r="K542" s="883"/>
      <c r="L542" s="885"/>
    </row>
    <row r="543" spans="1:12" x14ac:dyDescent="0.3">
      <c r="A543" s="875"/>
      <c r="B543" s="881"/>
      <c r="C543" s="881"/>
      <c r="D543" s="881"/>
      <c r="E543" s="881"/>
      <c r="F543" s="15" t="s">
        <v>3957</v>
      </c>
      <c r="G543" s="15">
        <v>98831</v>
      </c>
      <c r="H543" s="50"/>
      <c r="I543" s="50">
        <v>496</v>
      </c>
      <c r="J543" s="51">
        <v>19750.400000000001</v>
      </c>
      <c r="K543" s="883"/>
      <c r="L543" s="885"/>
    </row>
    <row r="544" spans="1:12" x14ac:dyDescent="0.3">
      <c r="A544" s="875"/>
      <c r="B544" s="881"/>
      <c r="C544" s="881"/>
      <c r="D544" s="881"/>
      <c r="E544" s="881"/>
      <c r="F544" s="15" t="s">
        <v>3957</v>
      </c>
      <c r="G544" s="15">
        <v>98831</v>
      </c>
      <c r="H544" s="50"/>
      <c r="I544" s="50">
        <v>1004</v>
      </c>
      <c r="J544" s="51">
        <v>42207</v>
      </c>
      <c r="K544" s="883"/>
      <c r="L544" s="885"/>
    </row>
    <row r="545" spans="1:12" x14ac:dyDescent="0.3">
      <c r="A545" s="875"/>
      <c r="B545" s="881"/>
      <c r="C545" s="881"/>
      <c r="D545" s="881"/>
      <c r="E545" s="881"/>
      <c r="F545" s="15" t="s">
        <v>3957</v>
      </c>
      <c r="G545" s="15">
        <v>98831</v>
      </c>
      <c r="H545" s="50"/>
      <c r="I545" s="50">
        <v>400</v>
      </c>
      <c r="J545" s="51">
        <v>16402.900000000001</v>
      </c>
      <c r="K545" s="883"/>
      <c r="L545" s="885"/>
    </row>
    <row r="546" spans="1:12" x14ac:dyDescent="0.3">
      <c r="A546" s="875"/>
      <c r="B546" s="881"/>
      <c r="C546" s="881"/>
      <c r="D546" s="881"/>
      <c r="E546" s="881"/>
      <c r="F546" s="15" t="s">
        <v>3957</v>
      </c>
      <c r="G546" s="15">
        <v>98831</v>
      </c>
      <c r="H546" s="50"/>
      <c r="I546" s="50">
        <v>400</v>
      </c>
      <c r="J546" s="51">
        <v>17572.599999999999</v>
      </c>
      <c r="K546" s="883"/>
      <c r="L546" s="885"/>
    </row>
    <row r="547" spans="1:12" x14ac:dyDescent="0.3">
      <c r="A547" s="875"/>
      <c r="B547" s="881"/>
      <c r="C547" s="881"/>
      <c r="D547" s="881"/>
      <c r="E547" s="881"/>
      <c r="F547" s="15" t="s">
        <v>3957</v>
      </c>
      <c r="G547" s="15">
        <v>98831</v>
      </c>
      <c r="H547" s="50"/>
      <c r="I547" s="50">
        <v>740</v>
      </c>
      <c r="J547" s="51">
        <v>32476.699999999997</v>
      </c>
      <c r="K547" s="883"/>
      <c r="L547" s="885"/>
    </row>
    <row r="548" spans="1:12" ht="15" thickBot="1" x14ac:dyDescent="0.35">
      <c r="A548" s="872"/>
      <c r="B548" s="874"/>
      <c r="C548" s="874"/>
      <c r="D548" s="881"/>
      <c r="E548" s="881"/>
      <c r="F548" s="15" t="s">
        <v>3957</v>
      </c>
      <c r="G548" s="15">
        <v>98831</v>
      </c>
      <c r="H548" s="50"/>
      <c r="I548" s="50">
        <v>1360</v>
      </c>
      <c r="J548" s="51">
        <v>56599.100000000006</v>
      </c>
      <c r="K548" s="884"/>
      <c r="L548" s="880"/>
    </row>
    <row r="549" spans="1:12" x14ac:dyDescent="0.3">
      <c r="A549" s="871">
        <v>2342</v>
      </c>
      <c r="B549" s="873">
        <v>103384</v>
      </c>
      <c r="C549" s="873" t="s">
        <v>3959</v>
      </c>
      <c r="D549" s="873">
        <v>2342</v>
      </c>
      <c r="E549" s="873">
        <v>100798</v>
      </c>
      <c r="F549" s="12" t="s">
        <v>3960</v>
      </c>
      <c r="G549" s="12">
        <v>98891</v>
      </c>
      <c r="H549" s="39"/>
      <c r="I549" s="39">
        <v>1000</v>
      </c>
      <c r="J549" s="41">
        <v>42452.200000000004</v>
      </c>
      <c r="K549" s="877">
        <f>+A549-D549</f>
        <v>0</v>
      </c>
      <c r="L549" s="879">
        <f>((+B549/A549)-(E549/D549))/(B549/A549)</f>
        <v>2.5013541747272289E-2</v>
      </c>
    </row>
    <row r="550" spans="1:12" ht="15" thickBot="1" x14ac:dyDescent="0.35">
      <c r="A550" s="872"/>
      <c r="B550" s="874"/>
      <c r="C550" s="874"/>
      <c r="D550" s="874"/>
      <c r="E550" s="874"/>
      <c r="F550" s="10" t="s">
        <v>3960</v>
      </c>
      <c r="G550" s="10">
        <v>98891</v>
      </c>
      <c r="H550" s="42"/>
      <c r="I550" s="42">
        <v>220</v>
      </c>
      <c r="J550" s="44">
        <v>9776.2000000000007</v>
      </c>
      <c r="K550" s="878"/>
      <c r="L550" s="880"/>
    </row>
    <row r="551" spans="1:12" x14ac:dyDescent="0.3">
      <c r="A551" s="871">
        <v>2200</v>
      </c>
      <c r="B551" s="873">
        <v>98916.6</v>
      </c>
      <c r="C551" s="873" t="s">
        <v>4242</v>
      </c>
      <c r="D551" s="873">
        <f>+I551+I552+I553</f>
        <v>2200</v>
      </c>
      <c r="E551" s="873">
        <f>+J551+J552+J553</f>
        <v>96413.599999999991</v>
      </c>
      <c r="F551" s="12" t="s">
        <v>4243</v>
      </c>
      <c r="G551" s="12">
        <v>98981</v>
      </c>
      <c r="H551" s="39"/>
      <c r="I551" s="39">
        <v>1500</v>
      </c>
      <c r="J551" s="41">
        <v>66247.899999999994</v>
      </c>
      <c r="K551" s="877">
        <f>+A551-D551</f>
        <v>0</v>
      </c>
      <c r="L551" s="879">
        <f>((+B551/A551)-(E551/D551))/(B551/A551)</f>
        <v>2.5304145108101226E-2</v>
      </c>
    </row>
    <row r="552" spans="1:12" x14ac:dyDescent="0.3">
      <c r="A552" s="875"/>
      <c r="B552" s="881"/>
      <c r="C552" s="881"/>
      <c r="D552" s="881"/>
      <c r="E552" s="881"/>
      <c r="F552" s="15" t="s">
        <v>4243</v>
      </c>
      <c r="G552" s="15">
        <v>98981</v>
      </c>
      <c r="H552" s="50"/>
      <c r="I552" s="50">
        <v>533</v>
      </c>
      <c r="J552" s="51">
        <v>23193.8</v>
      </c>
      <c r="K552" s="886"/>
      <c r="L552" s="885"/>
    </row>
    <row r="553" spans="1:12" ht="15" thickBot="1" x14ac:dyDescent="0.35">
      <c r="A553" s="872"/>
      <c r="B553" s="874"/>
      <c r="C553" s="874"/>
      <c r="D553" s="874"/>
      <c r="E553" s="874"/>
      <c r="F553" s="10" t="s">
        <v>4243</v>
      </c>
      <c r="G553" s="10">
        <v>98981</v>
      </c>
      <c r="H553" s="42"/>
      <c r="I553" s="42">
        <v>167</v>
      </c>
      <c r="J553" s="44">
        <v>6971.9</v>
      </c>
      <c r="K553" s="878"/>
      <c r="L553" s="880"/>
    </row>
    <row r="554" spans="1:12" ht="15" thickBot="1" x14ac:dyDescent="0.35">
      <c r="A554" s="175">
        <v>1980</v>
      </c>
      <c r="B554" s="8">
        <v>89264.9</v>
      </c>
      <c r="C554" s="8" t="s">
        <v>4244</v>
      </c>
      <c r="D554" s="8">
        <f>+I554</f>
        <v>1979</v>
      </c>
      <c r="E554" s="8">
        <f>+J554</f>
        <v>86412.800000000003</v>
      </c>
      <c r="F554" s="8" t="s">
        <v>4245</v>
      </c>
      <c r="G554" s="8">
        <v>99031</v>
      </c>
      <c r="H554" s="45"/>
      <c r="I554" s="45">
        <v>1979</v>
      </c>
      <c r="J554" s="46">
        <v>86412.800000000003</v>
      </c>
      <c r="K554" s="54">
        <f>+A554-D554</f>
        <v>1</v>
      </c>
      <c r="L554" s="53">
        <f>((+B554/A554)-(E554/D554))/(B554/A554)</f>
        <v>3.1461807706577062E-2</v>
      </c>
    </row>
    <row r="555" spans="1:12" x14ac:dyDescent="0.3">
      <c r="A555" s="174">
        <v>1760</v>
      </c>
      <c r="B555" s="12">
        <v>83279.899999999994</v>
      </c>
      <c r="C555" s="873" t="s">
        <v>4246</v>
      </c>
      <c r="D555" s="873">
        <f>+I555+I556</f>
        <v>1760</v>
      </c>
      <c r="E555" s="873">
        <f>+J555+J556</f>
        <v>81417</v>
      </c>
      <c r="F555" s="12" t="s">
        <v>4247</v>
      </c>
      <c r="G555" s="12">
        <v>99041</v>
      </c>
      <c r="H555" s="39"/>
      <c r="I555" s="39">
        <v>1540</v>
      </c>
      <c r="J555" s="41">
        <v>71552.399999999994</v>
      </c>
      <c r="K555" s="877">
        <f>+A555-D555</f>
        <v>0</v>
      </c>
      <c r="L555" s="879">
        <f>((+B555/A555)-(E555/D555))/(B555/A555)</f>
        <v>2.2369143094552155E-2</v>
      </c>
    </row>
    <row r="556" spans="1:12" ht="15" thickBot="1" x14ac:dyDescent="0.35">
      <c r="A556" s="199"/>
      <c r="B556" s="10"/>
      <c r="C556" s="874"/>
      <c r="D556" s="874"/>
      <c r="E556" s="874"/>
      <c r="F556" s="10" t="s">
        <v>4247</v>
      </c>
      <c r="G556" s="10">
        <v>99041</v>
      </c>
      <c r="H556" s="42"/>
      <c r="I556" s="42">
        <v>220</v>
      </c>
      <c r="J556" s="44">
        <v>9864.6</v>
      </c>
      <c r="K556" s="878"/>
      <c r="L556" s="880"/>
    </row>
    <row r="557" spans="1:12" ht="15" thickBot="1" x14ac:dyDescent="0.35">
      <c r="A557" s="174">
        <v>875</v>
      </c>
      <c r="B557" s="12">
        <v>36140.5</v>
      </c>
      <c r="C557" s="12" t="s">
        <v>4248</v>
      </c>
      <c r="D557" s="12">
        <f>+I557</f>
        <v>875</v>
      </c>
      <c r="E557" s="12">
        <f>+J557</f>
        <v>35339.599999999999</v>
      </c>
      <c r="F557" s="12" t="s">
        <v>4249</v>
      </c>
      <c r="G557" s="12">
        <v>99061</v>
      </c>
      <c r="H557" s="39"/>
      <c r="I557" s="39">
        <v>875</v>
      </c>
      <c r="J557" s="41">
        <v>35339.599999999999</v>
      </c>
      <c r="K557" s="54">
        <f>+A557-D557</f>
        <v>0</v>
      </c>
      <c r="L557" s="53">
        <f>((+B557/A557)-(E557/D557))/(B557/A557)</f>
        <v>2.2160733802797476E-2</v>
      </c>
    </row>
    <row r="558" spans="1:12" x14ac:dyDescent="0.3">
      <c r="A558" s="174">
        <v>2860</v>
      </c>
      <c r="B558" s="12">
        <v>124160</v>
      </c>
      <c r="C558" s="873" t="s">
        <v>4250</v>
      </c>
      <c r="D558" s="873">
        <f>+I558+I559</f>
        <v>2860</v>
      </c>
      <c r="E558" s="873">
        <f>+J558+J559</f>
        <v>120505.1</v>
      </c>
      <c r="F558" s="12" t="s">
        <v>4251</v>
      </c>
      <c r="G558" s="12">
        <v>99071</v>
      </c>
      <c r="H558" s="39"/>
      <c r="I558" s="39">
        <v>1100</v>
      </c>
      <c r="J558" s="41">
        <v>45996.700000000004</v>
      </c>
      <c r="K558" s="877">
        <f>+A558-D558</f>
        <v>0</v>
      </c>
      <c r="L558" s="879">
        <f>((+B558/A558)-(E558/D558))/(B558/A558)</f>
        <v>2.9437016752577327E-2</v>
      </c>
    </row>
    <row r="559" spans="1:12" ht="15" thickBot="1" x14ac:dyDescent="0.35">
      <c r="A559" s="199"/>
      <c r="B559" s="10"/>
      <c r="C559" s="874"/>
      <c r="D559" s="874"/>
      <c r="E559" s="874"/>
      <c r="F559" s="10" t="s">
        <v>4251</v>
      </c>
      <c r="G559" s="10">
        <v>99071</v>
      </c>
      <c r="H559" s="43"/>
      <c r="I559" s="42">
        <v>1760</v>
      </c>
      <c r="J559" s="44">
        <v>74508.400000000009</v>
      </c>
      <c r="K559" s="878"/>
      <c r="L559" s="880"/>
    </row>
    <row r="560" spans="1:12" x14ac:dyDescent="0.3">
      <c r="A560" s="871">
        <v>2200</v>
      </c>
      <c r="B560" s="873">
        <v>96516.1</v>
      </c>
      <c r="C560" s="873" t="s">
        <v>4252</v>
      </c>
      <c r="D560" s="873">
        <f>+I560+I561+I562</f>
        <v>2201</v>
      </c>
      <c r="E560" s="873">
        <f>+J560+J561+J562</f>
        <v>94146.2</v>
      </c>
      <c r="F560" s="12" t="s">
        <v>4253</v>
      </c>
      <c r="G560" s="12">
        <v>99121</v>
      </c>
      <c r="H560" s="40"/>
      <c r="I560" s="39">
        <v>441</v>
      </c>
      <c r="J560" s="41">
        <v>18812.5</v>
      </c>
      <c r="K560" s="882">
        <f>+A560-D560</f>
        <v>-1</v>
      </c>
      <c r="L560" s="879">
        <f>((+B560/A560)-(E560/D560))/(B560/A560)</f>
        <v>2.4997635466167522E-2</v>
      </c>
    </row>
    <row r="561" spans="1:12" x14ac:dyDescent="0.3">
      <c r="A561" s="875"/>
      <c r="B561" s="881"/>
      <c r="C561" s="881"/>
      <c r="D561" s="881"/>
      <c r="E561" s="881"/>
      <c r="F561" s="15" t="s">
        <v>4253</v>
      </c>
      <c r="G561" s="15">
        <v>99121</v>
      </c>
      <c r="I561" s="50">
        <v>1540</v>
      </c>
      <c r="J561" s="51">
        <v>66068.7</v>
      </c>
      <c r="K561" s="883"/>
      <c r="L561" s="885"/>
    </row>
    <row r="562" spans="1:12" ht="15" thickBot="1" x14ac:dyDescent="0.35">
      <c r="A562" s="872"/>
      <c r="B562" s="874"/>
      <c r="C562" s="874"/>
      <c r="D562" s="874"/>
      <c r="E562" s="874"/>
      <c r="F562" s="10" t="s">
        <v>4253</v>
      </c>
      <c r="G562" s="10">
        <v>99121</v>
      </c>
      <c r="H562" s="43"/>
      <c r="I562" s="42">
        <v>220</v>
      </c>
      <c r="J562" s="44">
        <v>9265</v>
      </c>
      <c r="K562" s="884"/>
      <c r="L562" s="880"/>
    </row>
    <row r="563" spans="1:12" x14ac:dyDescent="0.3">
      <c r="A563" s="871">
        <v>1963</v>
      </c>
      <c r="B563" s="873">
        <v>87119.4</v>
      </c>
      <c r="C563" s="873" t="s">
        <v>4254</v>
      </c>
      <c r="D563" s="873">
        <f>+I563+I564</f>
        <v>1963</v>
      </c>
      <c r="E563" s="873">
        <f>+J563+J564</f>
        <v>85336.299999999988</v>
      </c>
      <c r="F563" s="12" t="s">
        <v>4255</v>
      </c>
      <c r="G563" s="12">
        <v>99131</v>
      </c>
      <c r="H563" s="40"/>
      <c r="I563" s="39">
        <v>1523</v>
      </c>
      <c r="J563" s="41">
        <v>66669.2</v>
      </c>
      <c r="K563" s="877">
        <f>+A563-D563</f>
        <v>0</v>
      </c>
      <c r="L563" s="879">
        <f>((+B563/A563)-(E563/D563))/(B563/A563)</f>
        <v>2.0467312676625517E-2</v>
      </c>
    </row>
    <row r="564" spans="1:12" ht="15" thickBot="1" x14ac:dyDescent="0.35">
      <c r="A564" s="872"/>
      <c r="B564" s="874"/>
      <c r="C564" s="874"/>
      <c r="D564" s="874"/>
      <c r="E564" s="874"/>
      <c r="F564" s="10" t="s">
        <v>4255</v>
      </c>
      <c r="G564" s="10">
        <v>99131</v>
      </c>
      <c r="H564" s="43"/>
      <c r="I564" s="42">
        <v>440</v>
      </c>
      <c r="J564" s="44">
        <v>18667.099999999999</v>
      </c>
      <c r="K564" s="878"/>
      <c r="L564" s="880"/>
    </row>
    <row r="565" spans="1:12" x14ac:dyDescent="0.3">
      <c r="A565" s="871">
        <v>2420</v>
      </c>
      <c r="B565" s="873">
        <v>109254.39999999999</v>
      </c>
      <c r="C565" s="873" t="s">
        <v>4256</v>
      </c>
      <c r="D565" s="873">
        <f>+I565+I566</f>
        <v>2420</v>
      </c>
      <c r="E565" s="873">
        <f>+J565+J566</f>
        <v>106094.39999999999</v>
      </c>
      <c r="F565" s="12" t="s">
        <v>4257</v>
      </c>
      <c r="G565" s="12">
        <v>99141</v>
      </c>
      <c r="H565" s="40"/>
      <c r="I565" s="39">
        <v>1760</v>
      </c>
      <c r="J565" s="41">
        <v>76767.199999999997</v>
      </c>
      <c r="K565" s="877">
        <f>+A565-D565</f>
        <v>0</v>
      </c>
      <c r="L565" s="879">
        <f>((+B565/A565)-(E565/D565))/(B565/A565)</f>
        <v>2.8923320250717584E-2</v>
      </c>
    </row>
    <row r="566" spans="1:12" ht="15" thickBot="1" x14ac:dyDescent="0.35">
      <c r="A566" s="872"/>
      <c r="B566" s="874"/>
      <c r="C566" s="874"/>
      <c r="D566" s="874"/>
      <c r="E566" s="874"/>
      <c r="F566" s="10" t="s">
        <v>4257</v>
      </c>
      <c r="G566" s="10">
        <v>99141</v>
      </c>
      <c r="H566" s="43"/>
      <c r="I566" s="42">
        <v>660</v>
      </c>
      <c r="J566" s="44">
        <v>29327.200000000001</v>
      </c>
      <c r="K566" s="878"/>
      <c r="L566" s="880"/>
    </row>
    <row r="567" spans="1:12" x14ac:dyDescent="0.3">
      <c r="A567" s="871">
        <v>3960</v>
      </c>
      <c r="B567" s="873">
        <v>176353.7</v>
      </c>
      <c r="C567" s="873" t="s">
        <v>4321</v>
      </c>
      <c r="D567" s="873">
        <f>+I567+I568+I569</f>
        <v>3960</v>
      </c>
      <c r="E567" s="873">
        <f>+J567+J568+J569</f>
        <v>172265.99999999997</v>
      </c>
      <c r="F567" s="12" t="s">
        <v>4322</v>
      </c>
      <c r="G567" s="12">
        <v>99221</v>
      </c>
      <c r="H567" s="40"/>
      <c r="I567" s="39">
        <v>1100</v>
      </c>
      <c r="J567" s="41">
        <v>48084.6</v>
      </c>
      <c r="K567" s="882">
        <f>+A567-D567</f>
        <v>0</v>
      </c>
      <c r="L567" s="879">
        <f>((+B567/A567)-(E567/D567))/(B567/A567)</f>
        <v>2.3178986321239891E-2</v>
      </c>
    </row>
    <row r="568" spans="1:12" x14ac:dyDescent="0.3">
      <c r="A568" s="875"/>
      <c r="B568" s="881"/>
      <c r="C568" s="881"/>
      <c r="D568" s="881"/>
      <c r="E568" s="881"/>
      <c r="F568" s="15" t="s">
        <v>4322</v>
      </c>
      <c r="G568" s="15">
        <v>99221</v>
      </c>
      <c r="I568" s="50">
        <v>2200</v>
      </c>
      <c r="J568" s="51">
        <v>95576.499999999985</v>
      </c>
      <c r="K568" s="883"/>
      <c r="L568" s="885"/>
    </row>
    <row r="569" spans="1:12" ht="15" thickBot="1" x14ac:dyDescent="0.35">
      <c r="A569" s="872"/>
      <c r="B569" s="874"/>
      <c r="C569" s="874"/>
      <c r="D569" s="874"/>
      <c r="E569" s="874"/>
      <c r="F569" s="10" t="s">
        <v>4322</v>
      </c>
      <c r="G569" s="10">
        <v>99221</v>
      </c>
      <c r="H569" s="43"/>
      <c r="I569" s="42">
        <v>660</v>
      </c>
      <c r="J569" s="44">
        <v>28604.9</v>
      </c>
      <c r="K569" s="884"/>
      <c r="L569" s="880"/>
    </row>
    <row r="570" spans="1:12" ht="15" thickBot="1" x14ac:dyDescent="0.35">
      <c r="A570" s="175">
        <v>235</v>
      </c>
      <c r="B570" s="8">
        <v>10637.2</v>
      </c>
      <c r="C570" s="8" t="s">
        <v>4323</v>
      </c>
      <c r="D570" s="8">
        <f>+I570</f>
        <v>235</v>
      </c>
      <c r="E570" s="8">
        <f>+J570</f>
        <v>10444.9</v>
      </c>
      <c r="F570" s="8" t="s">
        <v>4324</v>
      </c>
      <c r="G570" s="8">
        <v>99301</v>
      </c>
      <c r="H570" s="14"/>
      <c r="I570" s="45">
        <v>235</v>
      </c>
      <c r="J570" s="46">
        <v>10444.9</v>
      </c>
      <c r="K570" s="54">
        <f>+A570-D570</f>
        <v>0</v>
      </c>
      <c r="L570" s="53">
        <f>((+B570/A570)-(E570/D570))/(B570/A570)</f>
        <v>1.8078065656375687E-2</v>
      </c>
    </row>
    <row r="571" spans="1:12" ht="15" thickBot="1" x14ac:dyDescent="0.35">
      <c r="A571" s="181">
        <v>459</v>
      </c>
      <c r="B571" s="15">
        <v>19486.25</v>
      </c>
      <c r="C571" s="15" t="s">
        <v>4325</v>
      </c>
      <c r="D571" s="12">
        <f>+I571</f>
        <v>459</v>
      </c>
      <c r="E571" s="12">
        <f t="shared" ref="E571" si="147">+J571</f>
        <v>19410.5</v>
      </c>
      <c r="F571" s="15" t="s">
        <v>4326</v>
      </c>
      <c r="G571" s="15">
        <v>99341</v>
      </c>
      <c r="I571" s="50">
        <v>459</v>
      </c>
      <c r="J571" s="51">
        <v>19410.5</v>
      </c>
      <c r="K571" s="54">
        <f>+A571-D571</f>
        <v>0</v>
      </c>
      <c r="L571" s="53">
        <f>((+B571/A571)-(E571/D571))/(B571/A571)</f>
        <v>3.887356469305203E-3</v>
      </c>
    </row>
    <row r="572" spans="1:12" x14ac:dyDescent="0.3">
      <c r="A572" s="871">
        <v>1760</v>
      </c>
      <c r="B572" s="873">
        <v>77913.8</v>
      </c>
      <c r="C572" s="873" t="s">
        <v>4327</v>
      </c>
      <c r="D572" s="873">
        <f>+I572+I573</f>
        <v>1760</v>
      </c>
      <c r="E572" s="873">
        <f>+J572+J573</f>
        <v>74982.399999999994</v>
      </c>
      <c r="F572" s="12" t="s">
        <v>4328</v>
      </c>
      <c r="G572" s="12">
        <v>99351</v>
      </c>
      <c r="H572" s="40"/>
      <c r="I572" s="39">
        <v>880</v>
      </c>
      <c r="J572" s="41">
        <v>38344.400000000001</v>
      </c>
      <c r="K572" s="877">
        <f>+A572-D572</f>
        <v>0</v>
      </c>
      <c r="L572" s="879">
        <f>((+B572/A572)-(E572/D572))/(B572/A572)</f>
        <v>3.7623630216983513E-2</v>
      </c>
    </row>
    <row r="573" spans="1:12" ht="15" thickBot="1" x14ac:dyDescent="0.35">
      <c r="A573" s="872"/>
      <c r="B573" s="874"/>
      <c r="C573" s="881"/>
      <c r="D573" s="881"/>
      <c r="E573" s="881"/>
      <c r="F573" s="15" t="s">
        <v>4328</v>
      </c>
      <c r="G573" s="15">
        <v>99351</v>
      </c>
      <c r="I573" s="50">
        <v>880</v>
      </c>
      <c r="J573" s="51">
        <v>36638</v>
      </c>
      <c r="K573" s="878"/>
      <c r="L573" s="880"/>
    </row>
    <row r="574" spans="1:12" x14ac:dyDescent="0.3">
      <c r="A574" s="871">
        <v>3960</v>
      </c>
      <c r="B574" s="873">
        <v>171086.9</v>
      </c>
      <c r="C574" s="873" t="s">
        <v>4329</v>
      </c>
      <c r="D574" s="873">
        <v>3963</v>
      </c>
      <c r="E574" s="873">
        <v>166317.5</v>
      </c>
      <c r="F574" s="12" t="s">
        <v>4330</v>
      </c>
      <c r="G574" s="12">
        <v>99361</v>
      </c>
      <c r="H574" s="40"/>
      <c r="I574" s="39">
        <v>440</v>
      </c>
      <c r="J574" s="41">
        <v>18917.099999999999</v>
      </c>
      <c r="K574" s="877">
        <f>+A574-D574</f>
        <v>-3</v>
      </c>
      <c r="L574" s="879">
        <f>((+B574/A574)-(E574/D574))/(B574/A574)</f>
        <v>2.8612960578560689E-2</v>
      </c>
    </row>
    <row r="575" spans="1:12" ht="15" thickBot="1" x14ac:dyDescent="0.35">
      <c r="A575" s="872"/>
      <c r="B575" s="874"/>
      <c r="C575" s="874"/>
      <c r="D575" s="874"/>
      <c r="E575" s="874"/>
      <c r="F575" s="10" t="s">
        <v>4330</v>
      </c>
      <c r="G575" s="10">
        <v>99361</v>
      </c>
      <c r="H575" s="43"/>
      <c r="I575" s="42">
        <v>1760</v>
      </c>
      <c r="J575" s="44">
        <v>73114.900000000009</v>
      </c>
      <c r="K575" s="878"/>
      <c r="L575" s="880"/>
    </row>
    <row r="576" spans="1:12" ht="15" thickBot="1" x14ac:dyDescent="0.35">
      <c r="A576" s="175">
        <v>1106</v>
      </c>
      <c r="B576" s="8">
        <v>47825.25</v>
      </c>
      <c r="C576" s="8" t="s">
        <v>4427</v>
      </c>
      <c r="D576" s="8">
        <f>+I576</f>
        <v>1106</v>
      </c>
      <c r="E576" s="8">
        <f>+J576</f>
        <v>46811.399999999994</v>
      </c>
      <c r="F576" s="8" t="s">
        <v>4428</v>
      </c>
      <c r="G576" s="8">
        <v>99371</v>
      </c>
      <c r="H576" s="14"/>
      <c r="I576" s="45">
        <v>1106</v>
      </c>
      <c r="J576" s="46">
        <v>46811.399999999994</v>
      </c>
      <c r="K576" s="54">
        <f>+A576-D576</f>
        <v>0</v>
      </c>
      <c r="L576" s="53">
        <f>((+B576/A576)-(E576/D576))/(B576/A576)</f>
        <v>2.1199052801606031E-2</v>
      </c>
    </row>
    <row r="577" spans="1:12" ht="15" thickBot="1" x14ac:dyDescent="0.35">
      <c r="A577" s="175">
        <v>180</v>
      </c>
      <c r="B577" s="8">
        <v>7923.75</v>
      </c>
      <c r="C577" s="8" t="s">
        <v>4429</v>
      </c>
      <c r="D577" s="8">
        <f>+I577</f>
        <v>180</v>
      </c>
      <c r="E577" s="8">
        <f>+J577</f>
        <v>7912.3</v>
      </c>
      <c r="F577" s="8" t="s">
        <v>4430</v>
      </c>
      <c r="G577" s="8">
        <v>99441</v>
      </c>
      <c r="H577" s="14"/>
      <c r="I577" s="45">
        <v>180</v>
      </c>
      <c r="J577" s="46">
        <v>7912.3</v>
      </c>
      <c r="K577" s="54">
        <f>+A577-D577</f>
        <v>0</v>
      </c>
      <c r="L577" s="53">
        <f>((+B577/A577)-(E577/D577))/(B577/A577)</f>
        <v>1.4450228742704742E-3</v>
      </c>
    </row>
    <row r="578" spans="1:12" x14ac:dyDescent="0.3">
      <c r="A578" s="871">
        <v>2216</v>
      </c>
      <c r="B578" s="873">
        <v>88553.75</v>
      </c>
      <c r="C578" s="873" t="s">
        <v>4431</v>
      </c>
      <c r="D578" s="873">
        <f>+I578+I579</f>
        <v>2216</v>
      </c>
      <c r="E578" s="873">
        <f>+J578+J579</f>
        <v>87589.999999999985</v>
      </c>
      <c r="F578" s="12" t="s">
        <v>4432</v>
      </c>
      <c r="G578" s="12">
        <v>99451</v>
      </c>
      <c r="H578" s="40"/>
      <c r="I578" s="39">
        <v>2003</v>
      </c>
      <c r="J578" s="41">
        <v>79231.299999999988</v>
      </c>
      <c r="K578" s="877">
        <f>+A578-D578</f>
        <v>0</v>
      </c>
      <c r="L578" s="879">
        <f>((+B578/A578)-(E578/D578))/(B578/A578)</f>
        <v>1.088322064283004E-2</v>
      </c>
    </row>
    <row r="579" spans="1:12" ht="15" thickBot="1" x14ac:dyDescent="0.35">
      <c r="A579" s="872"/>
      <c r="B579" s="874"/>
      <c r="C579" s="874"/>
      <c r="D579" s="874"/>
      <c r="E579" s="874"/>
      <c r="F579" s="10" t="s">
        <v>4432</v>
      </c>
      <c r="G579" s="10">
        <v>99451</v>
      </c>
      <c r="H579" s="43"/>
      <c r="I579" s="42">
        <v>213</v>
      </c>
      <c r="J579" s="44">
        <v>8358.7000000000007</v>
      </c>
      <c r="K579" s="878"/>
      <c r="L579" s="880"/>
    </row>
    <row r="580" spans="1:12" ht="15" thickBot="1" x14ac:dyDescent="0.35">
      <c r="A580" s="174">
        <v>660</v>
      </c>
      <c r="B580" s="12">
        <v>26914.400000000001</v>
      </c>
      <c r="C580" s="12" t="s">
        <v>4433</v>
      </c>
      <c r="D580" s="12">
        <f>+I580</f>
        <v>660</v>
      </c>
      <c r="E580" s="12">
        <f>+J580</f>
        <v>26318.2</v>
      </c>
      <c r="F580" s="12" t="s">
        <v>4434</v>
      </c>
      <c r="G580" s="12">
        <v>99541</v>
      </c>
      <c r="H580" s="40"/>
      <c r="I580" s="39">
        <v>660</v>
      </c>
      <c r="J580" s="41">
        <v>26318.2</v>
      </c>
      <c r="K580" s="54">
        <f>+A580-D580</f>
        <v>0</v>
      </c>
      <c r="L580" s="53">
        <f>((+B580/A580)-(E580/D580))/(B580/A580)</f>
        <v>2.2151710608447586E-2</v>
      </c>
    </row>
    <row r="581" spans="1:12" x14ac:dyDescent="0.3">
      <c r="A581" s="871">
        <v>2200</v>
      </c>
      <c r="B581" s="873">
        <v>93543.4</v>
      </c>
      <c r="C581" s="873" t="s">
        <v>4435</v>
      </c>
      <c r="D581" s="873">
        <f>+I581+I582+I583</f>
        <v>2200</v>
      </c>
      <c r="E581" s="873">
        <f>+J581+J582+J583</f>
        <v>90651.200000000012</v>
      </c>
      <c r="F581" s="12" t="s">
        <v>4436</v>
      </c>
      <c r="G581" s="12">
        <v>99611</v>
      </c>
      <c r="H581" s="40"/>
      <c r="I581" s="39">
        <v>440</v>
      </c>
      <c r="J581" s="41">
        <v>17513</v>
      </c>
      <c r="K581" s="882">
        <f>+A581-D581</f>
        <v>0</v>
      </c>
      <c r="L581" s="879">
        <f>((+B581/A581)-(E581/D581))/(B581/A581)</f>
        <v>3.0918268953234462E-2</v>
      </c>
    </row>
    <row r="582" spans="1:12" x14ac:dyDescent="0.3">
      <c r="A582" s="875"/>
      <c r="B582" s="881"/>
      <c r="C582" s="881"/>
      <c r="D582" s="881"/>
      <c r="E582" s="881"/>
      <c r="F582" s="15" t="s">
        <v>4436</v>
      </c>
      <c r="G582" s="15">
        <v>99611</v>
      </c>
      <c r="I582" s="50">
        <v>660</v>
      </c>
      <c r="J582" s="51">
        <v>28656</v>
      </c>
      <c r="K582" s="883"/>
      <c r="L582" s="885"/>
    </row>
    <row r="583" spans="1:12" ht="15" thickBot="1" x14ac:dyDescent="0.35">
      <c r="A583" s="872"/>
      <c r="B583" s="874"/>
      <c r="C583" s="874"/>
      <c r="D583" s="874"/>
      <c r="E583" s="874"/>
      <c r="F583" s="10" t="s">
        <v>4436</v>
      </c>
      <c r="G583" s="10">
        <v>99611</v>
      </c>
      <c r="H583" s="43"/>
      <c r="I583" s="42">
        <v>1100</v>
      </c>
      <c r="J583" s="44">
        <v>44482.200000000004</v>
      </c>
      <c r="K583" s="884"/>
      <c r="L583" s="880"/>
    </row>
    <row r="584" spans="1:12" ht="15" thickBot="1" x14ac:dyDescent="0.35">
      <c r="A584" s="344">
        <v>2200</v>
      </c>
      <c r="B584" s="15">
        <v>90793.5</v>
      </c>
      <c r="C584" s="15" t="s">
        <v>4437</v>
      </c>
      <c r="D584" s="15">
        <v>2201</v>
      </c>
      <c r="E584" s="15">
        <v>88376.7</v>
      </c>
      <c r="F584" s="15" t="s">
        <v>4438</v>
      </c>
      <c r="G584" s="15">
        <v>99711</v>
      </c>
      <c r="I584" s="50">
        <v>441</v>
      </c>
      <c r="J584" s="51">
        <v>19044.900000000001</v>
      </c>
      <c r="K584" s="54">
        <f>+A584-D584</f>
        <v>-1</v>
      </c>
      <c r="L584" s="53">
        <f>((+B584/A584)-(E584/D584))/(B584/A584)</f>
        <v>2.7060890657591603E-2</v>
      </c>
    </row>
    <row r="585" spans="1:12" ht="15" thickBot="1" x14ac:dyDescent="0.35">
      <c r="A585" s="197">
        <v>184</v>
      </c>
      <c r="B585" s="8">
        <v>8162.7</v>
      </c>
      <c r="C585" s="8" t="s">
        <v>4439</v>
      </c>
      <c r="D585" s="8">
        <f t="shared" ref="D585:E586" si="148">+I585</f>
        <v>184</v>
      </c>
      <c r="E585" s="8">
        <f t="shared" si="148"/>
        <v>7795.1</v>
      </c>
      <c r="F585" s="8" t="s">
        <v>4440</v>
      </c>
      <c r="G585" s="8">
        <v>99771</v>
      </c>
      <c r="H585" s="45"/>
      <c r="I585" s="45">
        <v>184</v>
      </c>
      <c r="J585" s="46">
        <v>7795.1</v>
      </c>
      <c r="K585" s="54">
        <f>+A585-D585</f>
        <v>0</v>
      </c>
      <c r="L585" s="53">
        <f>((+B585/A585)-(E585/D585))/(B585/A585)</f>
        <v>4.5034118612713774E-2</v>
      </c>
    </row>
    <row r="586" spans="1:12" ht="15" thickBot="1" x14ac:dyDescent="0.35">
      <c r="A586" s="197">
        <v>1504</v>
      </c>
      <c r="B586" s="8">
        <v>68334.5</v>
      </c>
      <c r="C586" s="8" t="s">
        <v>4527</v>
      </c>
      <c r="D586" s="8">
        <f t="shared" si="148"/>
        <v>1504</v>
      </c>
      <c r="E586" s="8">
        <f t="shared" si="148"/>
        <v>67174.299999999988</v>
      </c>
      <c r="F586" s="8" t="s">
        <v>4528</v>
      </c>
      <c r="G586" s="8">
        <v>99781</v>
      </c>
      <c r="H586" s="45"/>
      <c r="I586" s="45">
        <v>1504</v>
      </c>
      <c r="J586" s="46">
        <v>67174.299999999988</v>
      </c>
      <c r="K586" s="54">
        <f>+A586-D586</f>
        <v>0</v>
      </c>
      <c r="L586" s="53">
        <f>((+B586/A586)-(E586/D586))/(B586/A586)</f>
        <v>1.6978246712861054E-2</v>
      </c>
    </row>
    <row r="587" spans="1:12" x14ac:dyDescent="0.3">
      <c r="A587" s="901">
        <v>1540</v>
      </c>
      <c r="B587" s="873">
        <v>62964.1</v>
      </c>
      <c r="C587" s="873" t="s">
        <v>4529</v>
      </c>
      <c r="D587" s="873">
        <f>+I587+I588</f>
        <v>1540</v>
      </c>
      <c r="E587" s="873">
        <f>+J587+J588</f>
        <v>61118.900000000009</v>
      </c>
      <c r="F587" s="12" t="s">
        <v>4530</v>
      </c>
      <c r="G587" s="12">
        <v>99791</v>
      </c>
      <c r="H587" s="39"/>
      <c r="I587" s="39">
        <v>660</v>
      </c>
      <c r="J587" s="41">
        <v>27151.7</v>
      </c>
      <c r="K587" s="877">
        <f>+A587-D587</f>
        <v>0</v>
      </c>
      <c r="L587" s="879">
        <f>((+B587/A587)-(E587/D587))/(B587/A587)</f>
        <v>2.9305588422608837E-2</v>
      </c>
    </row>
    <row r="588" spans="1:12" ht="15" thickBot="1" x14ac:dyDescent="0.35">
      <c r="A588" s="888"/>
      <c r="B588" s="874"/>
      <c r="C588" s="874"/>
      <c r="D588" s="874"/>
      <c r="E588" s="874"/>
      <c r="F588" s="10" t="s">
        <v>4530</v>
      </c>
      <c r="G588" s="10">
        <v>99791</v>
      </c>
      <c r="H588" s="42"/>
      <c r="I588" s="42">
        <v>880</v>
      </c>
      <c r="J588" s="44">
        <v>33967.200000000004</v>
      </c>
      <c r="K588" s="878"/>
      <c r="L588" s="880"/>
    </row>
    <row r="589" spans="1:12" ht="15" thickBot="1" x14ac:dyDescent="0.35">
      <c r="A589" s="197">
        <v>494</v>
      </c>
      <c r="B589" s="8">
        <v>18226</v>
      </c>
      <c r="C589" s="8" t="s">
        <v>4531</v>
      </c>
      <c r="D589" s="8">
        <f>+I589</f>
        <v>494</v>
      </c>
      <c r="E589" s="8">
        <f>+J589</f>
        <v>17884.600000000002</v>
      </c>
      <c r="F589" s="8" t="s">
        <v>4532</v>
      </c>
      <c r="G589" s="8">
        <v>99851</v>
      </c>
      <c r="H589" s="45"/>
      <c r="I589" s="45">
        <v>494</v>
      </c>
      <c r="J589" s="46">
        <v>17884.600000000002</v>
      </c>
      <c r="K589" s="54">
        <f>+A589-D589</f>
        <v>0</v>
      </c>
      <c r="L589" s="53">
        <f>((+B589/A589)-(E589/D589))/(B589/A589)</f>
        <v>1.873148249753074E-2</v>
      </c>
    </row>
    <row r="590" spans="1:12" x14ac:dyDescent="0.3">
      <c r="A590" s="901">
        <v>660</v>
      </c>
      <c r="B590" s="873">
        <v>27210.2</v>
      </c>
      <c r="C590" s="873" t="s">
        <v>4533</v>
      </c>
      <c r="D590" s="873">
        <f>+I590+I591</f>
        <v>660</v>
      </c>
      <c r="E590" s="873">
        <f>+J590+J591</f>
        <v>26723</v>
      </c>
      <c r="F590" s="12" t="s">
        <v>4534</v>
      </c>
      <c r="G590" s="12">
        <v>99891</v>
      </c>
      <c r="H590" s="39"/>
      <c r="I590" s="39">
        <v>220</v>
      </c>
      <c r="J590" s="41">
        <v>9079.6</v>
      </c>
      <c r="K590" s="877">
        <f>+A590-D590</f>
        <v>0</v>
      </c>
      <c r="L590" s="879">
        <f>((+B590/A590)-(E590/D590))/(B590/A590)</f>
        <v>1.7905050312015263E-2</v>
      </c>
    </row>
    <row r="591" spans="1:12" ht="15" thickBot="1" x14ac:dyDescent="0.35">
      <c r="A591" s="888"/>
      <c r="B591" s="874"/>
      <c r="C591" s="874"/>
      <c r="D591" s="874"/>
      <c r="E591" s="874"/>
      <c r="F591" s="10" t="s">
        <v>4534</v>
      </c>
      <c r="G591" s="10">
        <v>99891</v>
      </c>
      <c r="H591" s="42"/>
      <c r="I591" s="42">
        <v>440</v>
      </c>
      <c r="J591" s="44">
        <v>17643.400000000001</v>
      </c>
      <c r="K591" s="878"/>
      <c r="L591" s="880"/>
    </row>
    <row r="592" spans="1:12" x14ac:dyDescent="0.3">
      <c r="A592" s="901">
        <v>1980</v>
      </c>
      <c r="B592" s="873">
        <v>84032.8</v>
      </c>
      <c r="C592" s="873" t="s">
        <v>4605</v>
      </c>
      <c r="D592" s="873">
        <f>+I592+I593+I594</f>
        <v>1980</v>
      </c>
      <c r="E592" s="873">
        <f>+J592+J593+J594</f>
        <v>82013.100000000006</v>
      </c>
      <c r="F592" s="12" t="s">
        <v>4606</v>
      </c>
      <c r="G592" s="12">
        <v>99951</v>
      </c>
      <c r="H592" s="39"/>
      <c r="I592" s="39">
        <v>440</v>
      </c>
      <c r="J592" s="41">
        <v>18495.699999999997</v>
      </c>
      <c r="K592" s="882">
        <f>+A592-D592</f>
        <v>0</v>
      </c>
      <c r="L592" s="879">
        <f>((+B592/A592)-(E592/D592))/(B592/A592)</f>
        <v>2.4034662655534521E-2</v>
      </c>
    </row>
    <row r="593" spans="1:12" x14ac:dyDescent="0.3">
      <c r="A593" s="887"/>
      <c r="B593" s="881"/>
      <c r="C593" s="881"/>
      <c r="D593" s="881"/>
      <c r="E593" s="881"/>
      <c r="F593" s="15" t="s">
        <v>4606</v>
      </c>
      <c r="G593" s="15">
        <v>99951</v>
      </c>
      <c r="I593" s="50">
        <v>880</v>
      </c>
      <c r="J593" s="51">
        <v>36358.800000000003</v>
      </c>
      <c r="K593" s="883"/>
      <c r="L593" s="885"/>
    </row>
    <row r="594" spans="1:12" ht="15" thickBot="1" x14ac:dyDescent="0.35">
      <c r="A594" s="888"/>
      <c r="B594" s="874"/>
      <c r="C594" s="874"/>
      <c r="D594" s="874"/>
      <c r="E594" s="874"/>
      <c r="F594" s="10" t="s">
        <v>4606</v>
      </c>
      <c r="G594" s="10">
        <v>99951</v>
      </c>
      <c r="H594" s="43"/>
      <c r="I594" s="42">
        <v>660</v>
      </c>
      <c r="J594" s="44">
        <v>27158.6</v>
      </c>
      <c r="K594" s="884"/>
      <c r="L594" s="880"/>
    </row>
    <row r="595" spans="1:12" x14ac:dyDescent="0.3">
      <c r="A595" s="871">
        <v>3960</v>
      </c>
      <c r="B595" s="873">
        <v>163872</v>
      </c>
      <c r="C595" s="873" t="s">
        <v>4607</v>
      </c>
      <c r="D595" s="873">
        <f>+I595+I599+I596+I597+I598</f>
        <v>3957</v>
      </c>
      <c r="E595" s="873">
        <f>+J595+J599+J596+J597+J598</f>
        <v>158649.09999999998</v>
      </c>
      <c r="F595" s="12" t="s">
        <v>4608</v>
      </c>
      <c r="G595" s="12">
        <v>100001</v>
      </c>
      <c r="H595" s="40"/>
      <c r="I595" s="39">
        <v>440</v>
      </c>
      <c r="J595" s="41">
        <v>18255</v>
      </c>
      <c r="K595" s="882">
        <f>+A595-D595</f>
        <v>3</v>
      </c>
      <c r="L595" s="879">
        <f>((+B595/A595)-(E595/D595))/(B595/A595)</f>
        <v>3.1137840307026588E-2</v>
      </c>
    </row>
    <row r="596" spans="1:12" x14ac:dyDescent="0.3">
      <c r="A596" s="875"/>
      <c r="B596" s="881"/>
      <c r="C596" s="881"/>
      <c r="D596" s="881"/>
      <c r="E596" s="881"/>
      <c r="F596" s="15" t="s">
        <v>4608</v>
      </c>
      <c r="G596" s="15">
        <v>100002</v>
      </c>
      <c r="I596" s="50">
        <v>1320</v>
      </c>
      <c r="J596" s="51">
        <v>52311.1</v>
      </c>
      <c r="K596" s="883"/>
      <c r="L596" s="885"/>
    </row>
    <row r="597" spans="1:12" x14ac:dyDescent="0.3">
      <c r="A597" s="875"/>
      <c r="B597" s="881"/>
      <c r="C597" s="881"/>
      <c r="D597" s="881"/>
      <c r="E597" s="881"/>
      <c r="F597" s="15" t="s">
        <v>4608</v>
      </c>
      <c r="G597" s="15">
        <v>100003</v>
      </c>
      <c r="I597" s="50">
        <v>660</v>
      </c>
      <c r="J597" s="51">
        <v>25990.3</v>
      </c>
      <c r="K597" s="883"/>
      <c r="L597" s="885"/>
    </row>
    <row r="598" spans="1:12" x14ac:dyDescent="0.3">
      <c r="A598" s="875"/>
      <c r="B598" s="881"/>
      <c r="C598" s="881"/>
      <c r="D598" s="881"/>
      <c r="E598" s="881"/>
      <c r="F598" s="15" t="s">
        <v>4608</v>
      </c>
      <c r="G598" s="15">
        <v>100003</v>
      </c>
      <c r="I598" s="50">
        <v>660</v>
      </c>
      <c r="J598" s="51">
        <v>27906</v>
      </c>
      <c r="K598" s="883"/>
      <c r="L598" s="885"/>
    </row>
    <row r="599" spans="1:12" ht="15" thickBot="1" x14ac:dyDescent="0.35">
      <c r="A599" s="872"/>
      <c r="B599" s="874"/>
      <c r="C599" s="874"/>
      <c r="D599" s="874"/>
      <c r="E599" s="874"/>
      <c r="F599" s="10" t="s">
        <v>4608</v>
      </c>
      <c r="G599" s="10">
        <v>100001</v>
      </c>
      <c r="H599" s="43"/>
      <c r="I599" s="42">
        <v>877</v>
      </c>
      <c r="J599" s="44">
        <v>34186.699999999997</v>
      </c>
      <c r="K599" s="884"/>
      <c r="L599" s="880"/>
    </row>
    <row r="600" spans="1:12" ht="15" thickBot="1" x14ac:dyDescent="0.35">
      <c r="A600" s="199">
        <v>1540</v>
      </c>
      <c r="B600" s="10">
        <v>64354.400000000001</v>
      </c>
      <c r="C600" s="10" t="s">
        <v>4609</v>
      </c>
      <c r="D600" s="10">
        <v>1540</v>
      </c>
      <c r="E600" s="10">
        <v>62427.199999999997</v>
      </c>
      <c r="F600" s="10" t="s">
        <v>4610</v>
      </c>
      <c r="G600" s="10">
        <v>100131</v>
      </c>
      <c r="H600" s="43"/>
      <c r="I600" s="42">
        <v>440</v>
      </c>
      <c r="J600" s="44">
        <v>18068.099999999999</v>
      </c>
      <c r="K600" s="54">
        <f>+A600-D600</f>
        <v>0</v>
      </c>
      <c r="L600" s="53">
        <f>((+B600/A600)-(E600/D600))/(B600/A600)</f>
        <v>2.9946670313141095E-2</v>
      </c>
    </row>
    <row r="601" spans="1:12" ht="15" thickBot="1" x14ac:dyDescent="0.35">
      <c r="A601" s="175">
        <v>192</v>
      </c>
      <c r="B601" s="8">
        <v>8770.25</v>
      </c>
      <c r="C601" s="8" t="s">
        <v>4611</v>
      </c>
      <c r="D601" s="8">
        <f>+I601</f>
        <v>191</v>
      </c>
      <c r="E601" s="8">
        <f>+J601</f>
        <v>8650.4</v>
      </c>
      <c r="F601" s="8" t="s">
        <v>4612</v>
      </c>
      <c r="G601" s="8">
        <v>100181</v>
      </c>
      <c r="H601" s="14"/>
      <c r="I601" s="45">
        <v>191</v>
      </c>
      <c r="J601" s="46">
        <v>8650.4</v>
      </c>
      <c r="K601" s="54">
        <f>+A601-D601</f>
        <v>1</v>
      </c>
      <c r="L601" s="53">
        <f>((+B601/A601)-(E601/D601))/(B601/A601)</f>
        <v>8.5014620613982923E-3</v>
      </c>
    </row>
    <row r="602" spans="1:12" x14ac:dyDescent="0.3">
      <c r="A602" s="871">
        <v>2420</v>
      </c>
      <c r="B602" s="873">
        <v>96197.7</v>
      </c>
      <c r="C602" s="873" t="s">
        <v>4719</v>
      </c>
      <c r="D602" s="873">
        <f>+I602+I603</f>
        <v>2420</v>
      </c>
      <c r="E602" s="873">
        <f>+J602+J603</f>
        <v>93655.700000000012</v>
      </c>
      <c r="F602" s="12" t="s">
        <v>4720</v>
      </c>
      <c r="G602" s="12">
        <v>100221</v>
      </c>
      <c r="H602" s="40"/>
      <c r="I602" s="39">
        <v>1760</v>
      </c>
      <c r="J602" s="41">
        <v>67542.100000000006</v>
      </c>
      <c r="K602" s="877">
        <f>+A602-D602</f>
        <v>0</v>
      </c>
      <c r="L602" s="879">
        <f>((+B602/A602)-(E602/D602))/(B602/A602)</f>
        <v>2.6424748200840367E-2</v>
      </c>
    </row>
    <row r="603" spans="1:12" ht="15" thickBot="1" x14ac:dyDescent="0.35">
      <c r="A603" s="872"/>
      <c r="B603" s="874"/>
      <c r="C603" s="874"/>
      <c r="D603" s="874"/>
      <c r="E603" s="874"/>
      <c r="F603" s="10" t="s">
        <v>4720</v>
      </c>
      <c r="G603" s="10">
        <v>100221</v>
      </c>
      <c r="H603" s="43"/>
      <c r="I603" s="42">
        <v>660</v>
      </c>
      <c r="J603" s="44">
        <v>26113.599999999999</v>
      </c>
      <c r="K603" s="878"/>
      <c r="L603" s="880"/>
    </row>
    <row r="604" spans="1:12" ht="15" thickBot="1" x14ac:dyDescent="0.35">
      <c r="A604" s="175">
        <v>480</v>
      </c>
      <c r="B604" s="8">
        <v>18000.7</v>
      </c>
      <c r="C604" s="8" t="s">
        <v>4769</v>
      </c>
      <c r="D604" s="8">
        <f>+I604</f>
        <v>480</v>
      </c>
      <c r="E604" s="8">
        <f>+J604</f>
        <v>17488.400000000001</v>
      </c>
      <c r="F604" s="8" t="s">
        <v>4770</v>
      </c>
      <c r="G604" s="8">
        <v>100351</v>
      </c>
      <c r="H604" s="14"/>
      <c r="I604" s="45">
        <v>480</v>
      </c>
      <c r="J604" s="46">
        <v>17488.400000000001</v>
      </c>
      <c r="K604" s="54">
        <f t="shared" ref="K604:K607" si="149">+A604-D604</f>
        <v>0</v>
      </c>
      <c r="L604" s="53">
        <f t="shared" ref="L604:L607" si="150">((+B604/A604)-(E604/D604))/(B604/A604)</f>
        <v>2.8460004333164705E-2</v>
      </c>
    </row>
    <row r="605" spans="1:12" ht="15" thickBot="1" x14ac:dyDescent="0.35">
      <c r="A605" s="175">
        <v>919</v>
      </c>
      <c r="B605" s="8">
        <v>41311.75</v>
      </c>
      <c r="C605" s="8" t="s">
        <v>4771</v>
      </c>
      <c r="D605" s="8">
        <f t="shared" ref="D605:E607" si="151">+I605</f>
        <v>919</v>
      </c>
      <c r="E605" s="8">
        <f t="shared" si="151"/>
        <v>40966.5</v>
      </c>
      <c r="F605" s="8" t="s">
        <v>4772</v>
      </c>
      <c r="G605" s="8">
        <v>100361</v>
      </c>
      <c r="H605" s="14"/>
      <c r="I605" s="45">
        <v>919</v>
      </c>
      <c r="J605" s="46">
        <v>40966.5</v>
      </c>
      <c r="K605" s="54">
        <f t="shared" si="149"/>
        <v>0</v>
      </c>
      <c r="L605" s="53">
        <f t="shared" si="150"/>
        <v>8.3571865147325248E-3</v>
      </c>
    </row>
    <row r="606" spans="1:12" ht="15" thickBot="1" x14ac:dyDescent="0.35">
      <c r="A606" s="175">
        <v>105</v>
      </c>
      <c r="B606" s="8">
        <v>4677.3999999999996</v>
      </c>
      <c r="C606" s="8" t="s">
        <v>4773</v>
      </c>
      <c r="D606" s="8">
        <f t="shared" si="151"/>
        <v>105</v>
      </c>
      <c r="E606" s="8">
        <f t="shared" si="151"/>
        <v>4435.6000000000004</v>
      </c>
      <c r="F606" s="8" t="s">
        <v>4774</v>
      </c>
      <c r="G606" s="8">
        <v>100371</v>
      </c>
      <c r="H606" s="14"/>
      <c r="I606" s="45">
        <v>105</v>
      </c>
      <c r="J606" s="46">
        <v>4435.6000000000004</v>
      </c>
      <c r="K606" s="54">
        <f t="shared" si="149"/>
        <v>0</v>
      </c>
      <c r="L606" s="53">
        <f t="shared" si="150"/>
        <v>5.1695386325736357E-2</v>
      </c>
    </row>
    <row r="607" spans="1:12" ht="15" thickBot="1" x14ac:dyDescent="0.35">
      <c r="A607" s="175">
        <v>146</v>
      </c>
      <c r="B607" s="8">
        <v>6367.8</v>
      </c>
      <c r="C607" s="8" t="s">
        <v>4775</v>
      </c>
      <c r="D607" s="8">
        <f t="shared" si="151"/>
        <v>146</v>
      </c>
      <c r="E607" s="8">
        <f t="shared" si="151"/>
        <v>6062.7</v>
      </c>
      <c r="F607" s="8" t="s">
        <v>4776</v>
      </c>
      <c r="G607" s="8">
        <v>100381</v>
      </c>
      <c r="H607" s="14"/>
      <c r="I607" s="45">
        <v>146</v>
      </c>
      <c r="J607" s="46">
        <v>6062.7</v>
      </c>
      <c r="K607" s="54">
        <f t="shared" si="149"/>
        <v>0</v>
      </c>
      <c r="L607" s="53">
        <f t="shared" si="150"/>
        <v>4.7912936964100671E-2</v>
      </c>
    </row>
    <row r="608" spans="1:12" x14ac:dyDescent="0.3">
      <c r="A608" s="871">
        <v>2640</v>
      </c>
      <c r="B608" s="873">
        <v>103567.5</v>
      </c>
      <c r="C608" s="873" t="s">
        <v>4777</v>
      </c>
      <c r="D608" s="873">
        <f>+I608+I609</f>
        <v>2644</v>
      </c>
      <c r="E608" s="873">
        <f>+J608+J609</f>
        <v>100556.8</v>
      </c>
      <c r="F608" s="12" t="s">
        <v>4778</v>
      </c>
      <c r="G608" s="12">
        <v>100431</v>
      </c>
      <c r="H608" s="40"/>
      <c r="I608" s="39">
        <v>880</v>
      </c>
      <c r="J608" s="41">
        <v>33579.699999999997</v>
      </c>
      <c r="K608" s="877">
        <f>+A608-D608</f>
        <v>-4</v>
      </c>
      <c r="L608" s="879">
        <f>((+B608/A608)-(E608/D608))/(B608/A608)</f>
        <v>3.0538810828387018E-2</v>
      </c>
    </row>
    <row r="609" spans="1:12" ht="15" thickBot="1" x14ac:dyDescent="0.35">
      <c r="A609" s="875"/>
      <c r="B609" s="881"/>
      <c r="C609" s="881"/>
      <c r="D609" s="881"/>
      <c r="E609" s="881"/>
      <c r="F609" s="15" t="s">
        <v>4778</v>
      </c>
      <c r="G609" s="15">
        <v>100431</v>
      </c>
      <c r="I609" s="50">
        <v>1764</v>
      </c>
      <c r="J609" s="51">
        <v>66977.100000000006</v>
      </c>
      <c r="K609" s="878"/>
      <c r="L609" s="880"/>
    </row>
    <row r="610" spans="1:12" x14ac:dyDescent="0.3">
      <c r="A610" s="871">
        <v>1760</v>
      </c>
      <c r="B610" s="873">
        <v>74168.899999999994</v>
      </c>
      <c r="C610" s="873" t="s">
        <v>4779</v>
      </c>
      <c r="D610" s="873">
        <f>+I610+I612+I611</f>
        <v>1760</v>
      </c>
      <c r="E610" s="873">
        <f>+J610+J612+J611</f>
        <v>71571.100000000006</v>
      </c>
      <c r="F610" s="12" t="s">
        <v>4780</v>
      </c>
      <c r="G610" s="12">
        <v>100481</v>
      </c>
      <c r="H610" s="40"/>
      <c r="I610" s="39">
        <v>440</v>
      </c>
      <c r="J610" s="41">
        <v>18234.099999999999</v>
      </c>
      <c r="K610" s="882">
        <f>+A610-D610</f>
        <v>0</v>
      </c>
      <c r="L610" s="879">
        <f>((+B610/A610)-(E610/D610))/(B610/A610)</f>
        <v>3.5025462154622607E-2</v>
      </c>
    </row>
    <row r="611" spans="1:12" x14ac:dyDescent="0.3">
      <c r="A611" s="875"/>
      <c r="B611" s="881"/>
      <c r="C611" s="881"/>
      <c r="D611" s="881"/>
      <c r="E611" s="881"/>
      <c r="F611" s="15" t="s">
        <v>4780</v>
      </c>
      <c r="G611" s="15">
        <v>100481</v>
      </c>
      <c r="I611" s="50">
        <v>1100</v>
      </c>
      <c r="J611" s="51">
        <v>44658.3</v>
      </c>
      <c r="K611" s="883"/>
      <c r="L611" s="885"/>
    </row>
    <row r="612" spans="1:12" ht="15" thickBot="1" x14ac:dyDescent="0.35">
      <c r="A612" s="872"/>
      <c r="B612" s="874"/>
      <c r="C612" s="874"/>
      <c r="D612" s="874"/>
      <c r="E612" s="874"/>
      <c r="F612" s="10" t="s">
        <v>4780</v>
      </c>
      <c r="G612" s="10">
        <v>100481</v>
      </c>
      <c r="H612" s="43"/>
      <c r="I612" s="42">
        <v>220</v>
      </c>
      <c r="J612" s="44">
        <v>8678.7000000000007</v>
      </c>
      <c r="K612" s="884"/>
      <c r="L612" s="880"/>
    </row>
    <row r="613" spans="1:12" x14ac:dyDescent="0.3">
      <c r="A613" s="871">
        <v>1270</v>
      </c>
      <c r="B613" s="873">
        <v>52311.3</v>
      </c>
      <c r="C613" s="873" t="s">
        <v>4781</v>
      </c>
      <c r="D613" s="881">
        <f>+I613+I614</f>
        <v>1270</v>
      </c>
      <c r="E613" s="881">
        <f>+J613+J614</f>
        <v>50694.7</v>
      </c>
      <c r="F613" s="15" t="s">
        <v>4782</v>
      </c>
      <c r="G613" s="15">
        <v>100531</v>
      </c>
      <c r="I613" s="50">
        <v>660</v>
      </c>
      <c r="J613" s="51">
        <v>26378.3</v>
      </c>
      <c r="K613" s="877">
        <f>+A613-D613</f>
        <v>0</v>
      </c>
      <c r="L613" s="879">
        <f>((+B613/A613)-(E613/D613))/(B613/A613)</f>
        <v>3.0903456805699822E-2</v>
      </c>
    </row>
    <row r="614" spans="1:12" ht="15" thickBot="1" x14ac:dyDescent="0.35">
      <c r="A614" s="872"/>
      <c r="B614" s="874"/>
      <c r="C614" s="874"/>
      <c r="D614" s="874"/>
      <c r="E614" s="874"/>
      <c r="F614" s="10" t="s">
        <v>4782</v>
      </c>
      <c r="G614" s="10">
        <v>100531</v>
      </c>
      <c r="H614" s="43"/>
      <c r="I614" s="42">
        <v>610</v>
      </c>
      <c r="J614" s="44">
        <v>24316.400000000001</v>
      </c>
      <c r="K614" s="878"/>
      <c r="L614" s="880"/>
    </row>
    <row r="615" spans="1:12" ht="15" thickBot="1" x14ac:dyDescent="0.35">
      <c r="A615" s="175">
        <v>1320</v>
      </c>
      <c r="B615" s="8">
        <v>55248.9</v>
      </c>
      <c r="C615" s="8" t="s">
        <v>4783</v>
      </c>
      <c r="D615" s="8">
        <f>+I615</f>
        <v>1320</v>
      </c>
      <c r="E615" s="8">
        <f>+J615</f>
        <v>53562.5</v>
      </c>
      <c r="F615" s="8" t="s">
        <v>4784</v>
      </c>
      <c r="G615" s="8">
        <v>100551</v>
      </c>
      <c r="H615" s="14"/>
      <c r="I615" s="45">
        <v>1320</v>
      </c>
      <c r="J615" s="46">
        <v>53562.5</v>
      </c>
      <c r="K615" s="54">
        <f>+A615-D615</f>
        <v>0</v>
      </c>
      <c r="L615" s="53">
        <f>((+B615/A615)-(E615/D615))/(B615/A615)</f>
        <v>3.0523684634445287E-2</v>
      </c>
    </row>
    <row r="616" spans="1:12" ht="15" thickBot="1" x14ac:dyDescent="0.35">
      <c r="A616" s="175">
        <v>3961</v>
      </c>
      <c r="B616" s="8">
        <v>169643.4</v>
      </c>
      <c r="C616" s="8" t="s">
        <v>4865</v>
      </c>
      <c r="D616" s="8">
        <v>3960</v>
      </c>
      <c r="E616" s="8">
        <v>163068.20000000001</v>
      </c>
      <c r="F616" s="8" t="s">
        <v>4866</v>
      </c>
      <c r="G616" s="8">
        <v>100561</v>
      </c>
      <c r="H616" s="14"/>
      <c r="I616" s="45">
        <v>1320</v>
      </c>
      <c r="J616" s="46">
        <v>53562.5</v>
      </c>
      <c r="K616" s="54">
        <f>+A616-D616</f>
        <v>1</v>
      </c>
      <c r="L616" s="53">
        <f>((+B616/A616)-(E616/D616))/(B616/A616)</f>
        <v>3.8516212016595636E-2</v>
      </c>
    </row>
    <row r="617" spans="1:12" x14ac:dyDescent="0.3">
      <c r="A617" s="871">
        <v>425</v>
      </c>
      <c r="B617" s="873">
        <v>16651.8</v>
      </c>
      <c r="C617" s="873" t="s">
        <v>4869</v>
      </c>
      <c r="D617" s="873">
        <f>+I617+I618</f>
        <v>425</v>
      </c>
      <c r="E617" s="873">
        <f>+J617+J618</f>
        <v>15968.2</v>
      </c>
      <c r="F617" s="12" t="s">
        <v>4870</v>
      </c>
      <c r="G617" s="12">
        <v>100621</v>
      </c>
      <c r="H617" s="40"/>
      <c r="I617" s="39">
        <v>220</v>
      </c>
      <c r="J617" s="41">
        <v>8447.2000000000007</v>
      </c>
      <c r="K617" s="877">
        <f>+A617-D617</f>
        <v>0</v>
      </c>
      <c r="L617" s="879">
        <f>((+B617/A617)-(E617/D617))/(B617/A617)</f>
        <v>4.1052618936090947E-2</v>
      </c>
    </row>
    <row r="618" spans="1:12" ht="15" thickBot="1" x14ac:dyDescent="0.35">
      <c r="A618" s="872"/>
      <c r="B618" s="874"/>
      <c r="C618" s="881"/>
      <c r="D618" s="881"/>
      <c r="E618" s="881"/>
      <c r="F618" s="15" t="s">
        <v>4870</v>
      </c>
      <c r="G618" s="15">
        <v>100621</v>
      </c>
      <c r="I618" s="50">
        <v>205</v>
      </c>
      <c r="J618" s="51">
        <v>7521</v>
      </c>
      <c r="K618" s="878"/>
      <c r="L618" s="880"/>
    </row>
    <row r="619" spans="1:12" x14ac:dyDescent="0.3">
      <c r="A619" s="871">
        <v>2218</v>
      </c>
      <c r="B619" s="873">
        <v>91166.6</v>
      </c>
      <c r="C619" s="873" t="s">
        <v>4871</v>
      </c>
      <c r="D619" s="873">
        <f>+I619+I620+I621</f>
        <v>2220</v>
      </c>
      <c r="E619" s="873">
        <f>+J619+J620+J621</f>
        <v>87180.6</v>
      </c>
      <c r="F619" s="12" t="s">
        <v>4872</v>
      </c>
      <c r="G619" s="12">
        <v>100631</v>
      </c>
      <c r="H619" s="40"/>
      <c r="I619" s="39">
        <v>1100</v>
      </c>
      <c r="J619" s="41">
        <v>43469.600000000006</v>
      </c>
      <c r="K619" s="882">
        <f>+A619-D619</f>
        <v>-2</v>
      </c>
      <c r="L619" s="879">
        <f>((+B619/A619)-(E619/D619))/(B619/A619)</f>
        <v>4.4583664204665724E-2</v>
      </c>
    </row>
    <row r="620" spans="1:12" x14ac:dyDescent="0.3">
      <c r="A620" s="875"/>
      <c r="B620" s="881"/>
      <c r="C620" s="881"/>
      <c r="D620" s="881"/>
      <c r="E620" s="881"/>
      <c r="F620" s="15" t="s">
        <v>4872</v>
      </c>
      <c r="G620" s="15">
        <v>100632</v>
      </c>
      <c r="I620" s="50">
        <v>442</v>
      </c>
      <c r="J620" s="51">
        <v>17842.5</v>
      </c>
      <c r="K620" s="883"/>
      <c r="L620" s="885"/>
    </row>
    <row r="621" spans="1:12" ht="15" thickBot="1" x14ac:dyDescent="0.35">
      <c r="A621" s="872"/>
      <c r="B621" s="874"/>
      <c r="C621" s="874"/>
      <c r="D621" s="874"/>
      <c r="E621" s="874"/>
      <c r="F621" s="10" t="s">
        <v>4872</v>
      </c>
      <c r="G621" s="10">
        <v>100632</v>
      </c>
      <c r="H621" s="43"/>
      <c r="I621" s="42">
        <v>678</v>
      </c>
      <c r="J621" s="44">
        <v>25868.5</v>
      </c>
      <c r="K621" s="884"/>
      <c r="L621" s="880"/>
    </row>
    <row r="622" spans="1:12" ht="15" thickBot="1" x14ac:dyDescent="0.35">
      <c r="A622" s="174">
        <v>200</v>
      </c>
      <c r="B622" s="12">
        <v>8808</v>
      </c>
      <c r="C622" s="12" t="s">
        <v>4873</v>
      </c>
      <c r="D622" s="12">
        <f t="shared" ref="D622:E629" si="152">+I622</f>
        <v>200</v>
      </c>
      <c r="E622" s="12">
        <f t="shared" si="152"/>
        <v>8583</v>
      </c>
      <c r="F622" s="12" t="s">
        <v>4874</v>
      </c>
      <c r="G622" s="12">
        <v>100681</v>
      </c>
      <c r="H622" s="40"/>
      <c r="I622" s="39">
        <v>200</v>
      </c>
      <c r="J622" s="41">
        <v>8583</v>
      </c>
      <c r="K622" s="54">
        <f>+A622-D622</f>
        <v>0</v>
      </c>
      <c r="L622" s="53">
        <f>((+B622/A622)-(E622/D622))/(B622/A622)</f>
        <v>2.5544959128065394E-2</v>
      </c>
    </row>
    <row r="623" spans="1:12" x14ac:dyDescent="0.3">
      <c r="A623" s="871">
        <v>1445</v>
      </c>
      <c r="B623" s="873">
        <v>50472</v>
      </c>
      <c r="C623" s="873" t="s">
        <v>4875</v>
      </c>
      <c r="D623" s="873">
        <f>+I623+I624</f>
        <v>1445</v>
      </c>
      <c r="E623" s="873">
        <f>+J623+J624</f>
        <v>49650.899999999994</v>
      </c>
      <c r="F623" s="12" t="s">
        <v>4876</v>
      </c>
      <c r="G623" s="12">
        <v>100711</v>
      </c>
      <c r="H623" s="40"/>
      <c r="I623" s="39">
        <v>900</v>
      </c>
      <c r="J623" s="41">
        <v>30474.899999999998</v>
      </c>
      <c r="K623" s="877">
        <f>+A623-D623</f>
        <v>0</v>
      </c>
      <c r="L623" s="879">
        <f>((+B623/A623)-(E623/D623))/(B623/A623)</f>
        <v>1.6268426058012417E-2</v>
      </c>
    </row>
    <row r="624" spans="1:12" ht="15" thickBot="1" x14ac:dyDescent="0.35">
      <c r="A624" s="872"/>
      <c r="B624" s="874"/>
      <c r="C624" s="874"/>
      <c r="D624" s="874"/>
      <c r="E624" s="874"/>
      <c r="F624" s="10" t="s">
        <v>4876</v>
      </c>
      <c r="G624" s="10">
        <v>100711</v>
      </c>
      <c r="H624" s="43"/>
      <c r="I624" s="42">
        <v>545</v>
      </c>
      <c r="J624" s="44">
        <v>19176</v>
      </c>
      <c r="K624" s="878"/>
      <c r="L624" s="880"/>
    </row>
    <row r="625" spans="1:12" x14ac:dyDescent="0.3">
      <c r="A625" s="875">
        <v>3080</v>
      </c>
      <c r="B625" s="881">
        <v>122196.8</v>
      </c>
      <c r="C625" s="881" t="s">
        <v>4877</v>
      </c>
      <c r="D625" s="881">
        <f>+I625+I628+I626+I627</f>
        <v>3080</v>
      </c>
      <c r="E625" s="881">
        <f>+J625+J628+J626+J627</f>
        <v>117136.3</v>
      </c>
      <c r="F625" s="15" t="s">
        <v>4878</v>
      </c>
      <c r="G625" s="15">
        <v>100722</v>
      </c>
      <c r="I625" s="50">
        <v>660</v>
      </c>
      <c r="J625" s="51">
        <v>24849.1</v>
      </c>
      <c r="K625" s="882">
        <f>+A625-D625</f>
        <v>0</v>
      </c>
      <c r="L625" s="879">
        <f>((+B625/A625)-(E625/D625))/(B625/A625)</f>
        <v>4.1412704751679352E-2</v>
      </c>
    </row>
    <row r="626" spans="1:12" x14ac:dyDescent="0.3">
      <c r="A626" s="875"/>
      <c r="B626" s="881"/>
      <c r="C626" s="881"/>
      <c r="D626" s="881"/>
      <c r="E626" s="881"/>
      <c r="F626" s="15" t="s">
        <v>4878</v>
      </c>
      <c r="G626" s="15">
        <v>100721</v>
      </c>
      <c r="I626" s="50">
        <v>1540</v>
      </c>
      <c r="J626" s="51">
        <v>58447.4</v>
      </c>
      <c r="K626" s="883"/>
      <c r="L626" s="885"/>
    </row>
    <row r="627" spans="1:12" x14ac:dyDescent="0.3">
      <c r="A627" s="875"/>
      <c r="B627" s="881"/>
      <c r="C627" s="881"/>
      <c r="D627" s="881"/>
      <c r="E627" s="881"/>
      <c r="F627" s="15" t="s">
        <v>4878</v>
      </c>
      <c r="G627" s="15">
        <v>100722</v>
      </c>
      <c r="I627" s="50">
        <v>220</v>
      </c>
      <c r="J627" s="51">
        <v>8336.6</v>
      </c>
      <c r="K627" s="883"/>
      <c r="L627" s="885"/>
    </row>
    <row r="628" spans="1:12" ht="15" thickBot="1" x14ac:dyDescent="0.35">
      <c r="A628" s="872"/>
      <c r="B628" s="874"/>
      <c r="C628" s="874"/>
      <c r="D628" s="874"/>
      <c r="E628" s="874"/>
      <c r="F628" s="10" t="s">
        <v>4878</v>
      </c>
      <c r="G628" s="10">
        <v>100722</v>
      </c>
      <c r="H628" s="43"/>
      <c r="I628" s="42">
        <v>660</v>
      </c>
      <c r="J628" s="44">
        <v>25503.199999999997</v>
      </c>
      <c r="K628" s="884"/>
      <c r="L628" s="880"/>
    </row>
    <row r="629" spans="1:12" ht="15" thickBot="1" x14ac:dyDescent="0.35">
      <c r="A629" s="199">
        <v>660</v>
      </c>
      <c r="B629" s="10">
        <v>25431.4</v>
      </c>
      <c r="C629" s="10" t="s">
        <v>4879</v>
      </c>
      <c r="D629" s="10">
        <f t="shared" si="152"/>
        <v>660</v>
      </c>
      <c r="E629" s="10">
        <f t="shared" si="152"/>
        <v>24346.6</v>
      </c>
      <c r="F629" s="10" t="s">
        <v>4880</v>
      </c>
      <c r="G629" s="10">
        <v>100731</v>
      </c>
      <c r="H629" s="43"/>
      <c r="I629" s="42">
        <v>660</v>
      </c>
      <c r="J629" s="44">
        <v>24346.6</v>
      </c>
      <c r="K629" s="54">
        <f t="shared" ref="K629:K631" si="153">+A629-D629</f>
        <v>0</v>
      </c>
      <c r="L629" s="53">
        <f t="shared" ref="L629:L631" si="154">((+B629/A629)-(E629/D629))/(B629/A629)</f>
        <v>4.2655929284270741E-2</v>
      </c>
    </row>
    <row r="630" spans="1:12" ht="15" thickBot="1" x14ac:dyDescent="0.35">
      <c r="A630" s="175">
        <v>660</v>
      </c>
      <c r="B630" s="8">
        <v>26026.7</v>
      </c>
      <c r="C630" s="8" t="s">
        <v>4881</v>
      </c>
      <c r="D630" s="8">
        <f>+I630</f>
        <v>660</v>
      </c>
      <c r="E630" s="8">
        <f>+J630</f>
        <v>25003.599999999999</v>
      </c>
      <c r="F630" s="8" t="s">
        <v>4882</v>
      </c>
      <c r="G630" s="8">
        <v>100771</v>
      </c>
      <c r="H630" s="45"/>
      <c r="I630" s="45">
        <v>660</v>
      </c>
      <c r="J630" s="46">
        <v>25003.599999999999</v>
      </c>
      <c r="K630" s="54">
        <f t="shared" si="153"/>
        <v>0</v>
      </c>
      <c r="L630" s="53">
        <f t="shared" si="154"/>
        <v>3.9309632031721373E-2</v>
      </c>
    </row>
    <row r="631" spans="1:12" ht="15" thickBot="1" x14ac:dyDescent="0.35">
      <c r="A631" s="199">
        <v>190</v>
      </c>
      <c r="B631" s="10">
        <v>8430.5</v>
      </c>
      <c r="C631" s="10" t="s">
        <v>4883</v>
      </c>
      <c r="D631" s="8">
        <f>+I631</f>
        <v>190</v>
      </c>
      <c r="E631" s="8">
        <f>+J631</f>
        <v>8412.4</v>
      </c>
      <c r="F631" s="10" t="s">
        <v>4884</v>
      </c>
      <c r="G631" s="10">
        <v>100781</v>
      </c>
      <c r="H631" s="42"/>
      <c r="I631" s="42">
        <v>190</v>
      </c>
      <c r="J631" s="44">
        <v>8412.4</v>
      </c>
      <c r="K631" s="54">
        <f t="shared" si="153"/>
        <v>0</v>
      </c>
      <c r="L631" s="53">
        <f t="shared" si="154"/>
        <v>2.146966372101411E-3</v>
      </c>
    </row>
    <row r="632" spans="1:12" x14ac:dyDescent="0.3">
      <c r="A632" s="871">
        <v>2405</v>
      </c>
      <c r="B632" s="873">
        <v>95501.7</v>
      </c>
      <c r="C632" s="873" t="s">
        <v>4973</v>
      </c>
      <c r="D632" s="873">
        <f>+I632+I633</f>
        <v>2405</v>
      </c>
      <c r="E632" s="873">
        <f>+J632+J633</f>
        <v>92002.1</v>
      </c>
      <c r="F632" s="12" t="s">
        <v>4974</v>
      </c>
      <c r="G632" s="12">
        <v>100821</v>
      </c>
      <c r="H632" s="39"/>
      <c r="I632" s="39">
        <v>1115</v>
      </c>
      <c r="J632" s="41">
        <v>43360</v>
      </c>
      <c r="K632" s="877">
        <f>+A632-D632</f>
        <v>0</v>
      </c>
      <c r="L632" s="879">
        <f>((+B632/A632)-(E632/D632))/(B632/A632)</f>
        <v>3.6644373869784391E-2</v>
      </c>
    </row>
    <row r="633" spans="1:12" ht="15" thickBot="1" x14ac:dyDescent="0.35">
      <c r="A633" s="872"/>
      <c r="B633" s="874"/>
      <c r="C633" s="874"/>
      <c r="D633" s="874"/>
      <c r="E633" s="874"/>
      <c r="F633" s="10" t="s">
        <v>4974</v>
      </c>
      <c r="G633" s="10">
        <v>100822</v>
      </c>
      <c r="H633" s="42"/>
      <c r="I633" s="42">
        <v>1290</v>
      </c>
      <c r="J633" s="44">
        <v>48642.1</v>
      </c>
      <c r="K633" s="878"/>
      <c r="L633" s="880"/>
    </row>
    <row r="634" spans="1:12" ht="15" thickBot="1" x14ac:dyDescent="0.35">
      <c r="A634" s="175">
        <v>440</v>
      </c>
      <c r="B634" s="8">
        <v>17683.5</v>
      </c>
      <c r="C634" s="8" t="s">
        <v>4975</v>
      </c>
      <c r="D634" s="8">
        <f>+I634</f>
        <v>440</v>
      </c>
      <c r="E634" s="8">
        <f>+J634</f>
        <v>16973.2</v>
      </c>
      <c r="F634" s="8" t="s">
        <v>4976</v>
      </c>
      <c r="G634" s="8">
        <v>100831</v>
      </c>
      <c r="H634" s="45"/>
      <c r="I634" s="45">
        <v>440</v>
      </c>
      <c r="J634" s="46">
        <v>16973.2</v>
      </c>
      <c r="K634" s="54">
        <f t="shared" ref="K634" si="155">+A634-D634</f>
        <v>0</v>
      </c>
      <c r="L634" s="53">
        <f t="shared" ref="L634" si="156">((+B634/A634)-(E634/D634))/(B634/A634)</f>
        <v>4.016738767777861E-2</v>
      </c>
    </row>
    <row r="635" spans="1:12" x14ac:dyDescent="0.3">
      <c r="A635" s="871">
        <v>1942</v>
      </c>
      <c r="B635" s="873">
        <v>76782.5</v>
      </c>
      <c r="C635" s="873" t="s">
        <v>4977</v>
      </c>
      <c r="D635" s="873">
        <f>+I635+I636</f>
        <v>1942</v>
      </c>
      <c r="E635" s="873">
        <f>+J635+J636</f>
        <v>73941.399999999994</v>
      </c>
      <c r="F635" s="12" t="s">
        <v>4978</v>
      </c>
      <c r="G635" s="12">
        <v>100931</v>
      </c>
      <c r="H635" s="39"/>
      <c r="I635" s="39">
        <v>637</v>
      </c>
      <c r="J635" s="41">
        <v>25062.6</v>
      </c>
      <c r="K635" s="877">
        <f>+A635-D635</f>
        <v>0</v>
      </c>
      <c r="L635" s="879">
        <f>((+B635/A635)-(E635/D635))/(B635/A635)</f>
        <v>3.7001921010647025E-2</v>
      </c>
    </row>
    <row r="636" spans="1:12" ht="15" thickBot="1" x14ac:dyDescent="0.35">
      <c r="A636" s="872"/>
      <c r="B636" s="874"/>
      <c r="C636" s="874"/>
      <c r="D636" s="874"/>
      <c r="E636" s="874"/>
      <c r="F636" s="10" t="s">
        <v>4978</v>
      </c>
      <c r="G636" s="10">
        <v>100931</v>
      </c>
      <c r="H636" s="42"/>
      <c r="I636" s="42">
        <v>1305</v>
      </c>
      <c r="J636" s="44">
        <v>48878.8</v>
      </c>
      <c r="K636" s="878"/>
      <c r="L636" s="880"/>
    </row>
    <row r="637" spans="1:12" x14ac:dyDescent="0.3">
      <c r="A637" s="875">
        <v>1790</v>
      </c>
      <c r="B637" s="881">
        <v>71301.25</v>
      </c>
      <c r="C637" s="881" t="s">
        <v>4979</v>
      </c>
      <c r="D637" s="881">
        <f>+I637+I638</f>
        <v>1790</v>
      </c>
      <c r="E637" s="881">
        <f>+J637+J638</f>
        <v>71018.100000000006</v>
      </c>
      <c r="F637" s="15" t="s">
        <v>4980</v>
      </c>
      <c r="G637" s="15">
        <v>100941</v>
      </c>
      <c r="H637" s="50"/>
      <c r="I637" s="50">
        <v>1600</v>
      </c>
      <c r="J637" s="51">
        <v>63011.5</v>
      </c>
      <c r="K637" s="877">
        <f t="shared" ref="K637" si="157">+A637-D637</f>
        <v>0</v>
      </c>
      <c r="L637" s="879">
        <f t="shared" ref="L637" si="158">((+B637/A637)-(E637/D637))/(B637/A637)</f>
        <v>3.9711786259006478E-3</v>
      </c>
    </row>
    <row r="638" spans="1:12" ht="15" thickBot="1" x14ac:dyDescent="0.35">
      <c r="A638" s="872"/>
      <c r="B638" s="874"/>
      <c r="C638" s="874"/>
      <c r="D638" s="874"/>
      <c r="E638" s="874"/>
      <c r="F638" s="10" t="s">
        <v>4980</v>
      </c>
      <c r="G638" s="10">
        <v>100941</v>
      </c>
      <c r="H638" s="43"/>
      <c r="I638" s="42">
        <v>190</v>
      </c>
      <c r="J638" s="44">
        <v>8006.6</v>
      </c>
      <c r="K638" s="878"/>
      <c r="L638" s="880"/>
    </row>
    <row r="639" spans="1:12" x14ac:dyDescent="0.3">
      <c r="A639" s="871">
        <v>2622</v>
      </c>
      <c r="B639" s="873">
        <v>103163.7</v>
      </c>
      <c r="C639" s="873" t="s">
        <v>4981</v>
      </c>
      <c r="D639" s="873">
        <f>+I639+I640</f>
        <v>2622</v>
      </c>
      <c r="E639" s="873">
        <f>+J639+J640</f>
        <v>100082.29999999999</v>
      </c>
      <c r="F639" s="12" t="s">
        <v>4982</v>
      </c>
      <c r="G639" s="12">
        <v>101021</v>
      </c>
      <c r="H639" s="40"/>
      <c r="I639" s="12">
        <v>1320</v>
      </c>
      <c r="J639" s="13">
        <v>49969.399999999987</v>
      </c>
      <c r="K639" s="877">
        <f t="shared" ref="K639" si="159">+A639-D639</f>
        <v>0</v>
      </c>
      <c r="L639" s="879">
        <f t="shared" ref="L639" si="160">((+B639/A639)-(E639/D639))/(B639/A639)</f>
        <v>2.9869033390620997E-2</v>
      </c>
    </row>
    <row r="640" spans="1:12" ht="15" thickBot="1" x14ac:dyDescent="0.35">
      <c r="A640" s="875"/>
      <c r="B640" s="881"/>
      <c r="C640" s="881"/>
      <c r="D640" s="881"/>
      <c r="E640" s="881"/>
      <c r="F640" s="15" t="s">
        <v>4982</v>
      </c>
      <c r="G640" s="15">
        <v>101022</v>
      </c>
      <c r="I640" s="15">
        <v>1302</v>
      </c>
      <c r="J640" s="16">
        <v>50112.899999999994</v>
      </c>
      <c r="K640" s="878"/>
      <c r="L640" s="880"/>
    </row>
    <row r="641" spans="1:12" x14ac:dyDescent="0.3">
      <c r="A641" s="871">
        <v>2860</v>
      </c>
      <c r="B641" s="873">
        <v>109918.2</v>
      </c>
      <c r="C641" s="873" t="s">
        <v>4983</v>
      </c>
      <c r="D641" s="873">
        <f>+I641+I642</f>
        <v>2860</v>
      </c>
      <c r="E641" s="873">
        <f>+J641+J642</f>
        <v>106943.1</v>
      </c>
      <c r="F641" s="12" t="s">
        <v>4984</v>
      </c>
      <c r="G641" s="12">
        <v>101031</v>
      </c>
      <c r="H641" s="39"/>
      <c r="I641" s="39">
        <v>1540</v>
      </c>
      <c r="J641" s="41">
        <v>57622.100000000006</v>
      </c>
      <c r="K641" s="877">
        <f t="shared" ref="K641" si="161">+A641-D641</f>
        <v>0</v>
      </c>
      <c r="L641" s="879">
        <f t="shared" ref="L641" si="162">((+B641/A641)-(E641/D641))/(B641/A641)</f>
        <v>2.7066491263503266E-2</v>
      </c>
    </row>
    <row r="642" spans="1:12" ht="15" thickBot="1" x14ac:dyDescent="0.35">
      <c r="A642" s="872"/>
      <c r="B642" s="874"/>
      <c r="C642" s="874"/>
      <c r="D642" s="874"/>
      <c r="E642" s="874"/>
      <c r="F642" s="10" t="s">
        <v>4984</v>
      </c>
      <c r="G642" s="10">
        <v>101032</v>
      </c>
      <c r="H642" s="42"/>
      <c r="I642" s="42">
        <v>1320</v>
      </c>
      <c r="J642" s="44">
        <v>49321</v>
      </c>
      <c r="K642" s="878"/>
      <c r="L642" s="880"/>
    </row>
    <row r="643" spans="1:12" x14ac:dyDescent="0.3">
      <c r="A643" s="871">
        <v>900</v>
      </c>
      <c r="B643" s="873">
        <v>33015.5</v>
      </c>
      <c r="C643" s="873" t="s">
        <v>4985</v>
      </c>
      <c r="D643" s="873">
        <f>+I643+I644</f>
        <v>900</v>
      </c>
      <c r="E643" s="873">
        <f>+J643+J644</f>
        <v>32561.5</v>
      </c>
      <c r="F643" s="12" t="s">
        <v>4986</v>
      </c>
      <c r="G643" s="12">
        <v>101081</v>
      </c>
      <c r="H643" s="39"/>
      <c r="I643" s="39">
        <v>126</v>
      </c>
      <c r="J643" s="41">
        <v>4633.2</v>
      </c>
      <c r="K643" s="877">
        <f t="shared" ref="K643" si="163">+A643-D643</f>
        <v>0</v>
      </c>
      <c r="L643" s="879">
        <f t="shared" ref="L643" si="164">((+B643/A643)-(E643/D643))/(B643/A643)</f>
        <v>1.3751116899638068E-2</v>
      </c>
    </row>
    <row r="644" spans="1:12" ht="15" thickBot="1" x14ac:dyDescent="0.35">
      <c r="A644" s="872"/>
      <c r="B644" s="874"/>
      <c r="C644" s="874"/>
      <c r="D644" s="874"/>
      <c r="E644" s="874"/>
      <c r="F644" s="10" t="s">
        <v>4986</v>
      </c>
      <c r="G644" s="10">
        <v>101081</v>
      </c>
      <c r="H644" s="42"/>
      <c r="I644" s="42">
        <v>774</v>
      </c>
      <c r="J644" s="44">
        <v>27928.3</v>
      </c>
      <c r="K644" s="878"/>
      <c r="L644" s="880"/>
    </row>
    <row r="645" spans="1:12" ht="15" thickBot="1" x14ac:dyDescent="0.35">
      <c r="A645" s="175">
        <v>1980</v>
      </c>
      <c r="B645" s="8">
        <v>78197.2</v>
      </c>
      <c r="C645" s="8" t="s">
        <v>4987</v>
      </c>
      <c r="D645" s="8">
        <v>1980</v>
      </c>
      <c r="E645" s="8">
        <v>75326.2</v>
      </c>
      <c r="F645" s="8" t="s">
        <v>4988</v>
      </c>
      <c r="G645" s="8">
        <v>101091</v>
      </c>
      <c r="H645" s="14"/>
      <c r="I645" s="45">
        <v>1640</v>
      </c>
      <c r="J645" s="46">
        <v>62502.000000000007</v>
      </c>
      <c r="K645" s="54">
        <f t="shared" ref="K645:K646" si="165">+A645-D645</f>
        <v>0</v>
      </c>
      <c r="L645" s="53">
        <f t="shared" ref="L645:L646" si="166">((+B645/A645)-(E645/D645))/(B645/A645)</f>
        <v>3.6714869586123182E-2</v>
      </c>
    </row>
    <row r="646" spans="1:12" x14ac:dyDescent="0.3">
      <c r="A646" s="871">
        <v>1845</v>
      </c>
      <c r="B646" s="873">
        <v>63382</v>
      </c>
      <c r="C646" s="873" t="s">
        <v>5052</v>
      </c>
      <c r="D646" s="873">
        <f>+I646+I647</f>
        <v>1845</v>
      </c>
      <c r="E646" s="873">
        <f>+J646+J647</f>
        <v>64044.900000000009</v>
      </c>
      <c r="F646" s="12" t="s">
        <v>5053</v>
      </c>
      <c r="G646" s="12">
        <v>101101</v>
      </c>
      <c r="H646" s="40"/>
      <c r="I646" s="39">
        <v>1723</v>
      </c>
      <c r="J646" s="41">
        <v>59744.500000000007</v>
      </c>
      <c r="K646" s="877">
        <f t="shared" si="165"/>
        <v>0</v>
      </c>
      <c r="L646" s="879">
        <f t="shared" si="166"/>
        <v>-1.0458805339055322E-2</v>
      </c>
    </row>
    <row r="647" spans="1:12" ht="15" thickBot="1" x14ac:dyDescent="0.35">
      <c r="A647" s="872"/>
      <c r="B647" s="874"/>
      <c r="C647" s="874"/>
      <c r="D647" s="874"/>
      <c r="E647" s="874"/>
      <c r="F647" s="10" t="s">
        <v>5053</v>
      </c>
      <c r="G647" s="10">
        <v>101101</v>
      </c>
      <c r="H647" s="43"/>
      <c r="I647" s="42">
        <v>122</v>
      </c>
      <c r="J647" s="44">
        <v>4300.3999999999996</v>
      </c>
      <c r="K647" s="878"/>
      <c r="L647" s="880"/>
    </row>
    <row r="648" spans="1:12" ht="15" thickBot="1" x14ac:dyDescent="0.35">
      <c r="A648" s="175">
        <v>400</v>
      </c>
      <c r="B648" s="8">
        <v>17354</v>
      </c>
      <c r="C648" s="8" t="s">
        <v>5054</v>
      </c>
      <c r="D648" s="8">
        <f>+I648</f>
        <v>400</v>
      </c>
      <c r="E648" s="8">
        <f>+J648</f>
        <v>17305</v>
      </c>
      <c r="F648" s="8" t="s">
        <v>5055</v>
      </c>
      <c r="G648" s="8">
        <v>101141</v>
      </c>
      <c r="H648" s="14"/>
      <c r="I648" s="45">
        <v>400</v>
      </c>
      <c r="J648" s="46">
        <v>17305</v>
      </c>
      <c r="K648" s="54">
        <f t="shared" ref="K648" si="167">+A648-D648</f>
        <v>0</v>
      </c>
      <c r="L648" s="53">
        <f t="shared" ref="L648" si="168">((+B648/A648)-(E648/D648))/(B648/A648)</f>
        <v>2.8235565287540666E-3</v>
      </c>
    </row>
    <row r="649" spans="1:12" x14ac:dyDescent="0.3">
      <c r="A649" s="871">
        <v>1173</v>
      </c>
      <c r="B649" s="873">
        <v>51733.75</v>
      </c>
      <c r="C649" s="873" t="s">
        <v>5058</v>
      </c>
      <c r="D649" s="873">
        <f>+I649+I651+I650</f>
        <v>1181</v>
      </c>
      <c r="E649" s="873">
        <f>+J649+J651+J650</f>
        <v>51560.9</v>
      </c>
      <c r="F649" s="12" t="s">
        <v>5059</v>
      </c>
      <c r="G649" s="12">
        <v>101191</v>
      </c>
      <c r="H649" s="40"/>
      <c r="I649" s="39">
        <v>278</v>
      </c>
      <c r="J649" s="41">
        <v>12229.4</v>
      </c>
      <c r="K649" s="882">
        <f>+A649-D649</f>
        <v>-8</v>
      </c>
      <c r="L649" s="879">
        <f>((+B649/A649)-(E649/D649))/(B649/A649)</f>
        <v>1.0092433521331117E-2</v>
      </c>
    </row>
    <row r="650" spans="1:12" x14ac:dyDescent="0.3">
      <c r="A650" s="875"/>
      <c r="B650" s="881"/>
      <c r="C650" s="881"/>
      <c r="D650" s="881"/>
      <c r="E650" s="881"/>
      <c r="F650" s="15" t="s">
        <v>5059</v>
      </c>
      <c r="G650" s="15">
        <v>101191</v>
      </c>
      <c r="I650" s="50">
        <v>303</v>
      </c>
      <c r="J650" s="51">
        <v>12974.9</v>
      </c>
      <c r="K650" s="883"/>
      <c r="L650" s="885"/>
    </row>
    <row r="651" spans="1:12" ht="15" thickBot="1" x14ac:dyDescent="0.35">
      <c r="A651" s="872"/>
      <c r="B651" s="874"/>
      <c r="C651" s="874"/>
      <c r="D651" s="874"/>
      <c r="E651" s="874"/>
      <c r="F651" s="10" t="s">
        <v>5059</v>
      </c>
      <c r="G651" s="10">
        <v>101191</v>
      </c>
      <c r="H651" s="43"/>
      <c r="I651" s="42">
        <v>600</v>
      </c>
      <c r="J651" s="44">
        <v>26356.6</v>
      </c>
      <c r="K651" s="884"/>
      <c r="L651" s="880"/>
    </row>
    <row r="652" spans="1:12" ht="15" thickBot="1" x14ac:dyDescent="0.35">
      <c r="A652" s="175">
        <v>1100</v>
      </c>
      <c r="B652" s="8">
        <v>42775.4</v>
      </c>
      <c r="C652" s="8" t="s">
        <v>5060</v>
      </c>
      <c r="D652" s="8">
        <f>+I652</f>
        <v>1100</v>
      </c>
      <c r="E652" s="8">
        <f>+J652</f>
        <v>41273.4</v>
      </c>
      <c r="F652" s="8" t="s">
        <v>5061</v>
      </c>
      <c r="G652" s="8">
        <v>101201</v>
      </c>
      <c r="H652" s="14"/>
      <c r="I652" s="45">
        <v>1100</v>
      </c>
      <c r="J652" s="46">
        <v>41273.4</v>
      </c>
      <c r="K652" s="54">
        <f t="shared" ref="K652:K654" si="169">+A652-D652</f>
        <v>0</v>
      </c>
      <c r="L652" s="53">
        <f t="shared" ref="L652:L654" si="170">((+B652/A652)-(E652/D652))/(B652/A652)</f>
        <v>3.511364008285122E-2</v>
      </c>
    </row>
    <row r="653" spans="1:12" ht="15" thickBot="1" x14ac:dyDescent="0.35">
      <c r="A653" s="174">
        <v>1241</v>
      </c>
      <c r="B653" s="12">
        <v>48842.8</v>
      </c>
      <c r="C653" s="12" t="s">
        <v>5062</v>
      </c>
      <c r="D653" s="12">
        <f>+I653</f>
        <v>1241</v>
      </c>
      <c r="E653" s="12">
        <f>+J653</f>
        <v>48033.9</v>
      </c>
      <c r="F653" s="12" t="s">
        <v>5063</v>
      </c>
      <c r="G653" s="12">
        <v>101231</v>
      </c>
      <c r="H653" s="40"/>
      <c r="I653" s="39">
        <v>1241</v>
      </c>
      <c r="J653" s="41">
        <v>48033.9</v>
      </c>
      <c r="K653" s="54">
        <f t="shared" si="169"/>
        <v>0</v>
      </c>
      <c r="L653" s="53">
        <f t="shared" si="170"/>
        <v>1.6561294602275217E-2</v>
      </c>
    </row>
    <row r="654" spans="1:12" x14ac:dyDescent="0.3">
      <c r="A654" s="871">
        <v>1980</v>
      </c>
      <c r="B654" s="873">
        <v>79531.3</v>
      </c>
      <c r="C654" s="873" t="s">
        <v>5064</v>
      </c>
      <c r="D654" s="873">
        <f>+I654+I655</f>
        <v>1982</v>
      </c>
      <c r="E654" s="873">
        <f>+J654+J655</f>
        <v>77987.100000000006</v>
      </c>
      <c r="F654" s="12" t="s">
        <v>5065</v>
      </c>
      <c r="G654" s="12">
        <v>101241</v>
      </c>
      <c r="H654" s="40"/>
      <c r="I654" s="39">
        <v>882</v>
      </c>
      <c r="J654" s="41">
        <v>34458.899999999994</v>
      </c>
      <c r="K654" s="877">
        <f t="shared" si="169"/>
        <v>-2</v>
      </c>
      <c r="L654" s="879">
        <f t="shared" si="170"/>
        <v>2.0405744131229066E-2</v>
      </c>
    </row>
    <row r="655" spans="1:12" ht="15" thickBot="1" x14ac:dyDescent="0.35">
      <c r="A655" s="872"/>
      <c r="B655" s="874"/>
      <c r="C655" s="874"/>
      <c r="D655" s="874"/>
      <c r="E655" s="874"/>
      <c r="F655" s="10" t="s">
        <v>5065</v>
      </c>
      <c r="G655" s="10">
        <v>101242</v>
      </c>
      <c r="H655" s="43"/>
      <c r="I655" s="42">
        <v>1100</v>
      </c>
      <c r="J655" s="44">
        <v>43528.200000000004</v>
      </c>
      <c r="K655" s="878"/>
      <c r="L655" s="880"/>
    </row>
    <row r="656" spans="1:12" ht="15" thickBot="1" x14ac:dyDescent="0.35">
      <c r="A656" s="199">
        <v>77</v>
      </c>
      <c r="B656" s="10">
        <v>3084</v>
      </c>
      <c r="C656" s="10" t="s">
        <v>5066</v>
      </c>
      <c r="D656" s="10">
        <v>77</v>
      </c>
      <c r="E656" s="10">
        <v>3073.6</v>
      </c>
      <c r="F656" s="10" t="s">
        <v>5069</v>
      </c>
      <c r="G656" s="10">
        <v>101331</v>
      </c>
      <c r="H656" s="43"/>
      <c r="I656" s="42"/>
      <c r="J656" s="44"/>
      <c r="K656" s="54">
        <f t="shared" ref="K656:K658" si="171">+A656-D656</f>
        <v>0</v>
      </c>
      <c r="L656" s="53">
        <f t="shared" ref="L656:L658" si="172">((+B656/A656)-(E656/D656))/(B656/A656)</f>
        <v>3.37224383917001E-3</v>
      </c>
    </row>
    <row r="657" spans="1:12" ht="15" thickBot="1" x14ac:dyDescent="0.35">
      <c r="A657" s="175">
        <v>5060</v>
      </c>
      <c r="B657" s="8">
        <v>205154.8</v>
      </c>
      <c r="C657" s="8" t="s">
        <v>5067</v>
      </c>
      <c r="D657" s="8">
        <v>5060</v>
      </c>
      <c r="E657" s="8">
        <v>200773.1</v>
      </c>
      <c r="F657" s="8" t="s">
        <v>5068</v>
      </c>
      <c r="G657" s="8">
        <v>10135</v>
      </c>
      <c r="H657" s="14"/>
      <c r="I657" s="45">
        <v>1100</v>
      </c>
      <c r="J657" s="46">
        <v>42967.700000000004</v>
      </c>
      <c r="K657" s="54">
        <f t="shared" si="171"/>
        <v>0</v>
      </c>
      <c r="L657" s="53">
        <f t="shared" si="172"/>
        <v>2.1358018432909975E-2</v>
      </c>
    </row>
    <row r="658" spans="1:12" x14ac:dyDescent="0.3">
      <c r="A658" s="871">
        <v>1815</v>
      </c>
      <c r="B658" s="873">
        <v>63240.75</v>
      </c>
      <c r="C658" s="873" t="s">
        <v>5163</v>
      </c>
      <c r="D658" s="873">
        <f>+I658+I659</f>
        <v>1815</v>
      </c>
      <c r="E658" s="873">
        <f>+J658+J659</f>
        <v>63260.2</v>
      </c>
      <c r="F658" s="372" t="s">
        <v>5164</v>
      </c>
      <c r="G658" s="372">
        <v>101361</v>
      </c>
      <c r="H658" s="40"/>
      <c r="I658" s="378">
        <v>800</v>
      </c>
      <c r="J658" s="41">
        <v>27600.5</v>
      </c>
      <c r="K658" s="877">
        <f t="shared" si="171"/>
        <v>0</v>
      </c>
      <c r="L658" s="879">
        <f t="shared" si="172"/>
        <v>-3.0755485980162939E-4</v>
      </c>
    </row>
    <row r="659" spans="1:12" ht="15" thickBot="1" x14ac:dyDescent="0.35">
      <c r="A659" s="872"/>
      <c r="B659" s="874"/>
      <c r="C659" s="874"/>
      <c r="D659" s="874"/>
      <c r="E659" s="874"/>
      <c r="F659" s="373" t="s">
        <v>5164</v>
      </c>
      <c r="G659" s="373">
        <v>101361</v>
      </c>
      <c r="H659" s="380"/>
      <c r="I659" s="379">
        <v>1015</v>
      </c>
      <c r="J659" s="44">
        <v>35659.699999999997</v>
      </c>
      <c r="K659" s="878"/>
      <c r="L659" s="880"/>
    </row>
    <row r="660" spans="1:12" ht="15" thickBot="1" x14ac:dyDescent="0.35">
      <c r="A660" s="375">
        <v>272</v>
      </c>
      <c r="B660" s="381">
        <v>11356.7</v>
      </c>
      <c r="C660" s="381" t="s">
        <v>5165</v>
      </c>
      <c r="D660" s="381">
        <f>+I660</f>
        <v>272</v>
      </c>
      <c r="E660" s="381">
        <f>+J660</f>
        <v>11397.2</v>
      </c>
      <c r="F660" s="381" t="s">
        <v>5166</v>
      </c>
      <c r="G660" s="381">
        <v>101411</v>
      </c>
      <c r="H660" s="363"/>
      <c r="I660" s="364">
        <v>272</v>
      </c>
      <c r="J660" s="51">
        <v>11397.2</v>
      </c>
      <c r="K660" s="54">
        <f t="shared" ref="K660" si="173">+A660-D660</f>
        <v>0</v>
      </c>
      <c r="L660" s="53">
        <f t="shared" ref="L660" si="174">((+B660/A660)-(E660/D660))/(B660/A660)</f>
        <v>-3.5661767943152398E-3</v>
      </c>
    </row>
    <row r="661" spans="1:12" x14ac:dyDescent="0.3">
      <c r="A661" s="871">
        <v>1320</v>
      </c>
      <c r="B661" s="873">
        <v>51739.9</v>
      </c>
      <c r="C661" s="873" t="s">
        <v>5167</v>
      </c>
      <c r="D661" s="873">
        <f>+I661+I662+I663</f>
        <v>1320</v>
      </c>
      <c r="E661" s="873">
        <f>+J661+J662+J663</f>
        <v>50833.3</v>
      </c>
      <c r="F661" s="372" t="s">
        <v>5168</v>
      </c>
      <c r="G661" s="372">
        <v>101431</v>
      </c>
      <c r="H661" s="40"/>
      <c r="I661" s="378">
        <v>220</v>
      </c>
      <c r="J661" s="41">
        <v>8083.2</v>
      </c>
      <c r="K661" s="882">
        <f>+A661-D661</f>
        <v>0</v>
      </c>
      <c r="L661" s="879">
        <f>((+B661/A661)-(E661/D661))/(B661/A661)</f>
        <v>1.7522260383185731E-2</v>
      </c>
    </row>
    <row r="662" spans="1:12" x14ac:dyDescent="0.3">
      <c r="A662" s="875"/>
      <c r="B662" s="876"/>
      <c r="C662" s="876"/>
      <c r="D662" s="876"/>
      <c r="E662" s="876"/>
      <c r="F662" s="381" t="s">
        <v>5168</v>
      </c>
      <c r="G662" s="381">
        <v>101431</v>
      </c>
      <c r="H662" s="363"/>
      <c r="I662" s="364">
        <v>880</v>
      </c>
      <c r="J662" s="51">
        <v>34374.100000000006</v>
      </c>
      <c r="K662" s="883"/>
      <c r="L662" s="885"/>
    </row>
    <row r="663" spans="1:12" ht="15" thickBot="1" x14ac:dyDescent="0.35">
      <c r="A663" s="872"/>
      <c r="B663" s="874"/>
      <c r="C663" s="874"/>
      <c r="D663" s="874"/>
      <c r="E663" s="874"/>
      <c r="F663" s="373" t="s">
        <v>5168</v>
      </c>
      <c r="G663" s="373">
        <v>101431</v>
      </c>
      <c r="H663" s="380"/>
      <c r="I663" s="379">
        <v>220</v>
      </c>
      <c r="J663" s="44">
        <v>8376</v>
      </c>
      <c r="K663" s="884"/>
      <c r="L663" s="880"/>
    </row>
    <row r="664" spans="1:12" ht="15" thickBot="1" x14ac:dyDescent="0.35">
      <c r="A664" s="371">
        <v>61</v>
      </c>
      <c r="B664" s="373">
        <v>2416</v>
      </c>
      <c r="C664" s="373" t="s">
        <v>5153</v>
      </c>
      <c r="D664" s="373">
        <f t="shared" ref="D664:E666" si="175">+I664</f>
        <v>61</v>
      </c>
      <c r="E664" s="373">
        <f t="shared" si="175"/>
        <v>2445</v>
      </c>
      <c r="F664" s="373" t="s">
        <v>5154</v>
      </c>
      <c r="G664" s="373">
        <v>104441</v>
      </c>
      <c r="H664" s="380"/>
      <c r="I664" s="379">
        <v>61</v>
      </c>
      <c r="J664" s="44">
        <v>2445</v>
      </c>
      <c r="K664" s="54">
        <f t="shared" ref="K664:K666" si="176">+A664-D664</f>
        <v>0</v>
      </c>
      <c r="L664" s="53">
        <f t="shared" ref="L664:L666" si="177">((+B664/A664)-(E664/D664))/(B664/A664)</f>
        <v>-1.2003311258278132E-2</v>
      </c>
    </row>
    <row r="665" spans="1:12" ht="15" thickBot="1" x14ac:dyDescent="0.35">
      <c r="A665" s="370">
        <v>145</v>
      </c>
      <c r="B665" s="372">
        <v>5866.75</v>
      </c>
      <c r="C665" s="372" t="s">
        <v>5169</v>
      </c>
      <c r="D665" s="372">
        <f t="shared" si="175"/>
        <v>145</v>
      </c>
      <c r="E665" s="372">
        <f t="shared" si="175"/>
        <v>6045.8</v>
      </c>
      <c r="F665" s="372" t="s">
        <v>5170</v>
      </c>
      <c r="G665" s="372">
        <v>101521</v>
      </c>
      <c r="H665" s="40"/>
      <c r="I665" s="378">
        <v>145</v>
      </c>
      <c r="J665" s="41">
        <v>6045.8</v>
      </c>
      <c r="K665" s="54">
        <f t="shared" si="176"/>
        <v>0</v>
      </c>
      <c r="L665" s="53">
        <f t="shared" si="177"/>
        <v>-3.0519452848681149E-2</v>
      </c>
    </row>
    <row r="666" spans="1:12" ht="15" thickBot="1" x14ac:dyDescent="0.35">
      <c r="A666" s="370">
        <v>1540</v>
      </c>
      <c r="B666" s="372">
        <v>60647.1</v>
      </c>
      <c r="C666" s="372" t="s">
        <v>5171</v>
      </c>
      <c r="D666" s="372">
        <f t="shared" si="175"/>
        <v>1540</v>
      </c>
      <c r="E666" s="372">
        <f t="shared" si="175"/>
        <v>59007.9</v>
      </c>
      <c r="F666" s="372" t="s">
        <v>5172</v>
      </c>
      <c r="G666" s="372">
        <v>101541</v>
      </c>
      <c r="H666" s="378"/>
      <c r="I666" s="378">
        <v>1540</v>
      </c>
      <c r="J666" s="41">
        <v>59007.9</v>
      </c>
      <c r="K666" s="54">
        <f t="shared" si="176"/>
        <v>0</v>
      </c>
      <c r="L666" s="53">
        <f t="shared" si="177"/>
        <v>2.7028497652814225E-2</v>
      </c>
    </row>
    <row r="667" spans="1:12" x14ac:dyDescent="0.3">
      <c r="A667" s="871">
        <v>1214</v>
      </c>
      <c r="B667" s="873">
        <v>47509.3</v>
      </c>
      <c r="C667" s="873" t="s">
        <v>5173</v>
      </c>
      <c r="D667" s="873">
        <f>+I667+I668+I669</f>
        <v>1214</v>
      </c>
      <c r="E667" s="873">
        <f>+J667+J668+J669</f>
        <v>46673.4</v>
      </c>
      <c r="F667" s="372" t="s">
        <v>5174</v>
      </c>
      <c r="G667" s="372">
        <v>101551</v>
      </c>
      <c r="H667" s="378"/>
      <c r="I667" s="378">
        <v>660</v>
      </c>
      <c r="J667" s="41">
        <v>25694.2</v>
      </c>
      <c r="K667" s="882">
        <f>+A667-D667</f>
        <v>0</v>
      </c>
      <c r="L667" s="879">
        <f>((+B667/A667)-(E667/D667))/(B667/A667)</f>
        <v>1.7594449928750863E-2</v>
      </c>
    </row>
    <row r="668" spans="1:12" x14ac:dyDescent="0.3">
      <c r="A668" s="875"/>
      <c r="B668" s="876"/>
      <c r="C668" s="876"/>
      <c r="D668" s="876"/>
      <c r="E668" s="876"/>
      <c r="F668" s="381" t="s">
        <v>5174</v>
      </c>
      <c r="G668" s="381">
        <v>101551</v>
      </c>
      <c r="H668" s="364"/>
      <c r="I668" s="364">
        <v>440</v>
      </c>
      <c r="J668" s="51">
        <v>16746.8</v>
      </c>
      <c r="K668" s="883"/>
      <c r="L668" s="885"/>
    </row>
    <row r="669" spans="1:12" ht="15" thickBot="1" x14ac:dyDescent="0.35">
      <c r="A669" s="872"/>
      <c r="B669" s="874"/>
      <c r="C669" s="876"/>
      <c r="D669" s="876"/>
      <c r="E669" s="876"/>
      <c r="F669" s="381" t="s">
        <v>5174</v>
      </c>
      <c r="G669" s="381">
        <v>101551</v>
      </c>
      <c r="H669" s="363"/>
      <c r="I669" s="364">
        <v>114</v>
      </c>
      <c r="J669" s="51">
        <v>4232.3999999999996</v>
      </c>
      <c r="K669" s="884"/>
      <c r="L669" s="880"/>
    </row>
    <row r="670" spans="1:12" x14ac:dyDescent="0.3">
      <c r="A670" s="871">
        <v>2849</v>
      </c>
      <c r="B670" s="873">
        <v>116330.5</v>
      </c>
      <c r="C670" s="873" t="s">
        <v>5175</v>
      </c>
      <c r="D670" s="873">
        <v>2849</v>
      </c>
      <c r="E670" s="873">
        <v>113636.2</v>
      </c>
      <c r="F670" s="372" t="s">
        <v>5176</v>
      </c>
      <c r="G670" s="372">
        <v>101701</v>
      </c>
      <c r="H670" s="378"/>
      <c r="I670" s="378">
        <v>880</v>
      </c>
      <c r="J670" s="41">
        <v>35521.799999999996</v>
      </c>
      <c r="K670" s="882">
        <f>+A670-D670</f>
        <v>0</v>
      </c>
      <c r="L670" s="879">
        <f>((+B670/A670)-(E670/D670))/(B670/A670)</f>
        <v>2.3160736006464313E-2</v>
      </c>
    </row>
    <row r="671" spans="1:12" x14ac:dyDescent="0.3">
      <c r="A671" s="875"/>
      <c r="B671" s="876"/>
      <c r="C671" s="876"/>
      <c r="D671" s="876"/>
      <c r="E671" s="876"/>
      <c r="F671" s="381" t="s">
        <v>5176</v>
      </c>
      <c r="G671" s="381">
        <v>101702</v>
      </c>
      <c r="H671" s="364"/>
      <c r="I671" s="364">
        <v>440</v>
      </c>
      <c r="J671" s="51">
        <v>17404.400000000001</v>
      </c>
      <c r="K671" s="883"/>
      <c r="L671" s="885"/>
    </row>
    <row r="672" spans="1:12" ht="15" thickBot="1" x14ac:dyDescent="0.35">
      <c r="A672" s="872"/>
      <c r="B672" s="874"/>
      <c r="C672" s="874"/>
      <c r="D672" s="874"/>
      <c r="E672" s="874"/>
      <c r="F672" s="373" t="s">
        <v>5176</v>
      </c>
      <c r="G672" s="373">
        <v>101702</v>
      </c>
      <c r="H672" s="379"/>
      <c r="I672" s="379">
        <v>1320</v>
      </c>
      <c r="J672" s="44">
        <v>52399</v>
      </c>
      <c r="K672" s="884"/>
      <c r="L672" s="880"/>
    </row>
    <row r="673" spans="1:12" x14ac:dyDescent="0.3">
      <c r="A673" s="871">
        <v>1843</v>
      </c>
      <c r="B673" s="873">
        <v>73692.2</v>
      </c>
      <c r="C673" s="873" t="s">
        <v>5260</v>
      </c>
      <c r="D673" s="873">
        <f>+I673+I674</f>
        <v>1843</v>
      </c>
      <c r="E673" s="873">
        <f>+J673+J674</f>
        <v>73539.900000000009</v>
      </c>
      <c r="F673" s="382" t="s">
        <v>5261</v>
      </c>
      <c r="G673" s="382">
        <v>101761</v>
      </c>
      <c r="H673" s="392"/>
      <c r="I673" s="392">
        <v>1541</v>
      </c>
      <c r="J673" s="41">
        <v>61526.600000000013</v>
      </c>
      <c r="K673" s="877">
        <f t="shared" ref="K673" si="178">+A673-D673</f>
        <v>0</v>
      </c>
      <c r="L673" s="879">
        <f t="shared" ref="L673" si="179">((+B673/A673)-(E673/D673))/(B673/A673)</f>
        <v>2.0667044816139618E-3</v>
      </c>
    </row>
    <row r="674" spans="1:12" ht="15" thickBot="1" x14ac:dyDescent="0.35">
      <c r="A674" s="875"/>
      <c r="B674" s="881"/>
      <c r="C674" s="881"/>
      <c r="D674" s="881"/>
      <c r="E674" s="881"/>
      <c r="F674" s="383" t="s">
        <v>5261</v>
      </c>
      <c r="G674" s="383">
        <v>101761</v>
      </c>
      <c r="H674" s="50"/>
      <c r="I674" s="50">
        <v>302</v>
      </c>
      <c r="J674" s="51">
        <v>12013.3</v>
      </c>
      <c r="K674" s="878"/>
      <c r="L674" s="880"/>
    </row>
    <row r="675" spans="1:12" x14ac:dyDescent="0.3">
      <c r="A675" s="871">
        <v>2536</v>
      </c>
      <c r="B675" s="873">
        <v>93764.62</v>
      </c>
      <c r="C675" s="873" t="s">
        <v>5262</v>
      </c>
      <c r="D675" s="873">
        <f>+I675+I676</f>
        <v>2536</v>
      </c>
      <c r="E675" s="873">
        <f>+J675+J676</f>
        <v>93767.200000000012</v>
      </c>
      <c r="F675" s="382" t="s">
        <v>5263</v>
      </c>
      <c r="G675" s="382">
        <v>10177</v>
      </c>
      <c r="H675" s="392"/>
      <c r="I675" s="392">
        <v>956</v>
      </c>
      <c r="J675" s="41">
        <v>35813.200000000004</v>
      </c>
      <c r="K675" s="877">
        <f t="shared" ref="K675" si="180">+A675-D675</f>
        <v>0</v>
      </c>
      <c r="L675" s="879">
        <f t="shared" ref="L675" si="181">((+B675/A675)-(E675/D675))/(B675/A675)</f>
        <v>-2.7515709017160179E-5</v>
      </c>
    </row>
    <row r="676" spans="1:12" ht="15" thickBot="1" x14ac:dyDescent="0.35">
      <c r="A676" s="872"/>
      <c r="B676" s="874"/>
      <c r="C676" s="874"/>
      <c r="D676" s="874"/>
      <c r="E676" s="874"/>
      <c r="F676" s="387" t="s">
        <v>5263</v>
      </c>
      <c r="G676" s="387">
        <v>10177</v>
      </c>
      <c r="H676" s="393"/>
      <c r="I676" s="393">
        <v>1580</v>
      </c>
      <c r="J676" s="44">
        <v>57954</v>
      </c>
      <c r="K676" s="878"/>
      <c r="L676" s="880"/>
    </row>
    <row r="677" spans="1:12" x14ac:dyDescent="0.3">
      <c r="A677" s="871">
        <v>1235</v>
      </c>
      <c r="B677" s="873">
        <v>49488.2</v>
      </c>
      <c r="C677" s="873" t="s">
        <v>5264</v>
      </c>
      <c r="D677" s="873">
        <f>+I677+I678</f>
        <v>1235</v>
      </c>
      <c r="E677" s="873">
        <f>+J677+J678</f>
        <v>48121.599999999999</v>
      </c>
      <c r="F677" s="382" t="s">
        <v>5265</v>
      </c>
      <c r="G677" s="382">
        <v>101851</v>
      </c>
      <c r="H677" s="392"/>
      <c r="I677" s="392">
        <v>100</v>
      </c>
      <c r="J677" s="41">
        <v>3923.2</v>
      </c>
      <c r="K677" s="877">
        <f t="shared" ref="K677" si="182">+A677-D677</f>
        <v>0</v>
      </c>
      <c r="L677" s="879">
        <f t="shared" ref="L677" si="183">((+B677/A677)-(E677/D677))/(B677/A677)</f>
        <v>2.7614663697608715E-2</v>
      </c>
    </row>
    <row r="678" spans="1:12" ht="15" thickBot="1" x14ac:dyDescent="0.35">
      <c r="A678" s="872"/>
      <c r="B678" s="874"/>
      <c r="C678" s="874"/>
      <c r="D678" s="874"/>
      <c r="E678" s="874"/>
      <c r="F678" s="387" t="s">
        <v>5265</v>
      </c>
      <c r="G678" s="387">
        <v>101851</v>
      </c>
      <c r="H678" s="393"/>
      <c r="I678" s="393">
        <v>1135</v>
      </c>
      <c r="J678" s="44">
        <v>44198.400000000001</v>
      </c>
      <c r="K678" s="878"/>
      <c r="L678" s="880"/>
    </row>
    <row r="679" spans="1:12" ht="15" thickBot="1" x14ac:dyDescent="0.35">
      <c r="A679" s="175">
        <v>105</v>
      </c>
      <c r="B679" s="8">
        <v>4336.25</v>
      </c>
      <c r="C679" s="8" t="s">
        <v>5266</v>
      </c>
      <c r="D679" s="8">
        <f>+I679</f>
        <v>105</v>
      </c>
      <c r="E679" s="8">
        <f>+J679</f>
        <v>4219.8</v>
      </c>
      <c r="F679" s="8" t="s">
        <v>5267</v>
      </c>
      <c r="G679" s="8">
        <v>101911</v>
      </c>
      <c r="H679" s="45"/>
      <c r="I679" s="45">
        <v>105</v>
      </c>
      <c r="J679" s="46">
        <v>4219.8</v>
      </c>
      <c r="K679" s="54">
        <f t="shared" ref="K679:K680" si="184">+A679-D679</f>
        <v>0</v>
      </c>
      <c r="L679" s="53">
        <f t="shared" ref="L679:L680" si="185">((+B679/A679)-(E679/D679))/(B679/A679)</f>
        <v>2.685500144133764E-2</v>
      </c>
    </row>
    <row r="680" spans="1:12" ht="15" thickBot="1" x14ac:dyDescent="0.35">
      <c r="A680" s="384">
        <v>102</v>
      </c>
      <c r="B680" s="383">
        <v>4152.8</v>
      </c>
      <c r="C680" s="383" t="s">
        <v>5268</v>
      </c>
      <c r="D680" s="383">
        <f>+I680</f>
        <v>102</v>
      </c>
      <c r="E680" s="383">
        <f>+J680</f>
        <v>4231.2</v>
      </c>
      <c r="F680" s="383" t="s">
        <v>5269</v>
      </c>
      <c r="G680" s="383">
        <v>101921</v>
      </c>
      <c r="H680" s="50"/>
      <c r="I680" s="50">
        <v>102</v>
      </c>
      <c r="J680" s="51">
        <v>4231.2</v>
      </c>
      <c r="K680" s="54">
        <f t="shared" si="184"/>
        <v>0</v>
      </c>
      <c r="L680" s="53">
        <f t="shared" si="185"/>
        <v>-1.8878828742053311E-2</v>
      </c>
    </row>
    <row r="681" spans="1:12" x14ac:dyDescent="0.3">
      <c r="A681" s="871">
        <v>1380</v>
      </c>
      <c r="B681" s="873">
        <v>47622.5</v>
      </c>
      <c r="C681" s="873" t="s">
        <v>5270</v>
      </c>
      <c r="D681" s="873">
        <f>+I681+I682</f>
        <v>1382</v>
      </c>
      <c r="E681" s="873">
        <f>+J681+J682</f>
        <v>47851</v>
      </c>
      <c r="F681" s="382" t="s">
        <v>5271</v>
      </c>
      <c r="G681" s="382">
        <v>101931</v>
      </c>
      <c r="H681" s="392"/>
      <c r="I681" s="392">
        <v>380</v>
      </c>
      <c r="J681" s="41">
        <v>13112.2</v>
      </c>
      <c r="K681" s="877">
        <f t="shared" ref="K681" si="186">+A681-D681</f>
        <v>-2</v>
      </c>
      <c r="L681" s="879">
        <f t="shared" ref="L681" si="187">((+B681/A681)-(E681/D681))/(B681/A681)</f>
        <v>-3.3440303508531057E-3</v>
      </c>
    </row>
    <row r="682" spans="1:12" ht="15" thickBot="1" x14ac:dyDescent="0.35">
      <c r="A682" s="872"/>
      <c r="B682" s="874"/>
      <c r="C682" s="874"/>
      <c r="D682" s="874"/>
      <c r="E682" s="874"/>
      <c r="F682" s="387" t="s">
        <v>5271</v>
      </c>
      <c r="G682" s="387">
        <v>101931</v>
      </c>
      <c r="H682" s="393"/>
      <c r="I682" s="393">
        <v>1002</v>
      </c>
      <c r="J682" s="44">
        <v>34738.800000000003</v>
      </c>
      <c r="K682" s="878"/>
      <c r="L682" s="880"/>
    </row>
    <row r="683" spans="1:12" ht="15" thickBot="1" x14ac:dyDescent="0.35">
      <c r="A683" s="175">
        <v>1320</v>
      </c>
      <c r="B683" s="8">
        <v>52951</v>
      </c>
      <c r="C683" s="8" t="s">
        <v>5272</v>
      </c>
      <c r="D683" s="8">
        <f t="shared" ref="D683:E687" si="188">+I683</f>
        <v>1320</v>
      </c>
      <c r="E683" s="8">
        <f t="shared" si="188"/>
        <v>51622.1</v>
      </c>
      <c r="F683" s="8" t="s">
        <v>5273</v>
      </c>
      <c r="G683" s="8">
        <v>101941</v>
      </c>
      <c r="H683" s="45"/>
      <c r="I683" s="45">
        <v>1320</v>
      </c>
      <c r="J683" s="46">
        <v>51622.1</v>
      </c>
      <c r="K683" s="54">
        <f t="shared" ref="K683:K687" si="189">+A683-D683</f>
        <v>0</v>
      </c>
      <c r="L683" s="53">
        <f t="shared" ref="L683:L687" si="190">((+B683/A683)-(E683/D683))/(B683/A683)</f>
        <v>2.5096787596079417E-2</v>
      </c>
    </row>
    <row r="684" spans="1:12" ht="15" thickBot="1" x14ac:dyDescent="0.35">
      <c r="A684" s="175">
        <v>710</v>
      </c>
      <c r="B684" s="8">
        <v>24323.25</v>
      </c>
      <c r="C684" s="8" t="s">
        <v>5404</v>
      </c>
      <c r="D684" s="8">
        <f t="shared" si="188"/>
        <v>710</v>
      </c>
      <c r="E684" s="8">
        <f t="shared" si="188"/>
        <v>24494.400000000001</v>
      </c>
      <c r="F684" s="8" t="s">
        <v>5405</v>
      </c>
      <c r="G684" s="8">
        <v>102011</v>
      </c>
      <c r="H684" s="45"/>
      <c r="I684" s="45">
        <v>710</v>
      </c>
      <c r="J684" s="46">
        <v>24494.400000000001</v>
      </c>
      <c r="K684" s="54">
        <f t="shared" ref="K684" si="191">+A684-D684</f>
        <v>0</v>
      </c>
      <c r="L684" s="53">
        <f t="shared" ref="L684" si="192">((+B684/A684)-(E684/D684))/(B684/A684)</f>
        <v>-7.0364774444203687E-3</v>
      </c>
    </row>
    <row r="685" spans="1:12" ht="15" thickBot="1" x14ac:dyDescent="0.35">
      <c r="A685" s="175">
        <v>300</v>
      </c>
      <c r="B685" s="8">
        <v>10869.75</v>
      </c>
      <c r="C685" s="8" t="s">
        <v>5274</v>
      </c>
      <c r="D685" s="8">
        <f t="shared" si="188"/>
        <v>300</v>
      </c>
      <c r="E685" s="8">
        <f t="shared" si="188"/>
        <v>10923.1</v>
      </c>
      <c r="F685" s="8" t="s">
        <v>5275</v>
      </c>
      <c r="G685" s="8">
        <v>10201</v>
      </c>
      <c r="H685" s="45"/>
      <c r="I685" s="45">
        <v>300</v>
      </c>
      <c r="J685" s="46">
        <v>10923.1</v>
      </c>
      <c r="K685" s="54">
        <f t="shared" si="189"/>
        <v>0</v>
      </c>
      <c r="L685" s="53">
        <f t="shared" si="190"/>
        <v>-4.9081165620184133E-3</v>
      </c>
    </row>
    <row r="686" spans="1:12" ht="15" thickBot="1" x14ac:dyDescent="0.35">
      <c r="A686" s="175">
        <v>682</v>
      </c>
      <c r="B686" s="8">
        <v>26441.8</v>
      </c>
      <c r="C686" s="8" t="s">
        <v>5406</v>
      </c>
      <c r="D686" s="8">
        <f t="shared" si="188"/>
        <v>682</v>
      </c>
      <c r="E686" s="8">
        <f t="shared" si="188"/>
        <v>25702.6</v>
      </c>
      <c r="F686" s="8" t="s">
        <v>5407</v>
      </c>
      <c r="G686" s="8">
        <v>102051</v>
      </c>
      <c r="H686" s="45"/>
      <c r="I686" s="45">
        <v>682</v>
      </c>
      <c r="J686" s="46">
        <v>25702.6</v>
      </c>
      <c r="K686" s="54">
        <f t="shared" ref="K686" si="193">+A686-D686</f>
        <v>0</v>
      </c>
      <c r="L686" s="53">
        <f t="shared" ref="L686" si="194">((+B686/A686)-(E686/D686))/(B686/A686)</f>
        <v>2.7955736750145649E-2</v>
      </c>
    </row>
    <row r="687" spans="1:12" ht="15" thickBot="1" x14ac:dyDescent="0.35">
      <c r="A687" s="175">
        <v>528</v>
      </c>
      <c r="B687" s="8">
        <v>24408</v>
      </c>
      <c r="C687" s="8" t="s">
        <v>5276</v>
      </c>
      <c r="D687" s="8">
        <f t="shared" si="188"/>
        <v>525</v>
      </c>
      <c r="E687" s="8">
        <f t="shared" si="188"/>
        <v>24246.6</v>
      </c>
      <c r="F687" s="8" t="s">
        <v>5277</v>
      </c>
      <c r="G687" s="8">
        <v>102101</v>
      </c>
      <c r="H687" s="45"/>
      <c r="I687" s="45">
        <v>525</v>
      </c>
      <c r="J687" s="46">
        <v>24246.6</v>
      </c>
      <c r="K687" s="54">
        <f t="shared" si="189"/>
        <v>3</v>
      </c>
      <c r="L687" s="53">
        <f t="shared" si="190"/>
        <v>9.3608652900692316E-4</v>
      </c>
    </row>
    <row r="688" spans="1:12" x14ac:dyDescent="0.3">
      <c r="A688" s="871">
        <v>2420</v>
      </c>
      <c r="B688" s="873">
        <v>98167.9</v>
      </c>
      <c r="C688" s="873" t="s">
        <v>5410</v>
      </c>
      <c r="D688" s="873">
        <f>+I688+I690+I689</f>
        <v>2418</v>
      </c>
      <c r="E688" s="873">
        <f>+J688+J690+J689</f>
        <v>94984</v>
      </c>
      <c r="F688" s="404" t="s">
        <v>5411</v>
      </c>
      <c r="G688" s="404">
        <v>102121</v>
      </c>
      <c r="H688" s="413"/>
      <c r="I688" s="413">
        <v>660</v>
      </c>
      <c r="J688" s="41">
        <v>25907.9</v>
      </c>
      <c r="K688" s="882">
        <f>+A688-D688</f>
        <v>2</v>
      </c>
      <c r="L688" s="879">
        <f>((+B688/A688)-(E688/D688))/(B688/A688)</f>
        <v>3.1632905434830348E-2</v>
      </c>
    </row>
    <row r="689" spans="1:12" x14ac:dyDescent="0.3">
      <c r="A689" s="875"/>
      <c r="B689" s="881"/>
      <c r="C689" s="881"/>
      <c r="D689" s="881"/>
      <c r="E689" s="881"/>
      <c r="F689" s="405" t="s">
        <v>5411</v>
      </c>
      <c r="G689" s="405">
        <v>102121</v>
      </c>
      <c r="H689" s="50"/>
      <c r="I689" s="50">
        <v>1538</v>
      </c>
      <c r="J689" s="51">
        <v>59945.5</v>
      </c>
      <c r="K689" s="883"/>
      <c r="L689" s="885"/>
    </row>
    <row r="690" spans="1:12" ht="15" thickBot="1" x14ac:dyDescent="0.35">
      <c r="A690" s="872"/>
      <c r="B690" s="874"/>
      <c r="C690" s="874"/>
      <c r="D690" s="874"/>
      <c r="E690" s="874"/>
      <c r="F690" s="407" t="s">
        <v>5411</v>
      </c>
      <c r="G690" s="407">
        <v>102121</v>
      </c>
      <c r="H690" s="414"/>
      <c r="I690" s="414">
        <v>220</v>
      </c>
      <c r="J690" s="44">
        <v>9130.6</v>
      </c>
      <c r="K690" s="884"/>
      <c r="L690" s="880"/>
    </row>
    <row r="691" spans="1:12" ht="15" thickBot="1" x14ac:dyDescent="0.35">
      <c r="A691" s="175">
        <v>601</v>
      </c>
      <c r="B691" s="8">
        <v>21315</v>
      </c>
      <c r="C691" s="8" t="s">
        <v>5412</v>
      </c>
      <c r="D691" s="8">
        <f t="shared" ref="D691:E694" si="195">+I691</f>
        <v>605</v>
      </c>
      <c r="E691" s="8">
        <f t="shared" si="195"/>
        <v>21418.3</v>
      </c>
      <c r="F691" s="8" t="s">
        <v>5413</v>
      </c>
      <c r="G691" s="8">
        <v>102131</v>
      </c>
      <c r="H691" s="45"/>
      <c r="I691" s="45">
        <v>605</v>
      </c>
      <c r="J691" s="46">
        <v>21418.3</v>
      </c>
      <c r="K691" s="54">
        <f t="shared" ref="K691:K694" si="196">+A691-D691</f>
        <v>-4</v>
      </c>
      <c r="L691" s="53">
        <f t="shared" ref="L691:L694" si="197">((+B691/A691)-(E691/D691))/(B691/A691)</f>
        <v>1.7972599127996109E-3</v>
      </c>
    </row>
    <row r="692" spans="1:12" ht="15" thickBot="1" x14ac:dyDescent="0.35">
      <c r="A692" s="175">
        <v>1354</v>
      </c>
      <c r="B692" s="8">
        <v>52081.1</v>
      </c>
      <c r="C692" s="8" t="s">
        <v>5414</v>
      </c>
      <c r="D692" s="8">
        <f t="shared" si="195"/>
        <v>1354</v>
      </c>
      <c r="E692" s="8">
        <f t="shared" si="195"/>
        <v>52266.400000000001</v>
      </c>
      <c r="F692" s="8" t="s">
        <v>5415</v>
      </c>
      <c r="G692" s="8">
        <v>102201</v>
      </c>
      <c r="H692" s="45"/>
      <c r="I692" s="45">
        <v>1354</v>
      </c>
      <c r="J692" s="46">
        <v>52266.400000000001</v>
      </c>
      <c r="K692" s="54">
        <f t="shared" si="196"/>
        <v>0</v>
      </c>
      <c r="L692" s="53">
        <f t="shared" si="197"/>
        <v>-3.5579125632908422E-3</v>
      </c>
    </row>
    <row r="693" spans="1:12" ht="15" thickBot="1" x14ac:dyDescent="0.35">
      <c r="A693" s="419">
        <v>1469</v>
      </c>
      <c r="B693" s="8">
        <v>54817.4</v>
      </c>
      <c r="C693" s="8" t="s">
        <v>5416</v>
      </c>
      <c r="D693" s="8">
        <f t="shared" si="195"/>
        <v>1469</v>
      </c>
      <c r="E693" s="8">
        <f t="shared" si="195"/>
        <v>54117.5</v>
      </c>
      <c r="F693" s="8" t="s">
        <v>5417</v>
      </c>
      <c r="G693" s="8">
        <v>102211</v>
      </c>
      <c r="H693" s="45"/>
      <c r="I693" s="45">
        <v>1469</v>
      </c>
      <c r="J693" s="46">
        <v>54117.5</v>
      </c>
      <c r="K693" s="54">
        <f t="shared" si="196"/>
        <v>0</v>
      </c>
      <c r="L693" s="53">
        <f t="shared" si="197"/>
        <v>1.2767843786826856E-2</v>
      </c>
    </row>
    <row r="694" spans="1:12" ht="15" thickBot="1" x14ac:dyDescent="0.35">
      <c r="A694" s="420">
        <v>690</v>
      </c>
      <c r="B694" s="404">
        <v>27036</v>
      </c>
      <c r="C694" s="404" t="s">
        <v>5418</v>
      </c>
      <c r="D694" s="404">
        <f t="shared" si="195"/>
        <v>690</v>
      </c>
      <c r="E694" s="404">
        <f t="shared" si="195"/>
        <v>26915.699999999997</v>
      </c>
      <c r="F694" s="404" t="s">
        <v>5419</v>
      </c>
      <c r="G694" s="404">
        <v>102221</v>
      </c>
      <c r="H694" s="413"/>
      <c r="I694" s="413">
        <v>690</v>
      </c>
      <c r="J694" s="41">
        <v>26915.699999999997</v>
      </c>
      <c r="K694" s="54">
        <f t="shared" si="196"/>
        <v>0</v>
      </c>
      <c r="L694" s="53">
        <f t="shared" si="197"/>
        <v>4.4496227252552529E-3</v>
      </c>
    </row>
    <row r="695" spans="1:12" x14ac:dyDescent="0.3">
      <c r="A695" s="898">
        <v>3740</v>
      </c>
      <c r="B695" s="873">
        <v>158554</v>
      </c>
      <c r="C695" s="873" t="s">
        <v>5420</v>
      </c>
      <c r="D695" s="873">
        <f>+I695+I696+I697</f>
        <v>3670</v>
      </c>
      <c r="E695" s="873">
        <f>+J695+J696+J697</f>
        <v>149322.4</v>
      </c>
      <c r="F695" s="404" t="s">
        <v>5421</v>
      </c>
      <c r="G695" s="404">
        <v>102261</v>
      </c>
      <c r="H695" s="413"/>
      <c r="I695" s="413">
        <v>1100</v>
      </c>
      <c r="J695" s="41">
        <v>45119.099999999991</v>
      </c>
      <c r="K695" s="882">
        <f>+A695-D695</f>
        <v>70</v>
      </c>
      <c r="L695" s="879">
        <f>((+B695/A695)-(E695/D695))/(B695/A695)</f>
        <v>4.0260660899995381E-2</v>
      </c>
    </row>
    <row r="696" spans="1:12" x14ac:dyDescent="0.3">
      <c r="A696" s="899"/>
      <c r="B696" s="881"/>
      <c r="C696" s="881"/>
      <c r="D696" s="881"/>
      <c r="E696" s="881"/>
      <c r="F696" s="405" t="s">
        <v>5421</v>
      </c>
      <c r="G696" s="405">
        <v>102261</v>
      </c>
      <c r="H696" s="50"/>
      <c r="I696" s="50">
        <v>1540</v>
      </c>
      <c r="J696" s="51">
        <v>62874.600000000006</v>
      </c>
      <c r="K696" s="883"/>
      <c r="L696" s="885"/>
    </row>
    <row r="697" spans="1:12" ht="15" thickBot="1" x14ac:dyDescent="0.35">
      <c r="A697" s="899"/>
      <c r="B697" s="881"/>
      <c r="C697" s="881"/>
      <c r="D697" s="881"/>
      <c r="E697" s="881"/>
      <c r="F697" s="405" t="s">
        <v>5421</v>
      </c>
      <c r="G697" s="405">
        <v>102261</v>
      </c>
      <c r="H697" s="50"/>
      <c r="I697" s="50">
        <v>1030</v>
      </c>
      <c r="J697" s="51">
        <v>41328.700000000004</v>
      </c>
      <c r="K697" s="884"/>
      <c r="L697" s="880"/>
    </row>
    <row r="698" spans="1:12" x14ac:dyDescent="0.3">
      <c r="A698" s="898">
        <v>1387</v>
      </c>
      <c r="B698" s="873">
        <v>49634</v>
      </c>
      <c r="C698" s="873" t="s">
        <v>5422</v>
      </c>
      <c r="D698" s="873">
        <f>+I698+I699</f>
        <v>1387</v>
      </c>
      <c r="E698" s="873">
        <f>+J698+J699</f>
        <v>48862.1</v>
      </c>
      <c r="F698" s="404" t="s">
        <v>5423</v>
      </c>
      <c r="G698" s="404">
        <v>102271</v>
      </c>
      <c r="H698" s="413"/>
      <c r="I698" s="413">
        <v>1250</v>
      </c>
      <c r="J698" s="41">
        <v>44009.599999999999</v>
      </c>
      <c r="K698" s="877">
        <f t="shared" ref="K698" si="198">+A698-D698</f>
        <v>0</v>
      </c>
      <c r="L698" s="879">
        <f t="shared" ref="L698" si="199">((+B698/A698)-(E698/D698))/(B698/A698)</f>
        <v>1.5551839464882989E-2</v>
      </c>
    </row>
    <row r="699" spans="1:12" ht="15" thickBot="1" x14ac:dyDescent="0.35">
      <c r="A699" s="900"/>
      <c r="B699" s="874"/>
      <c r="C699" s="874"/>
      <c r="D699" s="874"/>
      <c r="E699" s="874"/>
      <c r="F699" s="407" t="s">
        <v>5423</v>
      </c>
      <c r="G699" s="407">
        <v>102271</v>
      </c>
      <c r="H699" s="414"/>
      <c r="I699" s="414">
        <v>137</v>
      </c>
      <c r="J699" s="44">
        <v>4852.5</v>
      </c>
      <c r="K699" s="878"/>
      <c r="L699" s="880"/>
    </row>
    <row r="700" spans="1:12" ht="15" thickBot="1" x14ac:dyDescent="0.35">
      <c r="A700" s="419">
        <v>439</v>
      </c>
      <c r="B700" s="8">
        <v>16982</v>
      </c>
      <c r="C700" s="8" t="s">
        <v>5424</v>
      </c>
      <c r="D700" s="8">
        <f>+I700</f>
        <v>439</v>
      </c>
      <c r="E700" s="8">
        <f>+J700</f>
        <v>16607.900000000001</v>
      </c>
      <c r="F700" s="8" t="s">
        <v>5425</v>
      </c>
      <c r="G700" s="8">
        <v>102331</v>
      </c>
      <c r="H700" s="45"/>
      <c r="I700" s="45">
        <v>439</v>
      </c>
      <c r="J700" s="46">
        <v>16607.900000000001</v>
      </c>
      <c r="K700" s="54">
        <f t="shared" ref="K700:K701" si="200">+A700-D700</f>
        <v>0</v>
      </c>
      <c r="L700" s="53">
        <f t="shared" ref="L700:L701" si="201">((+B700/A700)-(E700/D700))/(B700/A700)</f>
        <v>2.2029207396066446E-2</v>
      </c>
    </row>
    <row r="701" spans="1:12" x14ac:dyDescent="0.3">
      <c r="A701" s="420">
        <v>1339</v>
      </c>
      <c r="B701" s="404">
        <v>50219.3</v>
      </c>
      <c r="C701" s="404" t="s">
        <v>5426</v>
      </c>
      <c r="D701" s="404">
        <f>+I701+I702</f>
        <v>1339</v>
      </c>
      <c r="E701" s="404">
        <f>+J701+J702</f>
        <v>49161.2</v>
      </c>
      <c r="F701" s="404" t="s">
        <v>5427</v>
      </c>
      <c r="G701" s="404">
        <v>102341</v>
      </c>
      <c r="H701" s="413"/>
      <c r="I701" s="413">
        <v>1082</v>
      </c>
      <c r="J701" s="41">
        <v>40121</v>
      </c>
      <c r="K701" s="877">
        <f t="shared" si="200"/>
        <v>0</v>
      </c>
      <c r="L701" s="879">
        <f t="shared" si="201"/>
        <v>2.106958878359531E-2</v>
      </c>
    </row>
    <row r="702" spans="1:12" ht="15" thickBot="1" x14ac:dyDescent="0.35">
      <c r="A702" s="421"/>
      <c r="B702" s="407"/>
      <c r="C702" s="407"/>
      <c r="D702" s="407"/>
      <c r="E702" s="407"/>
      <c r="F702" s="407" t="s">
        <v>5427</v>
      </c>
      <c r="G702" s="407">
        <v>102341</v>
      </c>
      <c r="H702" s="414"/>
      <c r="I702" s="414">
        <v>257</v>
      </c>
      <c r="J702" s="44">
        <v>9040.2000000000007</v>
      </c>
      <c r="K702" s="878"/>
      <c r="L702" s="880"/>
    </row>
    <row r="703" spans="1:12" ht="15" thickBot="1" x14ac:dyDescent="0.35">
      <c r="A703" s="419">
        <v>1135</v>
      </c>
      <c r="B703" s="8">
        <v>43519.5</v>
      </c>
      <c r="C703" s="8" t="s">
        <v>5428</v>
      </c>
      <c r="D703" s="8">
        <f>+I703</f>
        <v>1135</v>
      </c>
      <c r="E703" s="8">
        <f>+J703</f>
        <v>43416.800000000003</v>
      </c>
      <c r="F703" s="8" t="s">
        <v>5429</v>
      </c>
      <c r="G703" s="8">
        <v>102351</v>
      </c>
      <c r="H703" s="45"/>
      <c r="I703" s="45">
        <v>1135</v>
      </c>
      <c r="J703" s="46">
        <v>43416.800000000003</v>
      </c>
      <c r="K703" s="54">
        <f t="shared" ref="K703" si="202">+A703-D703</f>
        <v>0</v>
      </c>
      <c r="L703" s="53">
        <f t="shared" ref="L703" si="203">((+B703/A703)-(E703/D703))/(B703/A703)</f>
        <v>2.3598616712046804E-3</v>
      </c>
    </row>
    <row r="704" spans="1:12" x14ac:dyDescent="0.3">
      <c r="A704" s="898">
        <v>1245</v>
      </c>
      <c r="B704" s="873">
        <v>55862.75</v>
      </c>
      <c r="C704" s="873" t="s">
        <v>5524</v>
      </c>
      <c r="D704" s="873">
        <f>+I704+I705+I706</f>
        <v>1245</v>
      </c>
      <c r="E704" s="873">
        <f>+J704+J705+J706</f>
        <v>55692.800000000003</v>
      </c>
      <c r="F704" s="427" t="s">
        <v>5525</v>
      </c>
      <c r="G704" s="427">
        <v>102391</v>
      </c>
      <c r="H704" s="435"/>
      <c r="I704" s="435">
        <v>400</v>
      </c>
      <c r="J704" s="41">
        <v>17808.599999999999</v>
      </c>
      <c r="K704" s="882">
        <f>+A704-D704</f>
        <v>0</v>
      </c>
      <c r="L704" s="879">
        <f>((+B704/A704)-(E704/D704))/(B704/A704)</f>
        <v>3.0422777253178257E-3</v>
      </c>
    </row>
    <row r="705" spans="1:12" x14ac:dyDescent="0.3">
      <c r="A705" s="899"/>
      <c r="B705" s="881"/>
      <c r="C705" s="881"/>
      <c r="D705" s="881"/>
      <c r="E705" s="881"/>
      <c r="F705" s="428" t="s">
        <v>5525</v>
      </c>
      <c r="G705" s="428">
        <v>102391</v>
      </c>
      <c r="H705" s="50"/>
      <c r="I705" s="50">
        <v>800</v>
      </c>
      <c r="J705" s="51">
        <v>35810.400000000001</v>
      </c>
      <c r="K705" s="883"/>
      <c r="L705" s="885"/>
    </row>
    <row r="706" spans="1:12" ht="15" thickBot="1" x14ac:dyDescent="0.35">
      <c r="A706" s="900"/>
      <c r="B706" s="874"/>
      <c r="C706" s="874"/>
      <c r="D706" s="874"/>
      <c r="E706" s="874"/>
      <c r="F706" s="429" t="s">
        <v>5525</v>
      </c>
      <c r="G706" s="429">
        <v>102391</v>
      </c>
      <c r="H706" s="436"/>
      <c r="I706" s="436">
        <v>45</v>
      </c>
      <c r="J706" s="44">
        <v>2073.8000000000002</v>
      </c>
      <c r="K706" s="884"/>
      <c r="L706" s="880"/>
    </row>
    <row r="707" spans="1:12" x14ac:dyDescent="0.3">
      <c r="A707" s="898">
        <v>3080</v>
      </c>
      <c r="B707" s="873">
        <v>130323.4</v>
      </c>
      <c r="C707" s="873" t="s">
        <v>5526</v>
      </c>
      <c r="D707" s="873">
        <f>+I707+I708+I709</f>
        <v>3080</v>
      </c>
      <c r="E707" s="873">
        <f>+J707+J708+J709</f>
        <v>128149.40000000001</v>
      </c>
      <c r="F707" s="427" t="s">
        <v>5527</v>
      </c>
      <c r="G707" s="427">
        <v>102411</v>
      </c>
      <c r="H707" s="435"/>
      <c r="I707" s="435">
        <v>1540</v>
      </c>
      <c r="J707" s="41">
        <v>63643.6</v>
      </c>
      <c r="K707" s="882">
        <f>+A707-D707</f>
        <v>0</v>
      </c>
      <c r="L707" s="879">
        <f>((+B707/A707)-(E707/D707))/(B707/A707)</f>
        <v>1.6681578289086962E-2</v>
      </c>
    </row>
    <row r="708" spans="1:12" x14ac:dyDescent="0.3">
      <c r="A708" s="899"/>
      <c r="B708" s="881"/>
      <c r="C708" s="881"/>
      <c r="D708" s="881"/>
      <c r="E708" s="881"/>
      <c r="F708" s="428" t="s">
        <v>5527</v>
      </c>
      <c r="G708" s="428">
        <v>102402</v>
      </c>
      <c r="H708" s="50"/>
      <c r="I708" s="50">
        <v>660</v>
      </c>
      <c r="J708" s="51">
        <v>27352.7</v>
      </c>
      <c r="K708" s="883"/>
      <c r="L708" s="885"/>
    </row>
    <row r="709" spans="1:12" ht="15" thickBot="1" x14ac:dyDescent="0.35">
      <c r="A709" s="900"/>
      <c r="B709" s="874"/>
      <c r="C709" s="874"/>
      <c r="D709" s="874"/>
      <c r="E709" s="874"/>
      <c r="F709" s="429" t="s">
        <v>5527</v>
      </c>
      <c r="G709" s="429">
        <v>102402</v>
      </c>
      <c r="H709" s="436"/>
      <c r="I709" s="436">
        <v>880</v>
      </c>
      <c r="J709" s="44">
        <v>37153.100000000006</v>
      </c>
      <c r="K709" s="884"/>
      <c r="L709" s="880"/>
    </row>
    <row r="710" spans="1:12" ht="15" thickBot="1" x14ac:dyDescent="0.35">
      <c r="A710" s="430">
        <v>738</v>
      </c>
      <c r="B710" s="427">
        <v>32510.5</v>
      </c>
      <c r="C710" s="427" t="s">
        <v>5528</v>
      </c>
      <c r="D710" s="427">
        <f>+I710</f>
        <v>738</v>
      </c>
      <c r="E710" s="427">
        <f>+J710</f>
        <v>32425.3</v>
      </c>
      <c r="F710" s="427" t="s">
        <v>5529</v>
      </c>
      <c r="G710" s="427">
        <v>102481</v>
      </c>
      <c r="H710" s="435"/>
      <c r="I710" s="435">
        <v>738</v>
      </c>
      <c r="J710" s="41">
        <v>32425.3</v>
      </c>
      <c r="K710" s="54">
        <f t="shared" ref="K710" si="204">+A710-D710</f>
        <v>0</v>
      </c>
      <c r="L710" s="53">
        <f t="shared" ref="L710" si="205">((+B710/A710)-(E710/D710))/(B710/A710)</f>
        <v>2.6206917765030117E-3</v>
      </c>
    </row>
    <row r="711" spans="1:12" x14ac:dyDescent="0.3">
      <c r="A711" s="898">
        <v>1189</v>
      </c>
      <c r="B711" s="873">
        <v>48699.5</v>
      </c>
      <c r="C711" s="873" t="s">
        <v>5530</v>
      </c>
      <c r="D711" s="873">
        <f>+I711+I712</f>
        <v>1189</v>
      </c>
      <c r="E711" s="873">
        <f>+J711+J712</f>
        <v>48694.100000000006</v>
      </c>
      <c r="F711" s="427" t="s">
        <v>5531</v>
      </c>
      <c r="G711" s="427">
        <v>102491</v>
      </c>
      <c r="H711" s="435"/>
      <c r="I711" s="435">
        <v>938</v>
      </c>
      <c r="J711" s="41">
        <v>38696.9</v>
      </c>
      <c r="K711" s="877">
        <f t="shared" ref="K711" si="206">+A711-D711</f>
        <v>0</v>
      </c>
      <c r="L711" s="879">
        <f t="shared" ref="L711" si="207">((+B711/A711)-(E711/D711))/(B711/A711)</f>
        <v>1.1088409531906322E-4</v>
      </c>
    </row>
    <row r="712" spans="1:12" ht="15" thickBot="1" x14ac:dyDescent="0.35">
      <c r="A712" s="900"/>
      <c r="B712" s="874"/>
      <c r="C712" s="874"/>
      <c r="D712" s="874"/>
      <c r="E712" s="874"/>
      <c r="F712" s="429" t="s">
        <v>5531</v>
      </c>
      <c r="G712" s="429">
        <v>102491</v>
      </c>
      <c r="H712" s="436"/>
      <c r="I712" s="436">
        <v>251</v>
      </c>
      <c r="J712" s="44">
        <v>9997.2000000000007</v>
      </c>
      <c r="K712" s="878"/>
      <c r="L712" s="880"/>
    </row>
    <row r="713" spans="1:12" ht="15" thickBot="1" x14ac:dyDescent="0.35">
      <c r="A713" s="426">
        <v>225</v>
      </c>
      <c r="B713" s="429">
        <v>10411</v>
      </c>
      <c r="C713" s="429" t="s">
        <v>5532</v>
      </c>
      <c r="D713" s="429">
        <f t="shared" ref="D713:E714" si="208">+I713</f>
        <v>225</v>
      </c>
      <c r="E713" s="429">
        <f t="shared" si="208"/>
        <v>10520.3</v>
      </c>
      <c r="F713" s="429" t="s">
        <v>5533</v>
      </c>
      <c r="G713" s="429">
        <v>102541</v>
      </c>
      <c r="H713" s="436"/>
      <c r="I713" s="436">
        <v>225</v>
      </c>
      <c r="J713" s="44">
        <v>10520.3</v>
      </c>
      <c r="K713" s="54">
        <f t="shared" ref="K713:K714" si="209">+A713-D713</f>
        <v>0</v>
      </c>
      <c r="L713" s="53">
        <f t="shared" ref="L713:L714" si="210">((+B713/A713)-(E713/D713))/(B713/A713)</f>
        <v>-1.0498511190087391E-2</v>
      </c>
    </row>
    <row r="714" spans="1:12" ht="15" thickBot="1" x14ac:dyDescent="0.35">
      <c r="A714" s="426">
        <v>477</v>
      </c>
      <c r="B714" s="429">
        <v>19409.7</v>
      </c>
      <c r="C714" s="429" t="s">
        <v>5534</v>
      </c>
      <c r="D714" s="429">
        <f t="shared" si="208"/>
        <v>477</v>
      </c>
      <c r="E714" s="429">
        <f t="shared" si="208"/>
        <v>19430.2</v>
      </c>
      <c r="F714" s="429" t="s">
        <v>5535</v>
      </c>
      <c r="G714" s="429">
        <v>102551</v>
      </c>
      <c r="H714" s="436"/>
      <c r="I714" s="436">
        <v>477</v>
      </c>
      <c r="J714" s="44">
        <v>19430.2</v>
      </c>
      <c r="K714" s="54">
        <f t="shared" si="209"/>
        <v>0</v>
      </c>
      <c r="L714" s="53">
        <f t="shared" si="210"/>
        <v>-1.0561729444556569E-3</v>
      </c>
    </row>
    <row r="715" spans="1:12" x14ac:dyDescent="0.3">
      <c r="A715" s="871">
        <v>1967</v>
      </c>
      <c r="B715" s="873">
        <v>76908.42</v>
      </c>
      <c r="C715" s="873" t="s">
        <v>5536</v>
      </c>
      <c r="D715" s="873">
        <f>+I715+I716</f>
        <v>1970</v>
      </c>
      <c r="E715" s="873">
        <f>+J715+J716</f>
        <v>75324.899999999994</v>
      </c>
      <c r="F715" s="427" t="s">
        <v>5537</v>
      </c>
      <c r="G715" s="427">
        <v>102561</v>
      </c>
      <c r="H715" s="435"/>
      <c r="I715" s="435">
        <v>1439</v>
      </c>
      <c r="J715" s="41">
        <v>55041.1</v>
      </c>
      <c r="K715" s="877">
        <f t="shared" ref="K715" si="211">+A715-D715</f>
        <v>-3</v>
      </c>
      <c r="L715" s="879">
        <f t="shared" ref="L715" si="212">((+B715/A715)-(E715/D715))/(B715/A715)</f>
        <v>2.2081170950373697E-2</v>
      </c>
    </row>
    <row r="716" spans="1:12" ht="15" thickBot="1" x14ac:dyDescent="0.35">
      <c r="A716" s="875"/>
      <c r="B716" s="881"/>
      <c r="C716" s="881"/>
      <c r="D716" s="881"/>
      <c r="E716" s="881"/>
      <c r="F716" s="428" t="s">
        <v>5537</v>
      </c>
      <c r="G716" s="428">
        <v>102561</v>
      </c>
      <c r="H716" s="50"/>
      <c r="I716" s="50">
        <v>531</v>
      </c>
      <c r="J716" s="51">
        <v>20283.8</v>
      </c>
      <c r="K716" s="878"/>
      <c r="L716" s="880"/>
    </row>
    <row r="717" spans="1:12" x14ac:dyDescent="0.3">
      <c r="A717" s="871">
        <v>3520</v>
      </c>
      <c r="B717" s="873">
        <v>147864.29999999999</v>
      </c>
      <c r="C717" s="873" t="s">
        <v>5538</v>
      </c>
      <c r="D717" s="873">
        <f>+I717+I718+I719+I720</f>
        <v>3514</v>
      </c>
      <c r="E717" s="873">
        <f>+J717+J718+J719+J720</f>
        <v>144533.9</v>
      </c>
      <c r="F717" s="427" t="s">
        <v>5539</v>
      </c>
      <c r="G717" s="427">
        <v>102571</v>
      </c>
      <c r="H717" s="435"/>
      <c r="I717" s="435">
        <v>1106</v>
      </c>
      <c r="J717" s="41">
        <v>45949.2</v>
      </c>
      <c r="K717" s="877">
        <f>+A717-D717</f>
        <v>6</v>
      </c>
      <c r="L717" s="879">
        <f>((+B717/A717)-(E717/D717))/(B717/A717)</f>
        <v>2.0854355926588398E-2</v>
      </c>
    </row>
    <row r="718" spans="1:12" x14ac:dyDescent="0.3">
      <c r="A718" s="875"/>
      <c r="B718" s="881"/>
      <c r="C718" s="881"/>
      <c r="D718" s="881"/>
      <c r="E718" s="881"/>
      <c r="F718" s="428" t="s">
        <v>5539</v>
      </c>
      <c r="G718" s="428">
        <v>102571</v>
      </c>
      <c r="H718" s="50"/>
      <c r="I718" s="50">
        <v>440</v>
      </c>
      <c r="J718" s="51">
        <v>18181.599999999999</v>
      </c>
      <c r="K718" s="886"/>
      <c r="L718" s="885"/>
    </row>
    <row r="719" spans="1:12" x14ac:dyDescent="0.3">
      <c r="A719" s="875"/>
      <c r="B719" s="881"/>
      <c r="C719" s="881"/>
      <c r="D719" s="881"/>
      <c r="E719" s="881"/>
      <c r="F719" s="428" t="s">
        <v>5539</v>
      </c>
      <c r="G719" s="428">
        <v>102572</v>
      </c>
      <c r="H719" s="50"/>
      <c r="I719" s="50">
        <v>1094</v>
      </c>
      <c r="J719" s="51">
        <v>46094.499999999993</v>
      </c>
      <c r="K719" s="886"/>
      <c r="L719" s="885"/>
    </row>
    <row r="720" spans="1:12" ht="15" thickBot="1" x14ac:dyDescent="0.35">
      <c r="A720" s="872"/>
      <c r="B720" s="874"/>
      <c r="C720" s="874"/>
      <c r="D720" s="874"/>
      <c r="E720" s="874"/>
      <c r="F720" s="429" t="s">
        <v>5539</v>
      </c>
      <c r="G720" s="429">
        <v>102573</v>
      </c>
      <c r="H720" s="436"/>
      <c r="I720" s="436">
        <v>874</v>
      </c>
      <c r="J720" s="44">
        <v>34308.6</v>
      </c>
      <c r="K720" s="878"/>
      <c r="L720" s="880"/>
    </row>
    <row r="721" spans="1:12" ht="15" thickBot="1" x14ac:dyDescent="0.35">
      <c r="A721" s="175">
        <v>1173</v>
      </c>
      <c r="B721" s="8">
        <v>52269.75</v>
      </c>
      <c r="C721" s="8" t="s">
        <v>5540</v>
      </c>
      <c r="D721" s="429">
        <v>1173</v>
      </c>
      <c r="E721" s="429">
        <v>51910.3</v>
      </c>
      <c r="F721" s="8" t="s">
        <v>5541</v>
      </c>
      <c r="G721" s="8">
        <v>102631</v>
      </c>
      <c r="H721" s="45"/>
      <c r="I721" s="45">
        <v>600</v>
      </c>
      <c r="J721" s="46">
        <v>26262.2</v>
      </c>
      <c r="K721" s="54">
        <f t="shared" ref="K721:K722" si="213">+A721-D721</f>
        <v>0</v>
      </c>
      <c r="L721" s="53">
        <f t="shared" ref="L721:L722" si="214">((+B721/A721)-(E721/D721))/(B721/A721)</f>
        <v>6.8768264627244976E-3</v>
      </c>
    </row>
    <row r="722" spans="1:12" x14ac:dyDescent="0.3">
      <c r="A722" s="871">
        <v>405</v>
      </c>
      <c r="B722" s="873">
        <v>17939.25</v>
      </c>
      <c r="C722" s="873" t="s">
        <v>5602</v>
      </c>
      <c r="D722" s="873">
        <f>+I722+I723</f>
        <v>405</v>
      </c>
      <c r="E722" s="873">
        <f>+J722+J723</f>
        <v>18189.7</v>
      </c>
      <c r="F722" s="442" t="s">
        <v>5603</v>
      </c>
      <c r="G722" s="442">
        <v>102651</v>
      </c>
      <c r="H722" s="448"/>
      <c r="I722" s="448">
        <v>27</v>
      </c>
      <c r="J722" s="41">
        <v>1243.7</v>
      </c>
      <c r="K722" s="877">
        <f t="shared" si="213"/>
        <v>0</v>
      </c>
      <c r="L722" s="879">
        <f t="shared" si="214"/>
        <v>-1.3961007288487641E-2</v>
      </c>
    </row>
    <row r="723" spans="1:12" ht="15" thickBot="1" x14ac:dyDescent="0.35">
      <c r="A723" s="875"/>
      <c r="B723" s="881"/>
      <c r="C723" s="881"/>
      <c r="D723" s="881"/>
      <c r="E723" s="881"/>
      <c r="F723" s="443" t="s">
        <v>5603</v>
      </c>
      <c r="G723" s="443">
        <v>102651</v>
      </c>
      <c r="H723" s="50"/>
      <c r="I723" s="50">
        <v>378</v>
      </c>
      <c r="J723" s="51">
        <v>16946</v>
      </c>
      <c r="K723" s="878"/>
      <c r="L723" s="880"/>
    </row>
    <row r="724" spans="1:12" x14ac:dyDescent="0.3">
      <c r="A724" s="871">
        <v>3887</v>
      </c>
      <c r="B724" s="873">
        <v>169551.5</v>
      </c>
      <c r="C724" s="873" t="s">
        <v>5604</v>
      </c>
      <c r="D724" s="873">
        <f>SUM(I724:I728)</f>
        <v>3891</v>
      </c>
      <c r="E724" s="873">
        <f>SUM(J724:J728)</f>
        <v>171946.80000000002</v>
      </c>
      <c r="F724" s="442" t="s">
        <v>5605</v>
      </c>
      <c r="G724" s="442">
        <v>102721</v>
      </c>
      <c r="H724" s="448"/>
      <c r="I724" s="448">
        <v>1333</v>
      </c>
      <c r="J724" s="41">
        <v>57350.400000000001</v>
      </c>
      <c r="K724" s="882">
        <f>+A724-D724</f>
        <v>-4</v>
      </c>
      <c r="L724" s="879">
        <f>((+B724/A724)-(E724/D724))/(B724/A724)</f>
        <v>-1.3084734677505726E-2</v>
      </c>
    </row>
    <row r="725" spans="1:12" x14ac:dyDescent="0.3">
      <c r="A725" s="875"/>
      <c r="B725" s="881"/>
      <c r="C725" s="881"/>
      <c r="D725" s="881"/>
      <c r="E725" s="881"/>
      <c r="F725" s="443" t="s">
        <v>5605</v>
      </c>
      <c r="G725" s="443">
        <v>102722</v>
      </c>
      <c r="H725" s="50"/>
      <c r="I725" s="50">
        <v>440</v>
      </c>
      <c r="J725" s="51">
        <v>20370.3</v>
      </c>
      <c r="K725" s="883"/>
      <c r="L725" s="885"/>
    </row>
    <row r="726" spans="1:12" x14ac:dyDescent="0.3">
      <c r="A726" s="875"/>
      <c r="B726" s="881"/>
      <c r="C726" s="881"/>
      <c r="D726" s="881"/>
      <c r="E726" s="881"/>
      <c r="F726" s="443" t="s">
        <v>5605</v>
      </c>
      <c r="G726" s="443">
        <v>102722</v>
      </c>
      <c r="H726" s="50"/>
      <c r="I726" s="50">
        <v>880</v>
      </c>
      <c r="J726" s="51">
        <v>39383.800000000003</v>
      </c>
      <c r="K726" s="883"/>
      <c r="L726" s="885"/>
    </row>
    <row r="727" spans="1:12" x14ac:dyDescent="0.3">
      <c r="A727" s="875"/>
      <c r="B727" s="881"/>
      <c r="C727" s="881"/>
      <c r="D727" s="881"/>
      <c r="E727" s="881"/>
      <c r="F727" s="443" t="s">
        <v>5605</v>
      </c>
      <c r="G727" s="443">
        <v>102723</v>
      </c>
      <c r="H727" s="50"/>
      <c r="I727" s="50">
        <v>671</v>
      </c>
      <c r="J727" s="51">
        <v>29513.599999999999</v>
      </c>
      <c r="K727" s="883"/>
      <c r="L727" s="885"/>
    </row>
    <row r="728" spans="1:12" ht="15" thickBot="1" x14ac:dyDescent="0.35">
      <c r="A728" s="875"/>
      <c r="B728" s="881"/>
      <c r="C728" s="881"/>
      <c r="D728" s="881"/>
      <c r="E728" s="881"/>
      <c r="F728" s="443" t="s">
        <v>5605</v>
      </c>
      <c r="G728" s="443">
        <v>102723</v>
      </c>
      <c r="H728" s="50"/>
      <c r="I728" s="50">
        <v>567</v>
      </c>
      <c r="J728" s="51">
        <v>25328.7</v>
      </c>
      <c r="K728" s="884"/>
      <c r="L728" s="880"/>
    </row>
    <row r="729" spans="1:12" x14ac:dyDescent="0.3">
      <c r="A729" s="871">
        <v>2461</v>
      </c>
      <c r="B729" s="873">
        <v>90224</v>
      </c>
      <c r="C729" s="873" t="s">
        <v>5606</v>
      </c>
      <c r="D729" s="873">
        <f>+I729+I731+I730</f>
        <v>2462</v>
      </c>
      <c r="E729" s="873">
        <f>+J729+J731+J730</f>
        <v>90169.7</v>
      </c>
      <c r="F729" s="442" t="s">
        <v>5607</v>
      </c>
      <c r="G729" s="442">
        <v>102841</v>
      </c>
      <c r="H729" s="448"/>
      <c r="I729" s="448">
        <v>338</v>
      </c>
      <c r="J729" s="41">
        <v>12328.199999999999</v>
      </c>
      <c r="K729" s="882">
        <f>+A729-D729</f>
        <v>-1</v>
      </c>
      <c r="L729" s="879">
        <f>((+B729/A729)-(E729/D729))/(B729/A729)</f>
        <v>1.0077648244089246E-3</v>
      </c>
    </row>
    <row r="730" spans="1:12" x14ac:dyDescent="0.3">
      <c r="A730" s="875"/>
      <c r="B730" s="881"/>
      <c r="C730" s="881"/>
      <c r="D730" s="881"/>
      <c r="E730" s="881"/>
      <c r="F730" s="443" t="s">
        <v>5607</v>
      </c>
      <c r="G730" s="443">
        <v>102841</v>
      </c>
      <c r="H730" s="50"/>
      <c r="I730" s="50">
        <v>1524</v>
      </c>
      <c r="J730" s="51">
        <v>55971.1</v>
      </c>
      <c r="K730" s="883"/>
      <c r="L730" s="885"/>
    </row>
    <row r="731" spans="1:12" ht="15" thickBot="1" x14ac:dyDescent="0.35">
      <c r="A731" s="872"/>
      <c r="B731" s="874"/>
      <c r="C731" s="874"/>
      <c r="D731" s="874"/>
      <c r="E731" s="874"/>
      <c r="F731" s="444" t="s">
        <v>5607</v>
      </c>
      <c r="G731" s="444">
        <v>102841</v>
      </c>
      <c r="H731" s="450"/>
      <c r="I731" s="449">
        <v>600</v>
      </c>
      <c r="J731" s="44">
        <v>21870.399999999998</v>
      </c>
      <c r="K731" s="884"/>
      <c r="L731" s="880"/>
    </row>
    <row r="732" spans="1:12" x14ac:dyDescent="0.3">
      <c r="A732" s="871">
        <v>2625</v>
      </c>
      <c r="B732" s="873">
        <v>114572.3</v>
      </c>
      <c r="C732" s="873" t="s">
        <v>5608</v>
      </c>
      <c r="D732" s="873">
        <v>2625</v>
      </c>
      <c r="E732" s="873">
        <v>111810.8</v>
      </c>
      <c r="F732" s="442" t="s">
        <v>5609</v>
      </c>
      <c r="G732" s="442">
        <v>102851</v>
      </c>
      <c r="H732" s="40"/>
      <c r="I732" s="448">
        <v>1760</v>
      </c>
      <c r="J732" s="41">
        <v>75581.600000000006</v>
      </c>
      <c r="K732" s="877">
        <f t="shared" ref="K732" si="215">+A732-D732</f>
        <v>0</v>
      </c>
      <c r="L732" s="879">
        <f t="shared" ref="L732" si="216">((+B732/A732)-(E732/D732))/(B732/A732)</f>
        <v>2.410268450576622E-2</v>
      </c>
    </row>
    <row r="733" spans="1:12" ht="15" thickBot="1" x14ac:dyDescent="0.35">
      <c r="A733" s="872"/>
      <c r="B733" s="874"/>
      <c r="C733" s="874"/>
      <c r="D733" s="874"/>
      <c r="E733" s="874"/>
      <c r="F733" s="444" t="s">
        <v>5609</v>
      </c>
      <c r="G733" s="444">
        <v>102851</v>
      </c>
      <c r="H733" s="450"/>
      <c r="I733" s="449">
        <v>645</v>
      </c>
      <c r="J733" s="44">
        <v>27080.5</v>
      </c>
      <c r="K733" s="878"/>
      <c r="L733" s="880"/>
    </row>
    <row r="734" spans="1:12" x14ac:dyDescent="0.3">
      <c r="A734" s="871">
        <v>1992</v>
      </c>
      <c r="B734" s="873">
        <v>93054.5</v>
      </c>
      <c r="C734" s="873" t="s">
        <v>5721</v>
      </c>
      <c r="D734" s="873">
        <f>+I734+I735+I736</f>
        <v>1892</v>
      </c>
      <c r="E734" s="873">
        <f>+J734+J735+J736</f>
        <v>89253.4</v>
      </c>
      <c r="F734" s="458" t="s">
        <v>5722</v>
      </c>
      <c r="G734" s="458">
        <v>102911</v>
      </c>
      <c r="H734" s="40"/>
      <c r="I734" s="465">
        <v>880</v>
      </c>
      <c r="J734" s="41">
        <v>41046.6</v>
      </c>
      <c r="K734" s="882">
        <f>+A734-D734</f>
        <v>100</v>
      </c>
      <c r="L734" s="879">
        <f>((+B734/A734)-(E734/D734))/(B734/A734)</f>
        <v>-9.8470267208091815E-3</v>
      </c>
    </row>
    <row r="735" spans="1:12" x14ac:dyDescent="0.3">
      <c r="A735" s="875"/>
      <c r="B735" s="881"/>
      <c r="C735" s="881"/>
      <c r="D735" s="881"/>
      <c r="E735" s="881"/>
      <c r="F735" s="459" t="s">
        <v>5633</v>
      </c>
      <c r="G735" s="459">
        <v>102921</v>
      </c>
      <c r="I735" s="50">
        <v>660</v>
      </c>
      <c r="J735" s="51">
        <v>32199.599999999999</v>
      </c>
      <c r="K735" s="883"/>
      <c r="L735" s="885"/>
    </row>
    <row r="736" spans="1:12" ht="15" thickBot="1" x14ac:dyDescent="0.35">
      <c r="A736" s="872"/>
      <c r="B736" s="874"/>
      <c r="C736" s="874"/>
      <c r="D736" s="874"/>
      <c r="E736" s="874"/>
      <c r="F736" s="461" t="s">
        <v>5633</v>
      </c>
      <c r="G736" s="461">
        <v>102922</v>
      </c>
      <c r="H736" s="467"/>
      <c r="I736" s="466">
        <v>352</v>
      </c>
      <c r="J736" s="44">
        <v>16007.2</v>
      </c>
      <c r="K736" s="884"/>
      <c r="L736" s="880"/>
    </row>
    <row r="737" spans="1:12" x14ac:dyDescent="0.3">
      <c r="A737" s="871">
        <v>1760</v>
      </c>
      <c r="B737" s="873">
        <v>75886.7</v>
      </c>
      <c r="C737" s="873" t="s">
        <v>5723</v>
      </c>
      <c r="D737" s="881">
        <f>+I737+I738</f>
        <v>1760</v>
      </c>
      <c r="E737" s="881">
        <f>+J737+J738</f>
        <v>74634.5</v>
      </c>
      <c r="F737" s="459" t="s">
        <v>5724</v>
      </c>
      <c r="G737" s="459">
        <v>102971</v>
      </c>
      <c r="I737" s="50">
        <v>322</v>
      </c>
      <c r="J737" s="51">
        <v>13718.400000000001</v>
      </c>
      <c r="K737" s="877">
        <f t="shared" ref="K737" si="217">+A737-D737</f>
        <v>0</v>
      </c>
      <c r="L737" s="879">
        <f t="shared" ref="L737" si="218">((+B737/A737)-(E737/D737))/(B737/A737)</f>
        <v>1.6500915180130367E-2</v>
      </c>
    </row>
    <row r="738" spans="1:12" ht="15" thickBot="1" x14ac:dyDescent="0.35">
      <c r="A738" s="872"/>
      <c r="B738" s="874"/>
      <c r="C738" s="874"/>
      <c r="D738" s="874"/>
      <c r="E738" s="874"/>
      <c r="F738" s="461" t="s">
        <v>5724</v>
      </c>
      <c r="G738" s="461">
        <v>102972</v>
      </c>
      <c r="H738" s="467"/>
      <c r="I738" s="466">
        <v>1438</v>
      </c>
      <c r="J738" s="44">
        <v>60916.100000000006</v>
      </c>
      <c r="K738" s="878"/>
      <c r="L738" s="880"/>
    </row>
    <row r="739" spans="1:12" x14ac:dyDescent="0.3">
      <c r="A739" s="871">
        <v>1843</v>
      </c>
      <c r="B739" s="873">
        <v>67882.75</v>
      </c>
      <c r="C739" s="873" t="s">
        <v>5725</v>
      </c>
      <c r="D739" s="873">
        <f>+I739+I740</f>
        <v>1843</v>
      </c>
      <c r="E739" s="873">
        <f>+J739+J740</f>
        <v>67517.7</v>
      </c>
      <c r="F739" s="458" t="s">
        <v>5726</v>
      </c>
      <c r="G739" s="458">
        <v>102981</v>
      </c>
      <c r="H739" s="465"/>
      <c r="I739" s="465">
        <v>200</v>
      </c>
      <c r="J739" s="41">
        <v>7454.4</v>
      </c>
      <c r="K739" s="877">
        <f t="shared" ref="K739" si="219">+A739-D739</f>
        <v>0</v>
      </c>
      <c r="L739" s="879">
        <f t="shared" ref="L739" si="220">((+B739/A739)-(E739/D739))/(B739/A739)</f>
        <v>5.3776548534053429E-3</v>
      </c>
    </row>
    <row r="740" spans="1:12" ht="15" thickBot="1" x14ac:dyDescent="0.35">
      <c r="A740" s="872"/>
      <c r="B740" s="874"/>
      <c r="C740" s="874"/>
      <c r="D740" s="874"/>
      <c r="E740" s="874"/>
      <c r="F740" s="461" t="s">
        <v>5726</v>
      </c>
      <c r="G740" s="461">
        <v>102981</v>
      </c>
      <c r="H740" s="466"/>
      <c r="I740" s="466">
        <v>1643</v>
      </c>
      <c r="J740" s="44">
        <v>60063.299999999996</v>
      </c>
      <c r="K740" s="878"/>
      <c r="L740" s="880"/>
    </row>
    <row r="741" spans="1:12" x14ac:dyDescent="0.3">
      <c r="A741" s="871">
        <v>3080</v>
      </c>
      <c r="B741" s="873">
        <v>123156.61</v>
      </c>
      <c r="C741" s="873" t="s">
        <v>5727</v>
      </c>
      <c r="D741" s="873">
        <f>+I741+I742+I743</f>
        <v>3080</v>
      </c>
      <c r="E741" s="873">
        <f>+J741+J742+J743</f>
        <v>121517.90000000001</v>
      </c>
      <c r="F741" s="458" t="s">
        <v>5728</v>
      </c>
      <c r="G741" s="458">
        <v>103071</v>
      </c>
      <c r="H741" s="465"/>
      <c r="I741" s="465">
        <v>1100</v>
      </c>
      <c r="J741" s="41">
        <v>43127.100000000006</v>
      </c>
      <c r="K741" s="882">
        <f>+A741-D741</f>
        <v>0</v>
      </c>
      <c r="L741" s="879">
        <f>((+B741/A741)-(E741/D741))/(B741/A741)</f>
        <v>1.3305903759448984E-2</v>
      </c>
    </row>
    <row r="742" spans="1:12" x14ac:dyDescent="0.3">
      <c r="A742" s="875"/>
      <c r="B742" s="881"/>
      <c r="C742" s="881"/>
      <c r="D742" s="881"/>
      <c r="E742" s="881"/>
      <c r="F742" s="459" t="s">
        <v>5728</v>
      </c>
      <c r="G742" s="459">
        <v>103071</v>
      </c>
      <c r="H742" s="50"/>
      <c r="I742" s="50">
        <v>440</v>
      </c>
      <c r="J742" s="51">
        <v>17463.7</v>
      </c>
      <c r="K742" s="883"/>
      <c r="L742" s="885"/>
    </row>
    <row r="743" spans="1:12" ht="15" thickBot="1" x14ac:dyDescent="0.35">
      <c r="A743" s="872"/>
      <c r="B743" s="874"/>
      <c r="C743" s="874"/>
      <c r="D743" s="874"/>
      <c r="E743" s="874"/>
      <c r="F743" s="461" t="s">
        <v>5728</v>
      </c>
      <c r="G743" s="461">
        <v>103072</v>
      </c>
      <c r="H743" s="466"/>
      <c r="I743" s="466">
        <v>1540</v>
      </c>
      <c r="J743" s="44">
        <v>60927.100000000006</v>
      </c>
      <c r="K743" s="884"/>
      <c r="L743" s="880"/>
    </row>
    <row r="744" spans="1:12" ht="15" thickBot="1" x14ac:dyDescent="0.35">
      <c r="A744" s="175">
        <v>1139</v>
      </c>
      <c r="B744" s="8">
        <v>51680</v>
      </c>
      <c r="C744" s="8" t="s">
        <v>5729</v>
      </c>
      <c r="D744" s="8">
        <f>+I744+44</f>
        <v>1139</v>
      </c>
      <c r="E744" s="8">
        <f>+J744+2021.4</f>
        <v>52228.1</v>
      </c>
      <c r="F744" s="8" t="s">
        <v>5730</v>
      </c>
      <c r="G744" s="8">
        <v>103141</v>
      </c>
      <c r="H744" s="45"/>
      <c r="I744" s="45">
        <v>1095</v>
      </c>
      <c r="J744" s="46">
        <v>50206.7</v>
      </c>
      <c r="K744" s="54">
        <f t="shared" ref="K744" si="221">+A744-D744</f>
        <v>0</v>
      </c>
      <c r="L744" s="53">
        <f t="shared" ref="L744" si="222">((+B744/A744)-(E744/D744))/(B744/A744)</f>
        <v>-1.0605650154798616E-2</v>
      </c>
    </row>
    <row r="745" spans="1:12" ht="15" thickBot="1" x14ac:dyDescent="0.35">
      <c r="A745" s="175">
        <v>42</v>
      </c>
      <c r="B745" s="8">
        <v>1979.5</v>
      </c>
      <c r="C745" s="471" t="s">
        <v>5837</v>
      </c>
      <c r="D745" s="471">
        <v>42</v>
      </c>
      <c r="E745" s="471">
        <v>1938.5</v>
      </c>
      <c r="F745" s="471" t="s">
        <v>5838</v>
      </c>
      <c r="G745" s="471">
        <v>103151</v>
      </c>
      <c r="H745" s="364"/>
      <c r="I745" s="364"/>
      <c r="J745" s="51"/>
      <c r="K745" s="54">
        <f t="shared" ref="K745" si="223">+A745-D745</f>
        <v>0</v>
      </c>
      <c r="L745" s="53">
        <f t="shared" ref="L745" si="224">((+B745/A745)-(E745/D745))/(B745/A745)</f>
        <v>2.0712301086132826E-2</v>
      </c>
    </row>
    <row r="746" spans="1:12" ht="15" thickBot="1" x14ac:dyDescent="0.35">
      <c r="A746" s="175">
        <v>880</v>
      </c>
      <c r="B746" s="8">
        <v>37250.199999999997</v>
      </c>
      <c r="C746" s="8" t="s">
        <v>5731</v>
      </c>
      <c r="D746" s="8">
        <f>+I746</f>
        <v>880</v>
      </c>
      <c r="E746" s="8">
        <f>+J746</f>
        <v>36390.100000000006</v>
      </c>
      <c r="F746" s="8" t="s">
        <v>5732</v>
      </c>
      <c r="G746" s="9">
        <v>103161</v>
      </c>
      <c r="I746" s="50">
        <v>880</v>
      </c>
      <c r="J746" s="51">
        <v>36390.100000000006</v>
      </c>
      <c r="K746" s="54">
        <f t="shared" ref="K746" si="225">+A746-D746</f>
        <v>0</v>
      </c>
      <c r="L746" s="53">
        <f t="shared" ref="L746" si="226">((+B746/A746)-(E746/D746))/(B746/A746)</f>
        <v>2.308980891377746E-2</v>
      </c>
    </row>
    <row r="747" spans="1:12" x14ac:dyDescent="0.3">
      <c r="A747" s="871">
        <v>2200</v>
      </c>
      <c r="B747" s="873">
        <v>92295.5</v>
      </c>
      <c r="C747" s="873" t="s">
        <v>5733</v>
      </c>
      <c r="D747" s="873">
        <f>+I747+I748+I749+660</f>
        <v>2200</v>
      </c>
      <c r="E747" s="873">
        <f>+J747+J748+J749+27190.1</f>
        <v>90193.4</v>
      </c>
      <c r="F747" s="458" t="s">
        <v>5734</v>
      </c>
      <c r="G747" s="458">
        <v>103171</v>
      </c>
      <c r="H747" s="465"/>
      <c r="I747" s="465">
        <v>880</v>
      </c>
      <c r="J747" s="41">
        <v>36001.5</v>
      </c>
      <c r="K747" s="882">
        <f>+A747-D747</f>
        <v>0</v>
      </c>
      <c r="L747" s="879">
        <f>((+B747/A747)-(E747/D747))/(B747/A747)</f>
        <v>2.2775758298075221E-2</v>
      </c>
    </row>
    <row r="748" spans="1:12" x14ac:dyDescent="0.3">
      <c r="A748" s="875"/>
      <c r="B748" s="881"/>
      <c r="C748" s="881"/>
      <c r="D748" s="881"/>
      <c r="E748" s="881"/>
      <c r="F748" s="459" t="s">
        <v>5734</v>
      </c>
      <c r="G748" s="459">
        <v>103171</v>
      </c>
      <c r="H748" s="50"/>
      <c r="I748" s="50">
        <v>220</v>
      </c>
      <c r="J748" s="51">
        <v>9531.2000000000007</v>
      </c>
      <c r="K748" s="883"/>
      <c r="L748" s="885"/>
    </row>
    <row r="749" spans="1:12" ht="15" thickBot="1" x14ac:dyDescent="0.35">
      <c r="A749" s="872"/>
      <c r="B749" s="874"/>
      <c r="C749" s="881"/>
      <c r="D749" s="881"/>
      <c r="E749" s="881"/>
      <c r="F749" s="459" t="s">
        <v>5734</v>
      </c>
      <c r="G749" s="459">
        <v>103172</v>
      </c>
      <c r="H749" s="50"/>
      <c r="I749" s="50">
        <v>440</v>
      </c>
      <c r="J749" s="51">
        <v>17470.599999999999</v>
      </c>
      <c r="K749" s="884"/>
      <c r="L749" s="880"/>
    </row>
    <row r="750" spans="1:12" ht="15" thickBot="1" x14ac:dyDescent="0.35">
      <c r="A750" s="175">
        <v>1980</v>
      </c>
      <c r="B750" s="8">
        <v>81604.2</v>
      </c>
      <c r="C750" s="8" t="s">
        <v>5735</v>
      </c>
      <c r="D750" s="8">
        <f>+I750+1295+660+12</f>
        <v>1979</v>
      </c>
      <c r="E750" s="8">
        <f>+J750+54317.5+24744.2+457.8</f>
        <v>80004.400000000009</v>
      </c>
      <c r="F750" s="8" t="s">
        <v>5736</v>
      </c>
      <c r="G750" s="9">
        <v>103271</v>
      </c>
      <c r="H750" s="40"/>
      <c r="I750" s="465">
        <v>12</v>
      </c>
      <c r="J750" s="41">
        <v>484.9</v>
      </c>
      <c r="K750" s="54">
        <f t="shared" ref="K750" si="227">+A750-D750</f>
        <v>1</v>
      </c>
      <c r="L750" s="53">
        <f t="shared" ref="L750" si="228">((+B750/A750)-(E750/D750))/(B750/A750)</f>
        <v>1.9108983604501934E-2</v>
      </c>
    </row>
    <row r="751" spans="1:12" ht="15" thickBot="1" x14ac:dyDescent="0.35">
      <c r="A751" s="175">
        <v>647</v>
      </c>
      <c r="B751" s="8">
        <v>26410</v>
      </c>
      <c r="C751" s="8" t="s">
        <v>5835</v>
      </c>
      <c r="D751" s="8">
        <f>501+146</f>
        <v>647</v>
      </c>
      <c r="E751" s="8">
        <f>19916.9+5516.1</f>
        <v>25433</v>
      </c>
      <c r="F751" s="8" t="s">
        <v>5836</v>
      </c>
      <c r="G751" s="9">
        <v>103291</v>
      </c>
      <c r="H751" s="363"/>
      <c r="I751" s="364"/>
      <c r="J751" s="364"/>
      <c r="K751" s="54">
        <f t="shared" ref="K751:K752" si="229">+A751-D751</f>
        <v>0</v>
      </c>
      <c r="L751" s="53">
        <f t="shared" ref="L751:L752" si="230">((+B751/A751)-(E751/D751))/(B751/A751)</f>
        <v>3.6993563044301382E-2</v>
      </c>
    </row>
    <row r="752" spans="1:12" x14ac:dyDescent="0.3">
      <c r="A752" s="871">
        <v>1540</v>
      </c>
      <c r="B752" s="873">
        <v>63340.5</v>
      </c>
      <c r="C752" s="873" t="s">
        <v>5851</v>
      </c>
      <c r="D752" s="873">
        <f>+I752+I753</f>
        <v>1538</v>
      </c>
      <c r="E752" s="873">
        <f>+J752+J753</f>
        <v>62037.2</v>
      </c>
      <c r="F752" s="480" t="s">
        <v>5852</v>
      </c>
      <c r="G752" s="480">
        <v>103331</v>
      </c>
      <c r="H752" s="40"/>
      <c r="I752" s="487">
        <v>1514</v>
      </c>
      <c r="J752" s="41">
        <v>61123.5</v>
      </c>
      <c r="K752" s="877">
        <f t="shared" si="229"/>
        <v>2</v>
      </c>
      <c r="L752" s="879">
        <f t="shared" si="230"/>
        <v>1.9302459535865214E-2</v>
      </c>
    </row>
    <row r="753" spans="1:12" ht="15" thickBot="1" x14ac:dyDescent="0.35">
      <c r="A753" s="872"/>
      <c r="B753" s="874"/>
      <c r="C753" s="874"/>
      <c r="D753" s="874"/>
      <c r="E753" s="874"/>
      <c r="F753" s="481" t="s">
        <v>5852</v>
      </c>
      <c r="G753" s="481">
        <v>103331</v>
      </c>
      <c r="H753" s="491"/>
      <c r="I753" s="488">
        <v>24</v>
      </c>
      <c r="J753" s="44">
        <v>913.7</v>
      </c>
      <c r="K753" s="878"/>
      <c r="L753" s="880"/>
    </row>
    <row r="754" spans="1:12" ht="15" thickBot="1" x14ac:dyDescent="0.35">
      <c r="A754" s="479">
        <v>440</v>
      </c>
      <c r="B754" s="481">
        <v>17453.599999999999</v>
      </c>
      <c r="C754" s="481" t="s">
        <v>5853</v>
      </c>
      <c r="D754" s="481">
        <f t="shared" ref="D754:E756" si="231">+I754</f>
        <v>440</v>
      </c>
      <c r="E754" s="481">
        <f t="shared" si="231"/>
        <v>16853.900000000001</v>
      </c>
      <c r="F754" s="481" t="s">
        <v>5854</v>
      </c>
      <c r="G754" s="481">
        <v>103351</v>
      </c>
      <c r="H754" s="491"/>
      <c r="I754" s="488">
        <v>440</v>
      </c>
      <c r="J754" s="44">
        <v>16853.900000000001</v>
      </c>
      <c r="K754" s="54">
        <f t="shared" ref="K754:K756" si="232">+A754-D754</f>
        <v>0</v>
      </c>
      <c r="L754" s="53">
        <f t="shared" ref="L754:L756" si="233">((+B754/A754)-(E754/D754))/(B754/A754)</f>
        <v>3.4359673648989238E-2</v>
      </c>
    </row>
    <row r="755" spans="1:12" ht="15" thickBot="1" x14ac:dyDescent="0.35">
      <c r="A755" s="479">
        <v>1507</v>
      </c>
      <c r="B755" s="481">
        <v>63949.1</v>
      </c>
      <c r="C755" s="481" t="s">
        <v>5855</v>
      </c>
      <c r="D755" s="481">
        <f t="shared" si="231"/>
        <v>1507</v>
      </c>
      <c r="E755" s="481">
        <f t="shared" si="231"/>
        <v>62066.500000000015</v>
      </c>
      <c r="F755" s="481" t="s">
        <v>5856</v>
      </c>
      <c r="G755" s="481">
        <v>103361</v>
      </c>
      <c r="H755" s="491"/>
      <c r="I755" s="488">
        <v>1507</v>
      </c>
      <c r="J755" s="44">
        <v>62066.500000000015</v>
      </c>
      <c r="K755" s="54">
        <f t="shared" si="232"/>
        <v>0</v>
      </c>
      <c r="L755" s="53">
        <f t="shared" si="233"/>
        <v>2.9439038235096034E-2</v>
      </c>
    </row>
    <row r="756" spans="1:12" ht="15" thickBot="1" x14ac:dyDescent="0.35">
      <c r="A756" s="175">
        <v>954</v>
      </c>
      <c r="B756" s="8">
        <v>33472.75</v>
      </c>
      <c r="C756" s="8" t="s">
        <v>5857</v>
      </c>
      <c r="D756" s="481">
        <f t="shared" si="231"/>
        <v>956</v>
      </c>
      <c r="E756" s="481">
        <f t="shared" si="231"/>
        <v>32905.5</v>
      </c>
      <c r="F756" s="8" t="s">
        <v>5858</v>
      </c>
      <c r="G756" s="8">
        <v>103431</v>
      </c>
      <c r="H756" s="45"/>
      <c r="I756" s="45">
        <v>956</v>
      </c>
      <c r="J756" s="46">
        <v>32905.5</v>
      </c>
      <c r="K756" s="54">
        <f t="shared" si="232"/>
        <v>-2</v>
      </c>
      <c r="L756" s="53">
        <f t="shared" si="233"/>
        <v>1.9003217786378375E-2</v>
      </c>
    </row>
    <row r="757" spans="1:12" x14ac:dyDescent="0.3">
      <c r="A757" s="871">
        <v>1200</v>
      </c>
      <c r="B757" s="873">
        <v>41874.75</v>
      </c>
      <c r="C757" s="873" t="s">
        <v>5859</v>
      </c>
      <c r="D757" s="873">
        <f>+I757+I758</f>
        <v>1200</v>
      </c>
      <c r="E757" s="873">
        <f>+J757+J758</f>
        <v>41041.600000000006</v>
      </c>
      <c r="F757" s="480" t="s">
        <v>5860</v>
      </c>
      <c r="G757" s="480">
        <v>103441</v>
      </c>
      <c r="H757" s="40"/>
      <c r="I757" s="487">
        <v>900</v>
      </c>
      <c r="J757" s="41">
        <v>30647.4</v>
      </c>
      <c r="K757" s="877">
        <f t="shared" ref="K757" si="234">+A757-D757</f>
        <v>0</v>
      </c>
      <c r="L757" s="879">
        <f t="shared" ref="L757" si="235">((+B757/A757)-(E757/D757))/(B757/A757)</f>
        <v>1.9896238186496579E-2</v>
      </c>
    </row>
    <row r="758" spans="1:12" ht="15" thickBot="1" x14ac:dyDescent="0.35">
      <c r="A758" s="872"/>
      <c r="B758" s="874"/>
      <c r="C758" s="874"/>
      <c r="D758" s="874"/>
      <c r="E758" s="874"/>
      <c r="F758" s="481" t="s">
        <v>5860</v>
      </c>
      <c r="G758" s="481">
        <v>103441</v>
      </c>
      <c r="H758" s="491"/>
      <c r="I758" s="488">
        <v>300</v>
      </c>
      <c r="J758" s="44">
        <v>10394.200000000001</v>
      </c>
      <c r="K758" s="878"/>
      <c r="L758" s="880"/>
    </row>
    <row r="759" spans="1:12" ht="15" thickBot="1" x14ac:dyDescent="0.35">
      <c r="A759" s="478">
        <v>529</v>
      </c>
      <c r="B759" s="480">
        <v>26538</v>
      </c>
      <c r="C759" s="480" t="s">
        <v>5861</v>
      </c>
      <c r="D759" s="483">
        <f t="shared" ref="D759:E759" si="236">+I759</f>
        <v>529</v>
      </c>
      <c r="E759" s="483">
        <f t="shared" si="236"/>
        <v>25669.1</v>
      </c>
      <c r="F759" s="480" t="s">
        <v>5862</v>
      </c>
      <c r="G759" s="480">
        <v>103521</v>
      </c>
      <c r="H759" s="40"/>
      <c r="I759" s="487">
        <v>529</v>
      </c>
      <c r="J759" s="41">
        <v>25669.1</v>
      </c>
      <c r="K759" s="54">
        <f t="shared" ref="K759" si="237">+A759-D759</f>
        <v>0</v>
      </c>
      <c r="L759" s="53">
        <f t="shared" ref="L759" si="238">((+B759/A759)-(E759/D759))/(B759/A759)</f>
        <v>3.2741728841661127E-2</v>
      </c>
    </row>
    <row r="760" spans="1:12" x14ac:dyDescent="0.3">
      <c r="A760" s="871">
        <v>1369</v>
      </c>
      <c r="B760" s="873">
        <v>67808.399999999994</v>
      </c>
      <c r="C760" s="873" t="s">
        <v>5863</v>
      </c>
      <c r="D760" s="873">
        <f>+I760+I761</f>
        <v>1372</v>
      </c>
      <c r="E760" s="873">
        <f>+J760+J761</f>
        <v>66524.400000000009</v>
      </c>
      <c r="F760" s="480" t="s">
        <v>5864</v>
      </c>
      <c r="G760" s="480">
        <v>103521</v>
      </c>
      <c r="H760" s="40"/>
      <c r="I760" s="487">
        <v>469</v>
      </c>
      <c r="J760" s="41">
        <v>23180.300000000003</v>
      </c>
      <c r="K760" s="877">
        <f t="shared" ref="K760" si="239">+A760-D760</f>
        <v>-3</v>
      </c>
      <c r="L760" s="879">
        <f t="shared" ref="L760" si="240">((+B760/A760)-(E760/D760))/(B760/A760)</f>
        <v>2.1080891394502418E-2</v>
      </c>
    </row>
    <row r="761" spans="1:12" ht="15" thickBot="1" x14ac:dyDescent="0.35">
      <c r="A761" s="875"/>
      <c r="B761" s="881"/>
      <c r="C761" s="881"/>
      <c r="D761" s="881"/>
      <c r="E761" s="881"/>
      <c r="F761" s="483" t="s">
        <v>5864</v>
      </c>
      <c r="G761" s="483">
        <v>103521</v>
      </c>
      <c r="I761" s="50">
        <v>903</v>
      </c>
      <c r="J761" s="51">
        <v>43344.100000000006</v>
      </c>
      <c r="K761" s="878"/>
      <c r="L761" s="880"/>
    </row>
    <row r="762" spans="1:12" x14ac:dyDescent="0.3">
      <c r="A762" s="871">
        <v>2640</v>
      </c>
      <c r="B762" s="873">
        <v>105627.9</v>
      </c>
      <c r="C762" s="873" t="s">
        <v>5865</v>
      </c>
      <c r="D762" s="873">
        <f>+I762+I763+I764</f>
        <v>2640</v>
      </c>
      <c r="E762" s="873">
        <f>+J762+J763+J764</f>
        <v>103338.8</v>
      </c>
      <c r="F762" s="480" t="s">
        <v>5866</v>
      </c>
      <c r="G762" s="480">
        <v>103581</v>
      </c>
      <c r="H762" s="40"/>
      <c r="I762" s="487">
        <v>1178</v>
      </c>
      <c r="J762" s="41">
        <v>46016.9</v>
      </c>
      <c r="K762" s="882">
        <f>+A762-D762</f>
        <v>0</v>
      </c>
      <c r="L762" s="879">
        <f>((+B762/A762)-(E762/D762))/(B762/A762)</f>
        <v>2.1671357662132653E-2</v>
      </c>
    </row>
    <row r="763" spans="1:12" x14ac:dyDescent="0.3">
      <c r="A763" s="875"/>
      <c r="B763" s="881"/>
      <c r="C763" s="881"/>
      <c r="D763" s="881"/>
      <c r="E763" s="881"/>
      <c r="F763" s="483" t="s">
        <v>5866</v>
      </c>
      <c r="G763" s="483">
        <v>103581</v>
      </c>
      <c r="I763" s="50">
        <v>142</v>
      </c>
      <c r="J763" s="51">
        <v>5518.7</v>
      </c>
      <c r="K763" s="883"/>
      <c r="L763" s="885"/>
    </row>
    <row r="764" spans="1:12" ht="15" thickBot="1" x14ac:dyDescent="0.35">
      <c r="A764" s="872"/>
      <c r="B764" s="874"/>
      <c r="C764" s="874"/>
      <c r="D764" s="874"/>
      <c r="E764" s="874"/>
      <c r="F764" s="481" t="s">
        <v>5866</v>
      </c>
      <c r="G764" s="481">
        <v>103582</v>
      </c>
      <c r="H764" s="491"/>
      <c r="I764" s="488">
        <v>1320</v>
      </c>
      <c r="J764" s="44">
        <v>51803.200000000004</v>
      </c>
      <c r="K764" s="884"/>
      <c r="L764" s="880"/>
    </row>
    <row r="765" spans="1:12" ht="15" thickBot="1" x14ac:dyDescent="0.35">
      <c r="A765" s="175">
        <v>440</v>
      </c>
      <c r="B765" s="8">
        <v>19578.25</v>
      </c>
      <c r="C765" s="8" t="s">
        <v>5867</v>
      </c>
      <c r="D765" s="8">
        <f>+I765</f>
        <v>440</v>
      </c>
      <c r="E765" s="8">
        <f>+J765</f>
        <v>19741.8</v>
      </c>
      <c r="F765" s="8" t="s">
        <v>5868</v>
      </c>
      <c r="G765" s="8">
        <v>103591</v>
      </c>
      <c r="H765" s="14"/>
      <c r="I765" s="45">
        <v>440</v>
      </c>
      <c r="J765" s="46">
        <v>19741.8</v>
      </c>
      <c r="K765" s="54">
        <f t="shared" ref="K765" si="241">+A765-D765</f>
        <v>0</v>
      </c>
      <c r="L765" s="53">
        <f t="shared" ref="L765" si="242">((+B765/A765)-(E765/D765))/(B765/A765)</f>
        <v>-8.3536577579712869E-3</v>
      </c>
    </row>
    <row r="766" spans="1:12" ht="15" thickBot="1" x14ac:dyDescent="0.35">
      <c r="A766" s="175">
        <v>93</v>
      </c>
      <c r="B766" s="8">
        <v>5059.25</v>
      </c>
      <c r="C766" s="8" t="s">
        <v>5993</v>
      </c>
      <c r="D766" s="8">
        <f>+I766</f>
        <v>93</v>
      </c>
      <c r="E766" s="8">
        <f>+J766</f>
        <v>4975.6000000000004</v>
      </c>
      <c r="F766" s="8" t="s">
        <v>5994</v>
      </c>
      <c r="G766" s="8">
        <v>103641</v>
      </c>
      <c r="H766" s="14"/>
      <c r="I766" s="45">
        <v>93</v>
      </c>
      <c r="J766" s="46">
        <v>4975.6000000000004</v>
      </c>
      <c r="K766" s="54">
        <f t="shared" ref="K766" si="243">+A766-D766</f>
        <v>0</v>
      </c>
      <c r="L766" s="53">
        <f t="shared" ref="L766" si="244">((+B766/A766)-(E766/D766))/(B766/A766)</f>
        <v>1.6534071255620744E-2</v>
      </c>
    </row>
    <row r="767" spans="1:12" x14ac:dyDescent="0.3">
      <c r="A767" s="871">
        <v>2298</v>
      </c>
      <c r="B767" s="873">
        <v>91928</v>
      </c>
      <c r="C767" s="873" t="s">
        <v>5995</v>
      </c>
      <c r="D767" s="873">
        <f>+I767+I768+I769+I770</f>
        <v>2298</v>
      </c>
      <c r="E767" s="873">
        <f>+J767+J768+J769+J770</f>
        <v>90571.9</v>
      </c>
      <c r="F767" s="495" t="s">
        <v>5996</v>
      </c>
      <c r="G767" s="495">
        <v>103651</v>
      </c>
      <c r="H767" s="40"/>
      <c r="I767" s="502">
        <v>880</v>
      </c>
      <c r="J767" s="41">
        <v>34363.1</v>
      </c>
      <c r="K767" s="877">
        <f>+A767-D767</f>
        <v>0</v>
      </c>
      <c r="L767" s="879">
        <f>((+B767/A767)-(E767/D767))/(B767/A767)</f>
        <v>1.4751762248716311E-2</v>
      </c>
    </row>
    <row r="768" spans="1:12" x14ac:dyDescent="0.3">
      <c r="A768" s="875"/>
      <c r="B768" s="881"/>
      <c r="C768" s="881"/>
      <c r="D768" s="881"/>
      <c r="E768" s="881"/>
      <c r="F768" s="496" t="s">
        <v>5996</v>
      </c>
      <c r="G768" s="496">
        <v>103651</v>
      </c>
      <c r="I768" s="50">
        <v>440</v>
      </c>
      <c r="J768" s="51">
        <v>17482.2</v>
      </c>
      <c r="K768" s="886"/>
      <c r="L768" s="885"/>
    </row>
    <row r="769" spans="1:12" x14ac:dyDescent="0.3">
      <c r="A769" s="875"/>
      <c r="B769" s="881"/>
      <c r="C769" s="881"/>
      <c r="D769" s="881"/>
      <c r="E769" s="881"/>
      <c r="F769" s="496" t="s">
        <v>5996</v>
      </c>
      <c r="G769" s="496">
        <v>103652</v>
      </c>
      <c r="I769" s="50">
        <v>880</v>
      </c>
      <c r="J769" s="51">
        <v>34635.1</v>
      </c>
      <c r="K769" s="886"/>
      <c r="L769" s="885"/>
    </row>
    <row r="770" spans="1:12" ht="15" thickBot="1" x14ac:dyDescent="0.35">
      <c r="A770" s="875"/>
      <c r="B770" s="881"/>
      <c r="C770" s="881"/>
      <c r="D770" s="881"/>
      <c r="E770" s="881"/>
      <c r="F770" s="496" t="s">
        <v>5996</v>
      </c>
      <c r="G770" s="496">
        <v>103652</v>
      </c>
      <c r="I770" s="50">
        <v>98</v>
      </c>
      <c r="J770" s="51">
        <v>4091.5</v>
      </c>
      <c r="K770" s="878"/>
      <c r="L770" s="880"/>
    </row>
    <row r="771" spans="1:12" x14ac:dyDescent="0.3">
      <c r="A771" s="871">
        <v>1395</v>
      </c>
      <c r="B771" s="873">
        <v>57165.3</v>
      </c>
      <c r="C771" s="873" t="s">
        <v>5997</v>
      </c>
      <c r="D771" s="873">
        <f>+I771+I772+I773</f>
        <v>1395</v>
      </c>
      <c r="E771" s="873">
        <f>+J771+J772+J773</f>
        <v>56081.700000000004</v>
      </c>
      <c r="F771" s="495" t="s">
        <v>5998</v>
      </c>
      <c r="G771" s="495">
        <v>103661</v>
      </c>
      <c r="H771" s="40"/>
      <c r="I771" s="502">
        <v>660</v>
      </c>
      <c r="J771" s="41">
        <v>26764.400000000001</v>
      </c>
      <c r="K771" s="882">
        <f>+A771-D771</f>
        <v>0</v>
      </c>
      <c r="L771" s="879">
        <f>((+B771/A771)-(E771/D771))/(B771/A771)</f>
        <v>1.8955555205693062E-2</v>
      </c>
    </row>
    <row r="772" spans="1:12" x14ac:dyDescent="0.3">
      <c r="A772" s="875"/>
      <c r="B772" s="881"/>
      <c r="C772" s="881"/>
      <c r="D772" s="881"/>
      <c r="E772" s="881"/>
      <c r="F772" s="496" t="s">
        <v>5998</v>
      </c>
      <c r="G772" s="496">
        <v>103661</v>
      </c>
      <c r="I772" s="50">
        <v>660</v>
      </c>
      <c r="J772" s="51">
        <v>26138.400000000001</v>
      </c>
      <c r="K772" s="883"/>
      <c r="L772" s="885"/>
    </row>
    <row r="773" spans="1:12" ht="15" thickBot="1" x14ac:dyDescent="0.35">
      <c r="A773" s="872"/>
      <c r="B773" s="874"/>
      <c r="C773" s="874"/>
      <c r="D773" s="874"/>
      <c r="E773" s="874"/>
      <c r="F773" s="497" t="s">
        <v>5998</v>
      </c>
      <c r="G773" s="497">
        <v>103361</v>
      </c>
      <c r="H773" s="504"/>
      <c r="I773" s="503">
        <v>75</v>
      </c>
      <c r="J773" s="44">
        <v>3178.9</v>
      </c>
      <c r="K773" s="884"/>
      <c r="L773" s="880"/>
    </row>
    <row r="774" spans="1:12" ht="15" thickBot="1" x14ac:dyDescent="0.35">
      <c r="A774" s="175">
        <v>95</v>
      </c>
      <c r="B774" s="8">
        <v>4218</v>
      </c>
      <c r="C774" s="8" t="s">
        <v>5999</v>
      </c>
      <c r="D774" s="8">
        <f>+I774</f>
        <v>95</v>
      </c>
      <c r="E774" s="8">
        <f>+J774</f>
        <v>4266.7</v>
      </c>
      <c r="F774" s="8" t="s">
        <v>6000</v>
      </c>
      <c r="G774" s="8">
        <v>103711</v>
      </c>
      <c r="H774" s="14"/>
      <c r="I774" s="45">
        <v>95</v>
      </c>
      <c r="J774" s="46">
        <v>4266.7</v>
      </c>
      <c r="K774" s="54">
        <f t="shared" ref="K774:K775" si="245">+A774-D774</f>
        <v>0</v>
      </c>
      <c r="L774" s="53">
        <f t="shared" ref="L774:L775" si="246">((+B774/A774)-(E774/D774))/(B774/A774)</f>
        <v>-1.1545756282598442E-2</v>
      </c>
    </row>
    <row r="775" spans="1:12" x14ac:dyDescent="0.3">
      <c r="A775" s="871">
        <v>1760</v>
      </c>
      <c r="B775" s="873">
        <v>70958</v>
      </c>
      <c r="C775" s="873" t="s">
        <v>6001</v>
      </c>
      <c r="D775" s="873">
        <f>SUM(I775:I776)</f>
        <v>1700</v>
      </c>
      <c r="E775" s="873">
        <f>SUM(J775:J776)</f>
        <v>67579</v>
      </c>
      <c r="F775" s="495" t="s">
        <v>6002</v>
      </c>
      <c r="G775" s="495">
        <v>103731</v>
      </c>
      <c r="H775" s="40"/>
      <c r="I775" s="502">
        <v>935</v>
      </c>
      <c r="J775" s="41">
        <v>37366</v>
      </c>
      <c r="K775" s="877">
        <f t="shared" si="245"/>
        <v>60</v>
      </c>
      <c r="L775" s="879">
        <f t="shared" si="246"/>
        <v>1.400629701414105E-2</v>
      </c>
    </row>
    <row r="776" spans="1:12" ht="15" thickBot="1" x14ac:dyDescent="0.35">
      <c r="A776" s="872"/>
      <c r="B776" s="874"/>
      <c r="C776" s="874"/>
      <c r="D776" s="874"/>
      <c r="E776" s="874"/>
      <c r="F776" s="497" t="s">
        <v>6002</v>
      </c>
      <c r="G776" s="497">
        <v>103731</v>
      </c>
      <c r="H776" s="504"/>
      <c r="I776" s="503">
        <v>765</v>
      </c>
      <c r="J776" s="44">
        <v>30213</v>
      </c>
      <c r="K776" s="878"/>
      <c r="L776" s="880"/>
    </row>
    <row r="777" spans="1:12" ht="15" thickBot="1" x14ac:dyDescent="0.35">
      <c r="A777" s="175">
        <v>220</v>
      </c>
      <c r="B777" s="8">
        <v>10686.75</v>
      </c>
      <c r="C777" s="8" t="s">
        <v>6003</v>
      </c>
      <c r="D777" s="8">
        <f>+I777</f>
        <v>220</v>
      </c>
      <c r="E777" s="8">
        <f>+J777</f>
        <v>10819.2</v>
      </c>
      <c r="F777" s="8" t="s">
        <v>6004</v>
      </c>
      <c r="G777" s="8">
        <v>103751</v>
      </c>
      <c r="H777" s="14"/>
      <c r="I777" s="45">
        <v>220</v>
      </c>
      <c r="J777" s="46">
        <v>10819.2</v>
      </c>
      <c r="K777" s="54">
        <f t="shared" ref="K777:K778" si="247">+A777-D777</f>
        <v>0</v>
      </c>
      <c r="L777" s="53">
        <f t="shared" ref="L777:L778" si="248">((+B777/A777)-(E777/D777))/(B777/A777)</f>
        <v>-1.2393852200154386E-2</v>
      </c>
    </row>
    <row r="778" spans="1:12" ht="15" thickBot="1" x14ac:dyDescent="0.35">
      <c r="A778" s="493">
        <v>190</v>
      </c>
      <c r="B778" s="495">
        <v>8854.75</v>
      </c>
      <c r="C778" s="495" t="s">
        <v>6005</v>
      </c>
      <c r="D778" s="8">
        <f>+I778</f>
        <v>192</v>
      </c>
      <c r="E778" s="8">
        <f>+J778</f>
        <v>8613.1</v>
      </c>
      <c r="F778" s="495" t="s">
        <v>6006</v>
      </c>
      <c r="G778" s="495">
        <v>103821</v>
      </c>
      <c r="H778" s="40"/>
      <c r="I778" s="502">
        <v>192</v>
      </c>
      <c r="J778" s="41">
        <v>8613.1</v>
      </c>
      <c r="K778" s="54">
        <f t="shared" si="247"/>
        <v>-2</v>
      </c>
      <c r="L778" s="53">
        <f t="shared" si="248"/>
        <v>3.7422828613644307E-2</v>
      </c>
    </row>
    <row r="779" spans="1:12" x14ac:dyDescent="0.3">
      <c r="A779" s="871">
        <v>1760</v>
      </c>
      <c r="B779" s="873">
        <v>70646.399999999994</v>
      </c>
      <c r="C779" s="873" t="s">
        <v>6007</v>
      </c>
      <c r="D779" s="873">
        <f>SUM(I779:I781)</f>
        <v>1760</v>
      </c>
      <c r="E779" s="873">
        <f>SUM(J779:J781)</f>
        <v>69400.800000000003</v>
      </c>
      <c r="F779" s="495" t="s">
        <v>6008</v>
      </c>
      <c r="G779" s="495">
        <v>103831</v>
      </c>
      <c r="H779" s="40"/>
      <c r="I779" s="502">
        <v>440</v>
      </c>
      <c r="J779" s="41">
        <v>17513.900000000001</v>
      </c>
      <c r="K779" s="882">
        <f>+A779-D779</f>
        <v>0</v>
      </c>
      <c r="L779" s="879">
        <f>((+B779/A779)-(E779/D779))/(B779/A779)</f>
        <v>1.7631471667345827E-2</v>
      </c>
    </row>
    <row r="780" spans="1:12" x14ac:dyDescent="0.3">
      <c r="A780" s="875"/>
      <c r="B780" s="881"/>
      <c r="C780" s="881"/>
      <c r="D780" s="881"/>
      <c r="E780" s="881"/>
      <c r="F780" s="496" t="s">
        <v>6008</v>
      </c>
      <c r="G780" s="496">
        <v>103831</v>
      </c>
      <c r="I780" s="50">
        <v>1100</v>
      </c>
      <c r="J780" s="51">
        <v>43308.2</v>
      </c>
      <c r="K780" s="883"/>
      <c r="L780" s="885"/>
    </row>
    <row r="781" spans="1:12" ht="15" thickBot="1" x14ac:dyDescent="0.35">
      <c r="A781" s="872"/>
      <c r="B781" s="874"/>
      <c r="C781" s="881"/>
      <c r="D781" s="881"/>
      <c r="E781" s="881"/>
      <c r="F781" s="496" t="s">
        <v>6008</v>
      </c>
      <c r="G781" s="496">
        <v>103831</v>
      </c>
      <c r="I781" s="50">
        <v>220</v>
      </c>
      <c r="J781" s="51">
        <v>8578.7000000000007</v>
      </c>
      <c r="K781" s="884"/>
      <c r="L781" s="880"/>
    </row>
    <row r="782" spans="1:12" x14ac:dyDescent="0.3">
      <c r="A782" s="871">
        <v>2853</v>
      </c>
      <c r="B782" s="873">
        <v>99656.75</v>
      </c>
      <c r="C782" s="873" t="s">
        <v>6009</v>
      </c>
      <c r="D782" s="873">
        <f>+I782+I783</f>
        <v>2853</v>
      </c>
      <c r="E782" s="873">
        <f>+J782+J783</f>
        <v>99376.4</v>
      </c>
      <c r="F782" s="495" t="s">
        <v>6010</v>
      </c>
      <c r="G782" s="495">
        <v>103841</v>
      </c>
      <c r="H782" s="40"/>
      <c r="I782" s="502">
        <v>1801</v>
      </c>
      <c r="J782" s="41">
        <v>63104.499999999993</v>
      </c>
      <c r="K782" s="877">
        <f t="shared" ref="K782" si="249">+A782-D782</f>
        <v>0</v>
      </c>
      <c r="L782" s="879">
        <f t="shared" ref="L782" si="250">((+B782/A782)-(E782/D782))/(B782/A782)</f>
        <v>2.8131561585140784E-3</v>
      </c>
    </row>
    <row r="783" spans="1:12" ht="15" thickBot="1" x14ac:dyDescent="0.35">
      <c r="A783" s="872"/>
      <c r="B783" s="874"/>
      <c r="C783" s="874"/>
      <c r="D783" s="874"/>
      <c r="E783" s="874"/>
      <c r="F783" s="497" t="s">
        <v>6010</v>
      </c>
      <c r="G783" s="497">
        <v>103841</v>
      </c>
      <c r="H783" s="504"/>
      <c r="I783" s="503">
        <v>1052</v>
      </c>
      <c r="J783" s="44">
        <v>36271.899999999994</v>
      </c>
      <c r="K783" s="878"/>
      <c r="L783" s="880"/>
    </row>
    <row r="784" spans="1:12" x14ac:dyDescent="0.3">
      <c r="A784" s="871">
        <v>880</v>
      </c>
      <c r="B784" s="873">
        <v>35005.1</v>
      </c>
      <c r="C784" s="873" t="s">
        <v>6011</v>
      </c>
      <c r="D784" s="873">
        <f>+I784+I785</f>
        <v>881</v>
      </c>
      <c r="E784" s="873">
        <f>+J784+J785</f>
        <v>34542.699999999997</v>
      </c>
      <c r="F784" s="495" t="s">
        <v>6012</v>
      </c>
      <c r="G784" s="495">
        <v>103881</v>
      </c>
      <c r="H784" s="40"/>
      <c r="I784" s="502">
        <v>728</v>
      </c>
      <c r="J784" s="41">
        <v>28464.5</v>
      </c>
      <c r="K784" s="877">
        <f t="shared" ref="K784" si="251">+A784-D784</f>
        <v>-1</v>
      </c>
      <c r="L784" s="879">
        <f t="shared" ref="L784" si="252">((+B784/A784)-(E784/D784))/(B784/A784)</f>
        <v>1.4329583776459709E-2</v>
      </c>
    </row>
    <row r="785" spans="1:12" ht="15" thickBot="1" x14ac:dyDescent="0.35">
      <c r="A785" s="872"/>
      <c r="B785" s="874"/>
      <c r="C785" s="874"/>
      <c r="D785" s="874"/>
      <c r="E785" s="874"/>
      <c r="F785" s="497" t="s">
        <v>6012</v>
      </c>
      <c r="G785" s="497">
        <v>103881</v>
      </c>
      <c r="H785" s="504"/>
      <c r="I785" s="503">
        <v>153</v>
      </c>
      <c r="J785" s="44">
        <v>6078.2</v>
      </c>
      <c r="K785" s="878"/>
      <c r="L785" s="880"/>
    </row>
    <row r="786" spans="1:12" x14ac:dyDescent="0.3">
      <c r="A786" s="871">
        <v>2640</v>
      </c>
      <c r="B786" s="873">
        <v>105823.4</v>
      </c>
      <c r="C786" s="873" t="s">
        <v>6013</v>
      </c>
      <c r="D786" s="873" cm="1">
        <f t="array" ref="D786">SUM(+I786:I787)+660</f>
        <v>2640</v>
      </c>
      <c r="E786" s="873">
        <f>SUM(J786:J787)+26863.6</f>
        <v>103489.80000000002</v>
      </c>
      <c r="F786" s="495" t="s">
        <v>6014</v>
      </c>
      <c r="G786" s="495">
        <v>103891</v>
      </c>
      <c r="H786" s="40"/>
      <c r="I786" s="502">
        <v>1540</v>
      </c>
      <c r="J786" s="41">
        <v>59596.100000000006</v>
      </c>
      <c r="K786" s="877">
        <f t="shared" ref="K786" si="253">+A786-D786</f>
        <v>0</v>
      </c>
      <c r="L786" s="879">
        <f t="shared" ref="L786" si="254">((+B786/A786)-(E786/D786))/(B786/A786)</f>
        <v>2.2051833526422118E-2</v>
      </c>
    </row>
    <row r="787" spans="1:12" ht="15" thickBot="1" x14ac:dyDescent="0.35">
      <c r="A787" s="872"/>
      <c r="B787" s="874"/>
      <c r="C787" s="874"/>
      <c r="D787" s="874"/>
      <c r="E787" s="874"/>
      <c r="F787" s="497" t="s">
        <v>6014</v>
      </c>
      <c r="G787" s="497">
        <v>103891</v>
      </c>
      <c r="H787" s="504"/>
      <c r="I787" s="503">
        <v>440</v>
      </c>
      <c r="J787" s="44">
        <v>17030.099999999999</v>
      </c>
      <c r="K787" s="878"/>
      <c r="L787" s="880"/>
    </row>
    <row r="788" spans="1:12" ht="15" thickBot="1" x14ac:dyDescent="0.35">
      <c r="A788" s="508">
        <v>202</v>
      </c>
      <c r="B788" s="510">
        <v>10272.5</v>
      </c>
      <c r="C788" s="510" t="s">
        <v>6095</v>
      </c>
      <c r="D788" s="510">
        <f t="shared" ref="D788:E789" si="255">+I788</f>
        <v>202</v>
      </c>
      <c r="E788" s="510">
        <f t="shared" si="255"/>
        <v>10355.9</v>
      </c>
      <c r="F788" s="510" t="s">
        <v>6096</v>
      </c>
      <c r="G788" s="510">
        <v>103901</v>
      </c>
      <c r="H788" s="40"/>
      <c r="I788" s="516">
        <v>202</v>
      </c>
      <c r="J788" s="41">
        <v>10355.9</v>
      </c>
      <c r="K788" s="54">
        <f t="shared" ref="K788:K790" si="256">+A788-D788</f>
        <v>0</v>
      </c>
      <c r="L788" s="53">
        <f t="shared" ref="L788:L790" si="257">((+B788/A788)-(E788/D788))/(B788/A788)</f>
        <v>-8.1187636894620857E-3</v>
      </c>
    </row>
    <row r="789" spans="1:12" ht="15" thickBot="1" x14ac:dyDescent="0.35">
      <c r="A789" s="508">
        <v>137</v>
      </c>
      <c r="B789" s="510">
        <v>7349.75</v>
      </c>
      <c r="C789" s="510" t="s">
        <v>6097</v>
      </c>
      <c r="D789" s="510">
        <f t="shared" si="255"/>
        <v>137</v>
      </c>
      <c r="E789" s="510">
        <f t="shared" si="255"/>
        <v>7233.9</v>
      </c>
      <c r="F789" s="510" t="s">
        <v>6098</v>
      </c>
      <c r="G789" s="510">
        <v>103911</v>
      </c>
      <c r="H789" s="40"/>
      <c r="I789" s="516">
        <v>137</v>
      </c>
      <c r="J789" s="41">
        <v>7233.9</v>
      </c>
      <c r="K789" s="54">
        <f t="shared" si="256"/>
        <v>0</v>
      </c>
      <c r="L789" s="53">
        <f t="shared" si="257"/>
        <v>1.5762440899350361E-2</v>
      </c>
    </row>
    <row r="790" spans="1:12" x14ac:dyDescent="0.3">
      <c r="A790" s="871">
        <v>1392</v>
      </c>
      <c r="B790" s="873">
        <v>48070</v>
      </c>
      <c r="C790" s="873" t="s">
        <v>6099</v>
      </c>
      <c r="D790" s="873">
        <f>+I790+I791</f>
        <v>1392</v>
      </c>
      <c r="E790" s="873">
        <f>+J790+J791</f>
        <v>48121.3</v>
      </c>
      <c r="F790" s="510" t="s">
        <v>6100</v>
      </c>
      <c r="G790" s="510">
        <v>103961</v>
      </c>
      <c r="H790" s="40"/>
      <c r="I790" s="516">
        <v>1000</v>
      </c>
      <c r="J790" s="41">
        <v>33557.000000000007</v>
      </c>
      <c r="K790" s="877">
        <f t="shared" si="256"/>
        <v>0</v>
      </c>
      <c r="L790" s="879">
        <f t="shared" si="257"/>
        <v>-1.0671936758893648E-3</v>
      </c>
    </row>
    <row r="791" spans="1:12" ht="15" thickBot="1" x14ac:dyDescent="0.35">
      <c r="A791" s="875"/>
      <c r="B791" s="881"/>
      <c r="C791" s="881"/>
      <c r="D791" s="881"/>
      <c r="E791" s="881"/>
      <c r="F791" s="513" t="s">
        <v>6100</v>
      </c>
      <c r="G791" s="513">
        <v>103961</v>
      </c>
      <c r="I791" s="50">
        <v>392</v>
      </c>
      <c r="J791" s="51">
        <v>14564.3</v>
      </c>
      <c r="K791" s="878"/>
      <c r="L791" s="880"/>
    </row>
    <row r="792" spans="1:12" x14ac:dyDescent="0.3">
      <c r="A792" s="871">
        <v>2198</v>
      </c>
      <c r="B792" s="873">
        <v>89423.1</v>
      </c>
      <c r="C792" s="873" t="s">
        <v>6101</v>
      </c>
      <c r="D792" s="873">
        <f>+I792+I793+I794</f>
        <v>2183</v>
      </c>
      <c r="E792" s="873">
        <f>+J792+J793+J794</f>
        <v>87463.5</v>
      </c>
      <c r="F792" s="510" t="s">
        <v>6102</v>
      </c>
      <c r="G792" s="510">
        <v>103971</v>
      </c>
      <c r="H792" s="40"/>
      <c r="I792" s="516">
        <v>1100</v>
      </c>
      <c r="J792" s="41">
        <v>44828.000000000007</v>
      </c>
      <c r="K792" s="882">
        <f>+A792-D792</f>
        <v>15</v>
      </c>
      <c r="L792" s="879">
        <f>((+B792/A792)-(E792/D792))/(B792/A792)</f>
        <v>1.5193098557293651E-2</v>
      </c>
    </row>
    <row r="793" spans="1:12" x14ac:dyDescent="0.3">
      <c r="A793" s="875"/>
      <c r="B793" s="881"/>
      <c r="C793" s="881"/>
      <c r="D793" s="881"/>
      <c r="E793" s="881"/>
      <c r="F793" s="513" t="s">
        <v>6102</v>
      </c>
      <c r="G793" s="513">
        <v>103972</v>
      </c>
      <c r="I793" s="50">
        <v>205</v>
      </c>
      <c r="J793" s="51">
        <v>7870.5</v>
      </c>
      <c r="K793" s="883"/>
      <c r="L793" s="885"/>
    </row>
    <row r="794" spans="1:12" ht="15" thickBot="1" x14ac:dyDescent="0.35">
      <c r="A794" s="872"/>
      <c r="B794" s="874"/>
      <c r="C794" s="874"/>
      <c r="D794" s="874"/>
      <c r="E794" s="874"/>
      <c r="F794" s="511" t="s">
        <v>6102</v>
      </c>
      <c r="G794" s="511">
        <v>103972</v>
      </c>
      <c r="H794" s="519"/>
      <c r="I794" s="517">
        <v>878</v>
      </c>
      <c r="J794" s="44">
        <v>34765</v>
      </c>
      <c r="K794" s="884"/>
      <c r="L794" s="880"/>
    </row>
    <row r="795" spans="1:12" x14ac:dyDescent="0.3">
      <c r="A795" s="871">
        <v>2200</v>
      </c>
      <c r="B795" s="873">
        <v>88221.7</v>
      </c>
      <c r="C795" s="873" t="s">
        <v>6103</v>
      </c>
      <c r="D795" s="873">
        <f>+I795+I797+I796</f>
        <v>2200</v>
      </c>
      <c r="E795" s="873">
        <f>+J795+J797+J796</f>
        <v>87059.1</v>
      </c>
      <c r="F795" s="510" t="s">
        <v>6104</v>
      </c>
      <c r="G795" s="510">
        <v>104031</v>
      </c>
      <c r="H795" s="40"/>
      <c r="I795" s="516">
        <v>880</v>
      </c>
      <c r="J795" s="41">
        <v>34700.300000000003</v>
      </c>
      <c r="K795" s="882">
        <f>+A795-D795</f>
        <v>0</v>
      </c>
      <c r="L795" s="879">
        <f>((+B795/A795)-(E795/D795))/(B795/A795)</f>
        <v>1.3178163649079493E-2</v>
      </c>
    </row>
    <row r="796" spans="1:12" x14ac:dyDescent="0.3">
      <c r="A796" s="875"/>
      <c r="B796" s="881"/>
      <c r="C796" s="881"/>
      <c r="D796" s="881"/>
      <c r="E796" s="881"/>
      <c r="F796" s="513" t="s">
        <v>6104</v>
      </c>
      <c r="G796" s="513">
        <v>104031</v>
      </c>
      <c r="I796" s="50">
        <v>220</v>
      </c>
      <c r="J796" s="51">
        <v>8966.6</v>
      </c>
      <c r="K796" s="883"/>
      <c r="L796" s="885"/>
    </row>
    <row r="797" spans="1:12" ht="15" thickBot="1" x14ac:dyDescent="0.35">
      <c r="A797" s="872"/>
      <c r="B797" s="874"/>
      <c r="C797" s="874"/>
      <c r="D797" s="874"/>
      <c r="E797" s="874"/>
      <c r="F797" s="511" t="s">
        <v>6104</v>
      </c>
      <c r="G797" s="511">
        <v>104032</v>
      </c>
      <c r="H797" s="519"/>
      <c r="I797" s="517">
        <v>1100</v>
      </c>
      <c r="J797" s="44">
        <v>43392.200000000004</v>
      </c>
      <c r="K797" s="884"/>
      <c r="L797" s="880"/>
    </row>
    <row r="798" spans="1:12" x14ac:dyDescent="0.3">
      <c r="A798" s="871">
        <v>4171</v>
      </c>
      <c r="B798" s="873">
        <v>169542.6</v>
      </c>
      <c r="C798" s="873" t="s">
        <v>6105</v>
      </c>
      <c r="D798" s="873">
        <f>+I798+I799+I800+I802+I801</f>
        <v>4171</v>
      </c>
      <c r="E798" s="873">
        <f>+J798+J799+J800+J802+J801</f>
        <v>166241.40000000002</v>
      </c>
      <c r="F798" s="524" t="s">
        <v>6106</v>
      </c>
      <c r="G798" s="524">
        <v>104081</v>
      </c>
      <c r="H798" s="40"/>
      <c r="I798" s="534">
        <v>660</v>
      </c>
      <c r="J798" s="41">
        <v>25977.499999999996</v>
      </c>
      <c r="K798" s="882">
        <f>+A798-D798</f>
        <v>0</v>
      </c>
      <c r="L798" s="879">
        <f>((+B798/A798)-(E798/D798))/(B798/A798)</f>
        <v>1.9471212544811697E-2</v>
      </c>
    </row>
    <row r="799" spans="1:12" x14ac:dyDescent="0.3">
      <c r="A799" s="875"/>
      <c r="B799" s="876"/>
      <c r="C799" s="876"/>
      <c r="D799" s="876"/>
      <c r="E799" s="876"/>
      <c r="F799" s="532" t="s">
        <v>6106</v>
      </c>
      <c r="G799" s="532">
        <v>104081</v>
      </c>
      <c r="H799" s="363"/>
      <c r="I799" s="364">
        <v>880</v>
      </c>
      <c r="J799" s="51">
        <v>34741.800000000003</v>
      </c>
      <c r="K799" s="883"/>
      <c r="L799" s="885"/>
    </row>
    <row r="800" spans="1:12" x14ac:dyDescent="0.3">
      <c r="A800" s="875"/>
      <c r="B800" s="876"/>
      <c r="C800" s="876"/>
      <c r="D800" s="876"/>
      <c r="E800" s="876"/>
      <c r="F800" s="532" t="s">
        <v>6106</v>
      </c>
      <c r="G800" s="532">
        <v>104082</v>
      </c>
      <c r="H800" s="363"/>
      <c r="I800" s="364">
        <v>1980</v>
      </c>
      <c r="J800" s="51">
        <v>79918.100000000006</v>
      </c>
      <c r="K800" s="883"/>
      <c r="L800" s="885"/>
    </row>
    <row r="801" spans="1:12" x14ac:dyDescent="0.3">
      <c r="A801" s="875"/>
      <c r="B801" s="876"/>
      <c r="C801" s="876"/>
      <c r="D801" s="876"/>
      <c r="E801" s="876"/>
      <c r="F801" s="532" t="s">
        <v>6106</v>
      </c>
      <c r="G801" s="532">
        <v>104081</v>
      </c>
      <c r="H801" s="363"/>
      <c r="I801" s="364">
        <v>220</v>
      </c>
      <c r="J801" s="51">
        <v>8628.6</v>
      </c>
      <c r="K801" s="883"/>
      <c r="L801" s="885"/>
    </row>
    <row r="802" spans="1:12" ht="15" thickBot="1" x14ac:dyDescent="0.35">
      <c r="A802" s="872"/>
      <c r="B802" s="874"/>
      <c r="C802" s="874"/>
      <c r="D802" s="874"/>
      <c r="E802" s="874"/>
      <c r="F802" s="525" t="s">
        <v>6106</v>
      </c>
      <c r="G802" s="525">
        <v>104083</v>
      </c>
      <c r="H802" s="539"/>
      <c r="I802" s="535">
        <v>431</v>
      </c>
      <c r="J802" s="44">
        <v>16975.400000000001</v>
      </c>
      <c r="K802" s="884"/>
      <c r="L802" s="880"/>
    </row>
    <row r="803" spans="1:12" x14ac:dyDescent="0.3">
      <c r="A803" s="871">
        <v>880</v>
      </c>
      <c r="B803" s="873">
        <v>35083.1</v>
      </c>
      <c r="C803" s="873" t="s">
        <v>6107</v>
      </c>
      <c r="D803" s="873">
        <f>+I803+I804</f>
        <v>880</v>
      </c>
      <c r="E803" s="873">
        <f>+J803+J804</f>
        <v>34096.400000000001</v>
      </c>
      <c r="F803" s="510" t="s">
        <v>6108</v>
      </c>
      <c r="G803" s="510">
        <v>104181</v>
      </c>
      <c r="H803" s="40"/>
      <c r="I803" s="516">
        <v>440</v>
      </c>
      <c r="J803" s="41">
        <v>16850.400000000001</v>
      </c>
      <c r="K803" s="877">
        <f t="shared" ref="K803" si="258">+A803-D803</f>
        <v>0</v>
      </c>
      <c r="L803" s="879">
        <f t="shared" ref="L803" si="259">((+B803/A803)-(E803/D803))/(B803/A803)</f>
        <v>2.8124652610516082E-2</v>
      </c>
    </row>
    <row r="804" spans="1:12" ht="15" thickBot="1" x14ac:dyDescent="0.35">
      <c r="A804" s="872"/>
      <c r="B804" s="874"/>
      <c r="C804" s="874"/>
      <c r="D804" s="874"/>
      <c r="E804" s="874"/>
      <c r="F804" s="511" t="s">
        <v>6108</v>
      </c>
      <c r="G804" s="511">
        <v>104181</v>
      </c>
      <c r="H804" s="519"/>
      <c r="I804" s="517">
        <v>440</v>
      </c>
      <c r="J804" s="44">
        <v>17246</v>
      </c>
      <c r="K804" s="878"/>
      <c r="L804" s="880"/>
    </row>
    <row r="805" spans="1:12" ht="15" thickBot="1" x14ac:dyDescent="0.35">
      <c r="A805" s="508">
        <v>660</v>
      </c>
      <c r="B805" s="510">
        <v>27011</v>
      </c>
      <c r="C805" s="510" t="s">
        <v>6109</v>
      </c>
      <c r="D805" s="510">
        <f>+I805</f>
        <v>660</v>
      </c>
      <c r="E805" s="510">
        <f>+J805</f>
        <v>26382.7</v>
      </c>
      <c r="F805" s="510" t="s">
        <v>6110</v>
      </c>
      <c r="G805" s="510">
        <v>104241</v>
      </c>
      <c r="H805" s="40"/>
      <c r="I805" s="516">
        <v>660</v>
      </c>
      <c r="J805" s="41">
        <v>26382.7</v>
      </c>
      <c r="K805" s="54">
        <f t="shared" ref="K805" si="260">+A805-D805</f>
        <v>0</v>
      </c>
      <c r="L805" s="53">
        <f t="shared" ref="L805" si="261">((+B805/A805)-(E805/D805))/(B805/A805)</f>
        <v>2.3260893709969865E-2</v>
      </c>
    </row>
    <row r="806" spans="1:12" x14ac:dyDescent="0.3">
      <c r="A806" s="871">
        <v>2200</v>
      </c>
      <c r="B806" s="873">
        <v>89270.9</v>
      </c>
      <c r="C806" s="873" t="s">
        <v>6111</v>
      </c>
      <c r="D806" s="873">
        <f>+I806+I807+I808+440</f>
        <v>2201</v>
      </c>
      <c r="E806" s="873">
        <f>+J806+J807+J808+17278.4</f>
        <v>87696.5</v>
      </c>
      <c r="F806" s="510" t="s">
        <v>6112</v>
      </c>
      <c r="G806" s="510">
        <v>104271</v>
      </c>
      <c r="H806" s="40"/>
      <c r="I806" s="516">
        <v>390</v>
      </c>
      <c r="J806" s="41">
        <v>15572.4</v>
      </c>
      <c r="K806" s="882">
        <f>+A806-D806</f>
        <v>-1</v>
      </c>
      <c r="L806" s="879">
        <f>((+B806/A806)-(E806/D806))/(B806/A806)</f>
        <v>1.8082532321004763E-2</v>
      </c>
    </row>
    <row r="807" spans="1:12" x14ac:dyDescent="0.3">
      <c r="A807" s="875"/>
      <c r="B807" s="881"/>
      <c r="C807" s="881"/>
      <c r="D807" s="881"/>
      <c r="E807" s="881"/>
      <c r="F807" s="513" t="s">
        <v>6112</v>
      </c>
      <c r="G807" s="513">
        <v>104271</v>
      </c>
      <c r="I807" s="50">
        <v>711</v>
      </c>
      <c r="J807" s="51">
        <v>28331.199999999997</v>
      </c>
      <c r="K807" s="883"/>
      <c r="L807" s="885"/>
    </row>
    <row r="808" spans="1:12" ht="15" thickBot="1" x14ac:dyDescent="0.35">
      <c r="A808" s="872"/>
      <c r="B808" s="874"/>
      <c r="C808" s="874"/>
      <c r="D808" s="874"/>
      <c r="E808" s="874"/>
      <c r="F808" s="511" t="s">
        <v>6112</v>
      </c>
      <c r="G808" s="511">
        <v>104272</v>
      </c>
      <c r="H808" s="519"/>
      <c r="I808" s="517">
        <v>660</v>
      </c>
      <c r="J808" s="44">
        <v>26514.5</v>
      </c>
      <c r="K808" s="884"/>
      <c r="L808" s="880"/>
    </row>
    <row r="809" spans="1:12" ht="15" thickBot="1" x14ac:dyDescent="0.35">
      <c r="A809" s="528">
        <v>660</v>
      </c>
      <c r="B809" s="529">
        <v>25999.7</v>
      </c>
      <c r="C809" s="529" t="s">
        <v>6243</v>
      </c>
      <c r="D809" s="536">
        <f>+I809</f>
        <v>660</v>
      </c>
      <c r="E809" s="536">
        <f>+J809</f>
        <v>25572.100000000002</v>
      </c>
      <c r="F809" s="527" t="s">
        <v>6256</v>
      </c>
      <c r="G809" s="527">
        <v>104291</v>
      </c>
      <c r="I809" s="557">
        <v>660</v>
      </c>
      <c r="J809" s="558">
        <v>25572.100000000002</v>
      </c>
      <c r="K809" s="54">
        <f t="shared" ref="K809" si="262">+A809-D809</f>
        <v>0</v>
      </c>
      <c r="L809" s="53">
        <f t="shared" ref="L809" si="263">((+B809/A809)-(E809/D809))/(B809/A809)</f>
        <v>1.6446343611657067E-2</v>
      </c>
    </row>
    <row r="810" spans="1:12" x14ac:dyDescent="0.3">
      <c r="A810" s="891">
        <v>4178</v>
      </c>
      <c r="B810" s="894">
        <v>167489.70000000001</v>
      </c>
      <c r="C810" s="894" t="s">
        <v>6244</v>
      </c>
      <c r="D810" s="897">
        <f>+I810+I811+I812+I813</f>
        <v>4178</v>
      </c>
      <c r="E810" s="897">
        <f>+J810+J811+J812+J813</f>
        <v>163535.59999999998</v>
      </c>
      <c r="F810" s="524" t="s">
        <v>6245</v>
      </c>
      <c r="G810" s="524">
        <v>104311</v>
      </c>
      <c r="H810" s="40"/>
      <c r="I810" s="559">
        <v>1540</v>
      </c>
      <c r="J810" s="560">
        <v>60882.7</v>
      </c>
      <c r="K810" s="877">
        <f>+A810-D810</f>
        <v>0</v>
      </c>
      <c r="L810" s="879">
        <f>((+B810/A810)-(E810/D810))/(B810/A810)</f>
        <v>2.3608018881161149E-2</v>
      </c>
    </row>
    <row r="811" spans="1:12" x14ac:dyDescent="0.3">
      <c r="A811" s="892"/>
      <c r="B811" s="895"/>
      <c r="C811" s="895"/>
      <c r="D811" s="889"/>
      <c r="E811" s="889"/>
      <c r="F811" s="527" t="s">
        <v>6245</v>
      </c>
      <c r="G811" s="527">
        <v>104311</v>
      </c>
      <c r="I811" s="557">
        <v>660</v>
      </c>
      <c r="J811" s="558">
        <v>25844.6</v>
      </c>
      <c r="K811" s="886"/>
      <c r="L811" s="885"/>
    </row>
    <row r="812" spans="1:12" x14ac:dyDescent="0.3">
      <c r="A812" s="892"/>
      <c r="B812" s="895"/>
      <c r="C812" s="895"/>
      <c r="D812" s="889"/>
      <c r="E812" s="889"/>
      <c r="F812" s="527" t="s">
        <v>6245</v>
      </c>
      <c r="G812" s="527">
        <v>104312</v>
      </c>
      <c r="I812" s="557">
        <v>1320</v>
      </c>
      <c r="J812" s="558">
        <v>51198.3</v>
      </c>
      <c r="K812" s="886"/>
      <c r="L812" s="885"/>
    </row>
    <row r="813" spans="1:12" ht="15" thickBot="1" x14ac:dyDescent="0.35">
      <c r="A813" s="893"/>
      <c r="B813" s="896"/>
      <c r="C813" s="896"/>
      <c r="D813" s="890"/>
      <c r="E813" s="890"/>
      <c r="F813" s="525" t="s">
        <v>6245</v>
      </c>
      <c r="G813" s="525">
        <v>104313</v>
      </c>
      <c r="H813" s="539"/>
      <c r="I813" s="561">
        <v>658</v>
      </c>
      <c r="J813" s="562">
        <v>25610</v>
      </c>
      <c r="K813" s="878"/>
      <c r="L813" s="880"/>
    </row>
    <row r="814" spans="1:12" x14ac:dyDescent="0.3">
      <c r="A814" s="871">
        <v>2782</v>
      </c>
      <c r="B814" s="873">
        <v>100178.5</v>
      </c>
      <c r="C814" s="881" t="s">
        <v>6246</v>
      </c>
      <c r="D814" s="881">
        <f>+I814+I815+I816+I817</f>
        <v>2782</v>
      </c>
      <c r="E814" s="881">
        <f>+J814+J815+J816+J817</f>
        <v>99719.6</v>
      </c>
      <c r="F814" s="527" t="s">
        <v>6247</v>
      </c>
      <c r="G814" s="527">
        <v>104331</v>
      </c>
      <c r="I814" s="557">
        <v>220</v>
      </c>
      <c r="J814" s="558">
        <v>7769.2</v>
      </c>
      <c r="K814" s="877">
        <f>+A814-D814</f>
        <v>0</v>
      </c>
      <c r="L814" s="879">
        <f>((+B814/A814)-(E814/D814))/(B814/A814)</f>
        <v>4.5808232305333645E-3</v>
      </c>
    </row>
    <row r="815" spans="1:12" x14ac:dyDescent="0.3">
      <c r="A815" s="875"/>
      <c r="B815" s="881"/>
      <c r="C815" s="881"/>
      <c r="D815" s="881"/>
      <c r="E815" s="881"/>
      <c r="F815" s="527" t="s">
        <v>6247</v>
      </c>
      <c r="G815" s="527">
        <v>104331</v>
      </c>
      <c r="I815" s="557">
        <v>325</v>
      </c>
      <c r="J815" s="558">
        <v>12550.7</v>
      </c>
      <c r="K815" s="886"/>
      <c r="L815" s="885"/>
    </row>
    <row r="816" spans="1:12" x14ac:dyDescent="0.3">
      <c r="A816" s="875"/>
      <c r="B816" s="881"/>
      <c r="C816" s="881"/>
      <c r="D816" s="881"/>
      <c r="E816" s="881"/>
      <c r="F816" s="527" t="s">
        <v>6247</v>
      </c>
      <c r="G816" s="527">
        <v>104332</v>
      </c>
      <c r="I816" s="557">
        <v>1119</v>
      </c>
      <c r="J816" s="558">
        <v>39396.600000000006</v>
      </c>
      <c r="K816" s="886"/>
      <c r="L816" s="885"/>
    </row>
    <row r="817" spans="1:12" ht="15" thickBot="1" x14ac:dyDescent="0.35">
      <c r="A817" s="872"/>
      <c r="B817" s="874"/>
      <c r="C817" s="874"/>
      <c r="D817" s="874"/>
      <c r="E817" s="874"/>
      <c r="F817" s="527" t="s">
        <v>6247</v>
      </c>
      <c r="G817" s="527">
        <v>104331</v>
      </c>
      <c r="I817" s="557">
        <v>1118</v>
      </c>
      <c r="J817" s="558">
        <v>40003.1</v>
      </c>
      <c r="K817" s="878"/>
      <c r="L817" s="880"/>
    </row>
    <row r="818" spans="1:12" ht="15" thickBot="1" x14ac:dyDescent="0.35">
      <c r="A818" s="523">
        <v>250</v>
      </c>
      <c r="B818" s="524">
        <v>9841.2000000000007</v>
      </c>
      <c r="C818" s="524" t="s">
        <v>6248</v>
      </c>
      <c r="D818" s="524">
        <f>+I818</f>
        <v>250</v>
      </c>
      <c r="E818" s="524">
        <f>+J818</f>
        <v>9804.7999999999993</v>
      </c>
      <c r="F818" s="524" t="s">
        <v>6249</v>
      </c>
      <c r="G818" s="524">
        <v>104341</v>
      </c>
      <c r="H818" s="40"/>
      <c r="I818" s="559">
        <v>250</v>
      </c>
      <c r="J818" s="560">
        <v>9804.7999999999993</v>
      </c>
      <c r="K818" s="54">
        <f t="shared" ref="K818" si="264">+A818-D818</f>
        <v>0</v>
      </c>
      <c r="L818" s="53">
        <f t="shared" ref="L818" si="265">((+B818/A818)-(E818/D818))/(B818/A818)</f>
        <v>3.698735926513251E-3</v>
      </c>
    </row>
    <row r="819" spans="1:12" x14ac:dyDescent="0.3">
      <c r="A819" s="871">
        <v>2653</v>
      </c>
      <c r="B819" s="873">
        <v>100050.25</v>
      </c>
      <c r="C819" s="873" t="s">
        <v>6250</v>
      </c>
      <c r="D819" s="873">
        <f>+I819+I821+I822+I820</f>
        <v>2653</v>
      </c>
      <c r="E819" s="873">
        <f>+J819+J821+J822+J820</f>
        <v>99244</v>
      </c>
      <c r="F819" s="524" t="s">
        <v>6251</v>
      </c>
      <c r="G819" s="524">
        <v>104391</v>
      </c>
      <c r="H819" s="40"/>
      <c r="I819" s="559">
        <v>1600</v>
      </c>
      <c r="J819" s="560">
        <v>60351.299999999996</v>
      </c>
      <c r="K819" s="877">
        <f>+A819-D819</f>
        <v>0</v>
      </c>
      <c r="L819" s="879">
        <f>((+B819/A819)-(E819/D819))/(B819/A819)</f>
        <v>8.0584506285592203E-3</v>
      </c>
    </row>
    <row r="820" spans="1:12" x14ac:dyDescent="0.3">
      <c r="A820" s="875"/>
      <c r="B820" s="881"/>
      <c r="C820" s="881"/>
      <c r="D820" s="881"/>
      <c r="E820" s="881"/>
      <c r="F820" s="527" t="s">
        <v>6251</v>
      </c>
      <c r="G820" s="527">
        <v>104391</v>
      </c>
      <c r="I820" s="557">
        <v>32</v>
      </c>
      <c r="J820" s="558">
        <v>1347.6</v>
      </c>
      <c r="K820" s="886"/>
      <c r="L820" s="885"/>
    </row>
    <row r="821" spans="1:12" x14ac:dyDescent="0.3">
      <c r="A821" s="875"/>
      <c r="B821" s="881"/>
      <c r="C821" s="881"/>
      <c r="D821" s="881"/>
      <c r="E821" s="881"/>
      <c r="F821" s="527" t="s">
        <v>6251</v>
      </c>
      <c r="G821" s="527">
        <v>104392</v>
      </c>
      <c r="I821" s="557">
        <v>706</v>
      </c>
      <c r="J821" s="558">
        <v>25752.7</v>
      </c>
      <c r="K821" s="886"/>
      <c r="L821" s="885"/>
    </row>
    <row r="822" spans="1:12" ht="15" thickBot="1" x14ac:dyDescent="0.35">
      <c r="A822" s="872"/>
      <c r="B822" s="874"/>
      <c r="C822" s="874"/>
      <c r="D822" s="874"/>
      <c r="E822" s="874"/>
      <c r="F822" s="525" t="s">
        <v>6251</v>
      </c>
      <c r="G822" s="525">
        <v>104392</v>
      </c>
      <c r="H822" s="539"/>
      <c r="I822" s="561">
        <v>315</v>
      </c>
      <c r="J822" s="562">
        <v>11792.4</v>
      </c>
      <c r="K822" s="878"/>
      <c r="L822" s="880"/>
    </row>
    <row r="823" spans="1:12" ht="15" thickBot="1" x14ac:dyDescent="0.35">
      <c r="A823" s="526">
        <v>1250</v>
      </c>
      <c r="B823" s="527">
        <v>47375.8</v>
      </c>
      <c r="C823" s="527" t="s">
        <v>6252</v>
      </c>
      <c r="D823" s="527">
        <f>+I823</f>
        <v>1250</v>
      </c>
      <c r="E823" s="527">
        <f>+J823</f>
        <v>46898.400000000001</v>
      </c>
      <c r="F823" s="527" t="s">
        <v>6253</v>
      </c>
      <c r="G823" s="527">
        <v>104401</v>
      </c>
      <c r="I823" s="557">
        <v>1250</v>
      </c>
      <c r="J823" s="558">
        <v>46898.400000000001</v>
      </c>
      <c r="K823" s="54">
        <f t="shared" ref="K823:K824" si="266">+A823-D823</f>
        <v>0</v>
      </c>
      <c r="L823" s="53">
        <f t="shared" ref="L823:L824" si="267">((+B823/A823)-(E823/D823))/(B823/A823)</f>
        <v>1.0076874691298112E-2</v>
      </c>
    </row>
    <row r="824" spans="1:12" x14ac:dyDescent="0.3">
      <c r="A824" s="871">
        <v>1095</v>
      </c>
      <c r="B824" s="873">
        <v>45805.75</v>
      </c>
      <c r="C824" s="873" t="s">
        <v>6254</v>
      </c>
      <c r="D824" s="873">
        <v>1095</v>
      </c>
      <c r="E824" s="873">
        <v>45813.7</v>
      </c>
      <c r="F824" s="524" t="s">
        <v>6255</v>
      </c>
      <c r="G824" s="524">
        <v>104451</v>
      </c>
      <c r="H824" s="40"/>
      <c r="I824" s="559">
        <v>241</v>
      </c>
      <c r="J824" s="560">
        <v>10105.900000000001</v>
      </c>
      <c r="K824" s="877">
        <f t="shared" si="266"/>
        <v>0</v>
      </c>
      <c r="L824" s="879">
        <f t="shared" si="267"/>
        <v>-1.7355899641426187E-4</v>
      </c>
    </row>
    <row r="825" spans="1:12" ht="15" thickBot="1" x14ac:dyDescent="0.35">
      <c r="A825" s="872"/>
      <c r="B825" s="874"/>
      <c r="C825" s="874"/>
      <c r="D825" s="874"/>
      <c r="E825" s="874"/>
      <c r="F825" s="525" t="s">
        <v>6255</v>
      </c>
      <c r="G825" s="525">
        <v>104451</v>
      </c>
      <c r="H825" s="539"/>
      <c r="I825" s="561">
        <v>421</v>
      </c>
      <c r="J825" s="562">
        <v>17531.2</v>
      </c>
      <c r="K825" s="878"/>
      <c r="L825" s="880"/>
    </row>
    <row r="826" spans="1:12" x14ac:dyDescent="0.3">
      <c r="A826" s="875">
        <v>2193</v>
      </c>
      <c r="B826" s="881">
        <v>90802</v>
      </c>
      <c r="C826" s="881" t="s">
        <v>6312</v>
      </c>
      <c r="D826" s="881">
        <f>+I826+I827+I828</f>
        <v>2193</v>
      </c>
      <c r="E826" s="881">
        <f>+J826+J827+J828</f>
        <v>90924</v>
      </c>
      <c r="F826" s="593" t="s">
        <v>6313</v>
      </c>
      <c r="G826" s="593">
        <v>104541</v>
      </c>
      <c r="I826" s="557">
        <v>1109</v>
      </c>
      <c r="J826" s="557">
        <v>46308.1</v>
      </c>
      <c r="K826" s="882">
        <f>+A826-D826</f>
        <v>0</v>
      </c>
      <c r="L826" s="879">
        <f>((+B826/A826)-(E826/D826))/(B826/A826)</f>
        <v>-1.3435827404682588E-3</v>
      </c>
    </row>
    <row r="827" spans="1:12" x14ac:dyDescent="0.3">
      <c r="A827" s="875"/>
      <c r="B827" s="881"/>
      <c r="C827" s="881"/>
      <c r="D827" s="881"/>
      <c r="E827" s="881"/>
      <c r="F827" s="593" t="s">
        <v>6313</v>
      </c>
      <c r="G827" s="593">
        <v>104542</v>
      </c>
      <c r="I827" s="557">
        <v>660</v>
      </c>
      <c r="J827" s="557">
        <v>27256.9</v>
      </c>
      <c r="K827" s="883"/>
      <c r="L827" s="885"/>
    </row>
    <row r="828" spans="1:12" ht="15" thickBot="1" x14ac:dyDescent="0.35">
      <c r="A828" s="872"/>
      <c r="B828" s="874"/>
      <c r="C828" s="874"/>
      <c r="D828" s="874"/>
      <c r="E828" s="874"/>
      <c r="F828" s="594" t="s">
        <v>6313</v>
      </c>
      <c r="G828" s="594">
        <v>104542</v>
      </c>
      <c r="H828" s="600"/>
      <c r="I828" s="561">
        <v>424</v>
      </c>
      <c r="J828" s="561">
        <v>17359</v>
      </c>
      <c r="K828" s="884"/>
      <c r="L828" s="880"/>
    </row>
    <row r="829" spans="1:12" x14ac:dyDescent="0.3">
      <c r="A829" s="875">
        <v>1435</v>
      </c>
      <c r="B829" s="881">
        <v>52592.2</v>
      </c>
      <c r="C829" s="881" t="s">
        <v>6314</v>
      </c>
      <c r="D829" s="881">
        <f>+I829+I830+I831</f>
        <v>1435</v>
      </c>
      <c r="E829" s="881">
        <f>+J829+J830+J831</f>
        <v>51933</v>
      </c>
      <c r="F829" s="593" t="s">
        <v>6315</v>
      </c>
      <c r="G829" s="593">
        <v>104551</v>
      </c>
      <c r="I829" s="557">
        <v>400</v>
      </c>
      <c r="J829" s="557">
        <v>14677.5</v>
      </c>
      <c r="K829" s="882">
        <f>+A829-D829</f>
        <v>0</v>
      </c>
      <c r="L829" s="879">
        <f>((+B829/A829)-(E829/D829))/(B829/A829)</f>
        <v>1.2534178072033426E-2</v>
      </c>
    </row>
    <row r="830" spans="1:12" x14ac:dyDescent="0.3">
      <c r="A830" s="875"/>
      <c r="B830" s="881"/>
      <c r="C830" s="881"/>
      <c r="D830" s="881"/>
      <c r="E830" s="881"/>
      <c r="F830" s="593" t="s">
        <v>6315</v>
      </c>
      <c r="G830" s="593">
        <v>104551</v>
      </c>
      <c r="I830" s="557">
        <v>600</v>
      </c>
      <c r="J830" s="557">
        <v>21302.400000000001</v>
      </c>
      <c r="K830" s="883"/>
      <c r="L830" s="885"/>
    </row>
    <row r="831" spans="1:12" ht="15" thickBot="1" x14ac:dyDescent="0.35">
      <c r="A831" s="872"/>
      <c r="B831" s="874"/>
      <c r="C831" s="874"/>
      <c r="D831" s="874"/>
      <c r="E831" s="874"/>
      <c r="F831" s="594" t="s">
        <v>6315</v>
      </c>
      <c r="G831" s="594">
        <v>104551</v>
      </c>
      <c r="H831" s="600"/>
      <c r="I831" s="561">
        <v>435</v>
      </c>
      <c r="J831" s="561">
        <v>15953.099999999999</v>
      </c>
      <c r="K831" s="884"/>
      <c r="L831" s="880"/>
    </row>
    <row r="832" spans="1:12" ht="15" thickBot="1" x14ac:dyDescent="0.35">
      <c r="A832" s="591">
        <v>1171</v>
      </c>
      <c r="B832" s="594">
        <v>40895.75</v>
      </c>
      <c r="C832" s="594" t="s">
        <v>6316</v>
      </c>
      <c r="D832" s="594">
        <f>+I832</f>
        <v>1171</v>
      </c>
      <c r="E832" s="594">
        <f>+J832</f>
        <v>40645.5</v>
      </c>
      <c r="F832" s="594" t="s">
        <v>6317</v>
      </c>
      <c r="G832" s="594">
        <v>104581</v>
      </c>
      <c r="H832" s="600"/>
      <c r="I832" s="561">
        <v>1171</v>
      </c>
      <c r="J832" s="561">
        <v>40645.5</v>
      </c>
      <c r="K832" s="54">
        <f t="shared" ref="K832" si="268">+A832-D832</f>
        <v>0</v>
      </c>
      <c r="L832" s="53">
        <f t="shared" ref="L832" si="269">((+B832/A832)-(E832/D832))/(B832/A832)</f>
        <v>6.1192177671273093E-3</v>
      </c>
    </row>
    <row r="833" spans="1:12" x14ac:dyDescent="0.3">
      <c r="A833" s="887">
        <v>2641</v>
      </c>
      <c r="B833" s="889">
        <v>106724.9</v>
      </c>
      <c r="C833" s="889" t="s">
        <v>6318</v>
      </c>
      <c r="D833" s="889">
        <f>+I833+I835+I834</f>
        <v>2641</v>
      </c>
      <c r="E833" s="889">
        <f>+J833+J835+J834</f>
        <v>104039.6</v>
      </c>
      <c r="F833" s="588" t="s">
        <v>6319</v>
      </c>
      <c r="G833" s="588">
        <v>104591</v>
      </c>
      <c r="H833" s="621"/>
      <c r="I833" s="557">
        <v>100</v>
      </c>
      <c r="J833" s="557">
        <v>3794.7</v>
      </c>
      <c r="K833" s="882">
        <f>+A833-D833</f>
        <v>0</v>
      </c>
      <c r="L833" s="879">
        <f>((+B833/A833)-(E833/D833))/(B833/A833)</f>
        <v>2.5160951193207892E-2</v>
      </c>
    </row>
    <row r="834" spans="1:12" x14ac:dyDescent="0.3">
      <c r="A834" s="887"/>
      <c r="B834" s="889"/>
      <c r="C834" s="889"/>
      <c r="D834" s="889"/>
      <c r="E834" s="889"/>
      <c r="F834" s="588" t="s">
        <v>6319</v>
      </c>
      <c r="G834" s="588">
        <v>104591</v>
      </c>
      <c r="H834" s="621"/>
      <c r="I834" s="557">
        <v>1740</v>
      </c>
      <c r="J834" s="557">
        <v>69381</v>
      </c>
      <c r="K834" s="883"/>
      <c r="L834" s="885"/>
    </row>
    <row r="835" spans="1:12" ht="15" thickBot="1" x14ac:dyDescent="0.35">
      <c r="A835" s="888"/>
      <c r="B835" s="890"/>
      <c r="C835" s="890"/>
      <c r="D835" s="890"/>
      <c r="E835" s="890"/>
      <c r="F835" s="589" t="s">
        <v>6319</v>
      </c>
      <c r="G835" s="589">
        <v>104591</v>
      </c>
      <c r="H835" s="622"/>
      <c r="I835" s="561">
        <v>801</v>
      </c>
      <c r="J835" s="561">
        <v>30863.9</v>
      </c>
      <c r="K835" s="884"/>
      <c r="L835" s="880"/>
    </row>
    <row r="836" spans="1:12" ht="15" thickBot="1" x14ac:dyDescent="0.35">
      <c r="A836" s="591">
        <v>250</v>
      </c>
      <c r="B836" s="594">
        <v>9717.5</v>
      </c>
      <c r="C836" s="594" t="s">
        <v>6320</v>
      </c>
      <c r="D836" s="594">
        <f>+I836</f>
        <v>250</v>
      </c>
      <c r="E836" s="594">
        <f>+J836</f>
        <v>9512.6</v>
      </c>
      <c r="F836" s="594" t="s">
        <v>6321</v>
      </c>
      <c r="G836" s="594">
        <v>104671</v>
      </c>
      <c r="H836" s="600"/>
      <c r="I836" s="561">
        <v>250</v>
      </c>
      <c r="J836" s="561">
        <v>9512.6</v>
      </c>
      <c r="K836" s="54">
        <f t="shared" ref="K836" si="270">+A836-D836</f>
        <v>0</v>
      </c>
      <c r="L836" s="53">
        <f t="shared" ref="L836" si="271">((+B836/A836)-(E836/D836))/(B836/A836)</f>
        <v>2.1085670182659999E-2</v>
      </c>
    </row>
    <row r="837" spans="1:12" x14ac:dyDescent="0.3">
      <c r="A837" s="871">
        <v>3538</v>
      </c>
      <c r="B837" s="873">
        <v>135927</v>
      </c>
      <c r="C837" s="881" t="s">
        <v>6322</v>
      </c>
      <c r="D837" s="881">
        <f>+I837+I840+I838+I839</f>
        <v>3538</v>
      </c>
      <c r="E837" s="881">
        <f>+J837+J840+J838+J839</f>
        <v>131245.6</v>
      </c>
      <c r="F837" s="593" t="s">
        <v>6323</v>
      </c>
      <c r="G837" s="593">
        <v>104681</v>
      </c>
      <c r="I837" s="557">
        <v>878</v>
      </c>
      <c r="J837" s="557">
        <v>34890.100000000006</v>
      </c>
      <c r="K837" s="877">
        <f>+A837-D837</f>
        <v>0</v>
      </c>
      <c r="L837" s="879">
        <f>((+B837/A837)-(E837/D837))/(B837/A837)</f>
        <v>3.4440545292693865E-2</v>
      </c>
    </row>
    <row r="838" spans="1:12" x14ac:dyDescent="0.3">
      <c r="A838" s="875"/>
      <c r="B838" s="881"/>
      <c r="C838" s="881"/>
      <c r="D838" s="881"/>
      <c r="E838" s="881"/>
      <c r="F838" s="593" t="s">
        <v>6323</v>
      </c>
      <c r="G838" s="593">
        <v>104682</v>
      </c>
      <c r="I838" s="557">
        <v>880</v>
      </c>
      <c r="J838" s="557">
        <v>32196.400000000001</v>
      </c>
      <c r="K838" s="886"/>
      <c r="L838" s="885"/>
    </row>
    <row r="839" spans="1:12" x14ac:dyDescent="0.3">
      <c r="A839" s="875"/>
      <c r="B839" s="881"/>
      <c r="C839" s="881"/>
      <c r="D839" s="881"/>
      <c r="E839" s="881"/>
      <c r="F839" s="593" t="s">
        <v>6323</v>
      </c>
      <c r="G839" s="593">
        <v>104681</v>
      </c>
      <c r="I839" s="557">
        <v>880</v>
      </c>
      <c r="J839" s="557">
        <v>34740.1</v>
      </c>
      <c r="K839" s="886"/>
      <c r="L839" s="885"/>
    </row>
    <row r="840" spans="1:12" ht="15" thickBot="1" x14ac:dyDescent="0.35">
      <c r="A840" s="872"/>
      <c r="B840" s="874"/>
      <c r="C840" s="881"/>
      <c r="D840" s="881"/>
      <c r="E840" s="881"/>
      <c r="F840" s="593" t="s">
        <v>6323</v>
      </c>
      <c r="G840" s="593">
        <v>104682</v>
      </c>
      <c r="I840" s="557">
        <v>900</v>
      </c>
      <c r="J840" s="557">
        <v>29419</v>
      </c>
      <c r="K840" s="878"/>
      <c r="L840" s="880"/>
    </row>
    <row r="841" spans="1:12" x14ac:dyDescent="0.3">
      <c r="A841" s="871">
        <v>2338</v>
      </c>
      <c r="B841" s="873">
        <v>95835</v>
      </c>
      <c r="C841" s="873" t="s">
        <v>6324</v>
      </c>
      <c r="D841" s="873">
        <f>+I841+I842+I843+358</f>
        <v>2338</v>
      </c>
      <c r="E841" s="873">
        <f>+J841+J842+J843+14013</f>
        <v>95914.8</v>
      </c>
      <c r="F841" s="592" t="s">
        <v>6325</v>
      </c>
      <c r="G841" s="592">
        <v>104741</v>
      </c>
      <c r="H841" s="40"/>
      <c r="I841" s="559">
        <v>420</v>
      </c>
      <c r="J841" s="559">
        <v>17640.900000000001</v>
      </c>
      <c r="K841" s="882">
        <f>+A841-D841</f>
        <v>0</v>
      </c>
      <c r="L841" s="879">
        <f>((+B841/A841)-(E841/D841))/(B841/A841)</f>
        <v>-8.3268117076221279E-4</v>
      </c>
    </row>
    <row r="842" spans="1:12" x14ac:dyDescent="0.3">
      <c r="A842" s="875"/>
      <c r="B842" s="881"/>
      <c r="C842" s="881"/>
      <c r="D842" s="881"/>
      <c r="E842" s="881"/>
      <c r="F842" s="593" t="s">
        <v>6325</v>
      </c>
      <c r="G842" s="593">
        <v>104741</v>
      </c>
      <c r="I842" s="557">
        <v>900</v>
      </c>
      <c r="J842" s="557">
        <v>37328.200000000004</v>
      </c>
      <c r="K842" s="883"/>
      <c r="L842" s="885"/>
    </row>
    <row r="843" spans="1:12" ht="15" thickBot="1" x14ac:dyDescent="0.35">
      <c r="A843" s="872"/>
      <c r="B843" s="874"/>
      <c r="C843" s="874"/>
      <c r="D843" s="874"/>
      <c r="E843" s="874"/>
      <c r="F843" s="594" t="s">
        <v>6325</v>
      </c>
      <c r="G843" s="594">
        <v>104742</v>
      </c>
      <c r="H843" s="600"/>
      <c r="I843" s="599">
        <v>660</v>
      </c>
      <c r="J843" s="599">
        <v>26932.7</v>
      </c>
      <c r="K843" s="884"/>
      <c r="L843" s="880"/>
    </row>
    <row r="844" spans="1:12" x14ac:dyDescent="0.3">
      <c r="A844" s="871">
        <v>4697</v>
      </c>
      <c r="B844" s="873">
        <v>169295</v>
      </c>
      <c r="C844" s="873" t="s">
        <v>6472</v>
      </c>
      <c r="D844" s="873">
        <f>+I844+I845+I846+I847+I849+I848</f>
        <v>4672</v>
      </c>
      <c r="E844" s="873">
        <f>+J844+J845+J846+J847+J849+J848</f>
        <v>166801.79999999999</v>
      </c>
      <c r="F844" s="602" t="s">
        <v>6473</v>
      </c>
      <c r="G844" s="602">
        <v>104831</v>
      </c>
      <c r="H844" s="614"/>
      <c r="I844" s="614">
        <v>990</v>
      </c>
      <c r="J844" s="614">
        <v>35052.899999999994</v>
      </c>
      <c r="K844" s="877">
        <f>+A844-D844</f>
        <v>25</v>
      </c>
      <c r="L844" s="942">
        <f>((+B844/A844)-(E844/D844))/(B844/A844)</f>
        <v>9.4547328526400128E-3</v>
      </c>
    </row>
    <row r="845" spans="1:12" x14ac:dyDescent="0.3">
      <c r="A845" s="875"/>
      <c r="B845" s="881"/>
      <c r="C845" s="881"/>
      <c r="D845" s="881"/>
      <c r="E845" s="881"/>
      <c r="F845" s="605" t="s">
        <v>6474</v>
      </c>
      <c r="G845" s="605">
        <v>104831</v>
      </c>
      <c r="H845" s="50"/>
      <c r="I845" s="50">
        <v>627</v>
      </c>
      <c r="J845" s="50">
        <v>21869.9</v>
      </c>
      <c r="K845" s="886"/>
      <c r="L845" s="943"/>
    </row>
    <row r="846" spans="1:12" x14ac:dyDescent="0.3">
      <c r="A846" s="875"/>
      <c r="B846" s="881"/>
      <c r="C846" s="881"/>
      <c r="D846" s="881"/>
      <c r="E846" s="881"/>
      <c r="F846" s="605" t="s">
        <v>6474</v>
      </c>
      <c r="G846" s="605">
        <v>104832</v>
      </c>
      <c r="H846" s="50"/>
      <c r="I846" s="50">
        <v>239</v>
      </c>
      <c r="J846" s="50">
        <v>8508.6</v>
      </c>
      <c r="K846" s="886"/>
      <c r="L846" s="943"/>
    </row>
    <row r="847" spans="1:12" x14ac:dyDescent="0.3">
      <c r="A847" s="875"/>
      <c r="B847" s="881"/>
      <c r="C847" s="881"/>
      <c r="D847" s="881"/>
      <c r="E847" s="881"/>
      <c r="F847" s="605" t="s">
        <v>6474</v>
      </c>
      <c r="G847" s="605">
        <v>104832</v>
      </c>
      <c r="H847" s="50"/>
      <c r="I847" s="50">
        <v>1227</v>
      </c>
      <c r="J847" s="50">
        <v>43679.4</v>
      </c>
      <c r="K847" s="886"/>
      <c r="L847" s="943"/>
    </row>
    <row r="848" spans="1:12" x14ac:dyDescent="0.3">
      <c r="A848" s="875"/>
      <c r="B848" s="881"/>
      <c r="C848" s="881"/>
      <c r="D848" s="881"/>
      <c r="E848" s="881"/>
      <c r="F848" s="605" t="s">
        <v>6474</v>
      </c>
      <c r="G848" s="605">
        <v>104833</v>
      </c>
      <c r="H848" s="50"/>
      <c r="I848" s="50">
        <v>288</v>
      </c>
      <c r="J848" s="50">
        <v>10560.9</v>
      </c>
      <c r="K848" s="886"/>
      <c r="L848" s="943"/>
    </row>
    <row r="849" spans="1:12" ht="15" thickBot="1" x14ac:dyDescent="0.35">
      <c r="A849" s="875"/>
      <c r="B849" s="881"/>
      <c r="C849" s="881"/>
      <c r="D849" s="881"/>
      <c r="E849" s="881"/>
      <c r="F849" s="605" t="s">
        <v>6474</v>
      </c>
      <c r="G849" s="605">
        <v>104833</v>
      </c>
      <c r="H849" s="50"/>
      <c r="I849" s="50">
        <v>1301</v>
      </c>
      <c r="J849" s="50">
        <v>47130.1</v>
      </c>
      <c r="K849" s="878"/>
      <c r="L849" s="944"/>
    </row>
    <row r="850" spans="1:12" x14ac:dyDescent="0.3">
      <c r="A850" s="871">
        <v>491</v>
      </c>
      <c r="B850" s="873">
        <v>19254.8</v>
      </c>
      <c r="C850" s="873" t="s">
        <v>6475</v>
      </c>
      <c r="D850" s="873">
        <f>+I850+I851</f>
        <v>491</v>
      </c>
      <c r="E850" s="873">
        <f>+J850+J851</f>
        <v>18950</v>
      </c>
      <c r="F850" s="602" t="s">
        <v>6476</v>
      </c>
      <c r="G850" s="602">
        <v>104841</v>
      </c>
      <c r="H850" s="40"/>
      <c r="I850" s="614">
        <v>158</v>
      </c>
      <c r="J850" s="614">
        <v>6455.7999999999993</v>
      </c>
      <c r="K850" s="877">
        <f t="shared" ref="K850" si="272">+A850-D850</f>
        <v>0</v>
      </c>
      <c r="L850" s="879">
        <f t="shared" ref="L850" si="273">((+B850/A850)-(E850/D850))/(B850/A850)</f>
        <v>1.5829819058105005E-2</v>
      </c>
    </row>
    <row r="851" spans="1:12" ht="15" thickBot="1" x14ac:dyDescent="0.35">
      <c r="A851" s="872"/>
      <c r="B851" s="874"/>
      <c r="C851" s="874"/>
      <c r="D851" s="874"/>
      <c r="E851" s="874"/>
      <c r="F851" s="603" t="s">
        <v>6476</v>
      </c>
      <c r="G851" s="603">
        <v>104841</v>
      </c>
      <c r="H851" s="620"/>
      <c r="I851" s="615">
        <v>333</v>
      </c>
      <c r="J851" s="615">
        <v>12494.2</v>
      </c>
      <c r="K851" s="878"/>
      <c r="L851" s="880"/>
    </row>
    <row r="852" spans="1:12" x14ac:dyDescent="0.3">
      <c r="A852" s="875">
        <v>2200</v>
      </c>
      <c r="B852" s="881">
        <v>90138.7</v>
      </c>
      <c r="C852" s="881" t="s">
        <v>6477</v>
      </c>
      <c r="D852" s="881">
        <f>+I852+I853</f>
        <v>2200</v>
      </c>
      <c r="E852" s="881">
        <f>+J852+J853</f>
        <v>88454</v>
      </c>
      <c r="F852" s="605" t="s">
        <v>6478</v>
      </c>
      <c r="G852" s="605">
        <v>104881</v>
      </c>
      <c r="I852" s="50">
        <v>1100</v>
      </c>
      <c r="J852" s="50">
        <v>43428.3</v>
      </c>
      <c r="K852" s="877">
        <f t="shared" ref="K852" si="274">+A852-D852</f>
        <v>0</v>
      </c>
      <c r="L852" s="879">
        <f t="shared" ref="L852" si="275">((+B852/A852)-(E852/D852))/(B852/A852)</f>
        <v>1.8690085390625746E-2</v>
      </c>
    </row>
    <row r="853" spans="1:12" ht="15" thickBot="1" x14ac:dyDescent="0.35">
      <c r="A853" s="875"/>
      <c r="B853" s="881"/>
      <c r="C853" s="881"/>
      <c r="D853" s="881"/>
      <c r="E853" s="881"/>
      <c r="F853" s="605" t="s">
        <v>6478</v>
      </c>
      <c r="G853" s="605">
        <v>104882</v>
      </c>
      <c r="I853" s="50">
        <v>1100</v>
      </c>
      <c r="J853" s="50">
        <v>45025.7</v>
      </c>
      <c r="K853" s="878"/>
      <c r="L853" s="880"/>
    </row>
    <row r="854" spans="1:12" x14ac:dyDescent="0.3">
      <c r="A854" s="871">
        <v>1759</v>
      </c>
      <c r="B854" s="873">
        <v>65020.3</v>
      </c>
      <c r="C854" s="873" t="s">
        <v>6479</v>
      </c>
      <c r="D854" s="873">
        <f>+I854+I855+I856</f>
        <v>1759</v>
      </c>
      <c r="E854" s="873">
        <f>+J854+J855+J856</f>
        <v>64639.8</v>
      </c>
      <c r="F854" s="602" t="s">
        <v>6480</v>
      </c>
      <c r="G854" s="602">
        <v>104941</v>
      </c>
      <c r="H854" s="40"/>
      <c r="I854" s="614">
        <v>220</v>
      </c>
      <c r="J854" s="614">
        <v>8988.2999999999993</v>
      </c>
      <c r="K854" s="882">
        <f>+A854-D854</f>
        <v>0</v>
      </c>
      <c r="L854" s="879">
        <f>((+B854/A854)-(E854/D854))/(B854/A854)</f>
        <v>5.8520185234457326E-3</v>
      </c>
    </row>
    <row r="855" spans="1:12" x14ac:dyDescent="0.3">
      <c r="A855" s="875"/>
      <c r="B855" s="881"/>
      <c r="C855" s="881"/>
      <c r="D855" s="881"/>
      <c r="E855" s="881"/>
      <c r="F855" s="605" t="s">
        <v>6480</v>
      </c>
      <c r="G855" s="605">
        <v>104941</v>
      </c>
      <c r="I855" s="50">
        <v>1030</v>
      </c>
      <c r="J855" s="50">
        <v>37206.700000000004</v>
      </c>
      <c r="K855" s="883"/>
      <c r="L855" s="885"/>
    </row>
    <row r="856" spans="1:12" ht="15" thickBot="1" x14ac:dyDescent="0.35">
      <c r="A856" s="875"/>
      <c r="B856" s="881"/>
      <c r="C856" s="881"/>
      <c r="D856" s="881"/>
      <c r="E856" s="881"/>
      <c r="F856" s="605" t="s">
        <v>6480</v>
      </c>
      <c r="G856" s="605">
        <v>104942</v>
      </c>
      <c r="I856" s="50">
        <v>509</v>
      </c>
      <c r="J856" s="50">
        <v>18444.8</v>
      </c>
      <c r="K856" s="884"/>
      <c r="L856" s="880"/>
    </row>
    <row r="857" spans="1:12" x14ac:dyDescent="0.3">
      <c r="A857" s="871">
        <v>750</v>
      </c>
      <c r="B857" s="873">
        <v>30209.4</v>
      </c>
      <c r="C857" s="873" t="s">
        <v>6481</v>
      </c>
      <c r="D857" s="873">
        <f>+I857+I858+I859</f>
        <v>730</v>
      </c>
      <c r="E857" s="873">
        <f>+J857+J858+J859</f>
        <v>29000.199999999997</v>
      </c>
      <c r="F857" s="602" t="s">
        <v>6482</v>
      </c>
      <c r="G857" s="602">
        <v>104951</v>
      </c>
      <c r="H857" s="40"/>
      <c r="I857" s="614">
        <v>291</v>
      </c>
      <c r="J857" s="614">
        <v>11543.5</v>
      </c>
      <c r="K857" s="882">
        <f>+A857-D857</f>
        <v>20</v>
      </c>
      <c r="L857" s="879">
        <f>((+B857/A857)-(E857/D857))/(B857/A857)</f>
        <v>1.3726653710525382E-2</v>
      </c>
    </row>
    <row r="858" spans="1:12" x14ac:dyDescent="0.3">
      <c r="A858" s="875"/>
      <c r="B858" s="881"/>
      <c r="C858" s="881"/>
      <c r="D858" s="881"/>
      <c r="E858" s="881"/>
      <c r="F858" s="605" t="s">
        <v>6482</v>
      </c>
      <c r="G858" s="605">
        <v>104951</v>
      </c>
      <c r="I858" s="50">
        <v>189</v>
      </c>
      <c r="J858" s="50">
        <v>7510</v>
      </c>
      <c r="K858" s="883"/>
      <c r="L858" s="885"/>
    </row>
    <row r="859" spans="1:12" ht="15" thickBot="1" x14ac:dyDescent="0.35">
      <c r="A859" s="604"/>
      <c r="B859" s="605"/>
      <c r="C859" s="605"/>
      <c r="D859" s="881"/>
      <c r="E859" s="881"/>
      <c r="F859" s="605" t="s">
        <v>6482</v>
      </c>
      <c r="G859" s="605">
        <v>104951</v>
      </c>
      <c r="I859" s="50">
        <v>250</v>
      </c>
      <c r="J859" s="50">
        <v>9946.6999999999989</v>
      </c>
      <c r="K859" s="884"/>
      <c r="L859" s="880"/>
    </row>
    <row r="860" spans="1:12" x14ac:dyDescent="0.3">
      <c r="A860" s="871">
        <v>3300</v>
      </c>
      <c r="B860" s="873">
        <v>134044.70000000001</v>
      </c>
      <c r="C860" s="873" t="s">
        <v>6483</v>
      </c>
      <c r="D860" s="873">
        <f>+I860+I861+I862</f>
        <v>3300</v>
      </c>
      <c r="E860" s="873">
        <f>+J860+J861+J862</f>
        <v>131857.5</v>
      </c>
      <c r="F860" s="602" t="s">
        <v>6484</v>
      </c>
      <c r="G860" s="602">
        <v>104961</v>
      </c>
      <c r="H860" s="40"/>
      <c r="I860" s="614">
        <v>1540</v>
      </c>
      <c r="J860" s="614">
        <v>60718.8</v>
      </c>
      <c r="K860" s="882">
        <f>+A860-D860</f>
        <v>0</v>
      </c>
      <c r="L860" s="879">
        <f>((+B860/A860)-(E860/D860))/(B860/A860)</f>
        <v>1.6316945019087151E-2</v>
      </c>
    </row>
    <row r="861" spans="1:12" x14ac:dyDescent="0.3">
      <c r="A861" s="875"/>
      <c r="B861" s="881"/>
      <c r="C861" s="881"/>
      <c r="D861" s="881"/>
      <c r="E861" s="881"/>
      <c r="F861" s="605" t="s">
        <v>6484</v>
      </c>
      <c r="G861" s="605">
        <v>104961</v>
      </c>
      <c r="I861" s="50">
        <v>1100</v>
      </c>
      <c r="J861" s="50">
        <v>44587.3</v>
      </c>
      <c r="K861" s="883"/>
      <c r="L861" s="885"/>
    </row>
    <row r="862" spans="1:12" ht="15" thickBot="1" x14ac:dyDescent="0.35">
      <c r="A862" s="872"/>
      <c r="B862" s="874"/>
      <c r="C862" s="874"/>
      <c r="D862" s="874"/>
      <c r="E862" s="874"/>
      <c r="F862" s="603" t="s">
        <v>6484</v>
      </c>
      <c r="G862" s="603">
        <v>104961</v>
      </c>
      <c r="H862" s="620"/>
      <c r="I862" s="615">
        <v>660</v>
      </c>
      <c r="J862" s="615">
        <v>26551.4</v>
      </c>
      <c r="K862" s="884"/>
      <c r="L862" s="880"/>
    </row>
    <row r="863" spans="1:12" ht="15" thickBot="1" x14ac:dyDescent="0.35">
      <c r="A863" s="601">
        <v>430</v>
      </c>
      <c r="B863" s="602">
        <v>17469.8</v>
      </c>
      <c r="C863" s="602" t="s">
        <v>6485</v>
      </c>
      <c r="D863" s="602">
        <f>+I863</f>
        <v>430</v>
      </c>
      <c r="E863" s="602">
        <f>+J863</f>
        <v>17308.400000000001</v>
      </c>
      <c r="F863" s="602" t="s">
        <v>6486</v>
      </c>
      <c r="G863" s="602">
        <v>105001</v>
      </c>
      <c r="H863" s="40"/>
      <c r="I863" s="614">
        <v>430</v>
      </c>
      <c r="J863" s="614">
        <v>17308.400000000001</v>
      </c>
      <c r="K863" s="54">
        <f t="shared" ref="K863" si="276">+A863-D863</f>
        <v>0</v>
      </c>
      <c r="L863" s="53">
        <f t="shared" ref="L863" si="277">((+B863/A863)-(E863/D863))/(B863/A863)</f>
        <v>9.2388006731614954E-3</v>
      </c>
    </row>
    <row r="864" spans="1:12" x14ac:dyDescent="0.3">
      <c r="A864" s="871">
        <v>1480</v>
      </c>
      <c r="B864" s="873">
        <v>58762.2</v>
      </c>
      <c r="C864" s="873" t="s">
        <v>6487</v>
      </c>
      <c r="D864" s="873">
        <f>+I864+I865</f>
        <v>1480</v>
      </c>
      <c r="E864" s="873">
        <f>+J864+J865</f>
        <v>58063.9</v>
      </c>
      <c r="F864" s="602" t="s">
        <v>6488</v>
      </c>
      <c r="G864" s="602">
        <v>105031</v>
      </c>
      <c r="H864" s="40"/>
      <c r="I864" s="614">
        <v>200</v>
      </c>
      <c r="J864" s="614">
        <v>8096.6</v>
      </c>
      <c r="K864" s="877">
        <f t="shared" ref="K864" si="278">+A864-D864</f>
        <v>0</v>
      </c>
      <c r="L864" s="879">
        <f t="shared" ref="L864" si="279">((+B864/A864)-(E864/D864))/(B864/A864)</f>
        <v>1.1883489726388717E-2</v>
      </c>
    </row>
    <row r="865" spans="1:12" ht="15" thickBot="1" x14ac:dyDescent="0.35">
      <c r="A865" s="872"/>
      <c r="B865" s="874"/>
      <c r="C865" s="874"/>
      <c r="D865" s="874"/>
      <c r="E865" s="874"/>
      <c r="F865" s="603" t="s">
        <v>6488</v>
      </c>
      <c r="G865" s="603">
        <v>105031</v>
      </c>
      <c r="H865" s="620"/>
      <c r="I865" s="615">
        <v>1280</v>
      </c>
      <c r="J865" s="615">
        <v>49967.3</v>
      </c>
      <c r="K865" s="878"/>
      <c r="L865" s="880"/>
    </row>
    <row r="866" spans="1:12" x14ac:dyDescent="0.3">
      <c r="A866" s="901">
        <v>2860</v>
      </c>
      <c r="B866" s="873">
        <v>117458.7</v>
      </c>
      <c r="C866" s="873" t="s">
        <v>6489</v>
      </c>
      <c r="D866" s="873">
        <f>+I866+I867+880</f>
        <v>2861</v>
      </c>
      <c r="E866" s="873">
        <f>+J866+J867+35978.2</f>
        <v>116105.3</v>
      </c>
      <c r="F866" s="602" t="s">
        <v>6490</v>
      </c>
      <c r="G866" s="602">
        <v>105081</v>
      </c>
      <c r="H866" s="40"/>
      <c r="I866" s="614">
        <v>881</v>
      </c>
      <c r="J866" s="614">
        <v>35466.800000000003</v>
      </c>
      <c r="K866" s="877">
        <f t="shared" ref="K866" si="280">+A866-D866</f>
        <v>-1</v>
      </c>
      <c r="L866" s="879">
        <f t="shared" ref="L866" si="281">((+B866/A866)-(E866/D866))/(B866/A866)</f>
        <v>1.1867848607268494E-2</v>
      </c>
    </row>
    <row r="867" spans="1:12" ht="15" thickBot="1" x14ac:dyDescent="0.35">
      <c r="A867" s="888"/>
      <c r="B867" s="874"/>
      <c r="C867" s="874"/>
      <c r="D867" s="874"/>
      <c r="E867" s="874"/>
      <c r="F867" s="603" t="s">
        <v>6490</v>
      </c>
      <c r="G867" s="603">
        <v>105081</v>
      </c>
      <c r="H867" s="620"/>
      <c r="I867" s="615">
        <v>1100</v>
      </c>
      <c r="J867" s="615">
        <v>44660.3</v>
      </c>
      <c r="K867" s="878"/>
      <c r="L867" s="880"/>
    </row>
    <row r="868" spans="1:12" ht="15" thickBot="1" x14ac:dyDescent="0.35">
      <c r="A868" s="197">
        <v>856</v>
      </c>
      <c r="B868" s="8">
        <v>33900.400000000001</v>
      </c>
      <c r="C868" s="8" t="s">
        <v>6492</v>
      </c>
      <c r="D868" s="8">
        <f>+I868</f>
        <v>856</v>
      </c>
      <c r="E868" s="8">
        <f>+J868</f>
        <v>33415.4</v>
      </c>
      <c r="F868" s="8" t="s">
        <v>6493</v>
      </c>
      <c r="G868" s="8">
        <v>105031</v>
      </c>
      <c r="H868" s="14"/>
      <c r="I868" s="45">
        <v>856</v>
      </c>
      <c r="J868" s="45">
        <v>33415.4</v>
      </c>
      <c r="K868" s="54">
        <f t="shared" ref="K868:K869" si="282">+A868-D868</f>
        <v>0</v>
      </c>
      <c r="L868" s="53">
        <f t="shared" ref="L868:L869" si="283">((+B868/A868)-(E868/D868))/(B868/A868)</f>
        <v>1.4306615851140318E-2</v>
      </c>
    </row>
    <row r="869" spans="1:12" x14ac:dyDescent="0.3">
      <c r="A869" s="945">
        <v>1693</v>
      </c>
      <c r="B869" s="947">
        <v>59460.3</v>
      </c>
      <c r="C869" s="947" t="s">
        <v>6579</v>
      </c>
      <c r="D869" s="947">
        <f>+I869+I870</f>
        <v>1694</v>
      </c>
      <c r="E869" s="947">
        <f>+J869+J870</f>
        <v>57814.1</v>
      </c>
      <c r="F869" s="660" t="s">
        <v>6580</v>
      </c>
      <c r="G869" s="660">
        <v>10514</v>
      </c>
      <c r="H869" s="661"/>
      <c r="I869" s="662">
        <v>1098</v>
      </c>
      <c r="J869" s="662">
        <v>38735.599999999999</v>
      </c>
      <c r="K869" s="877">
        <f t="shared" si="282"/>
        <v>-1</v>
      </c>
      <c r="L869" s="879">
        <f t="shared" si="283"/>
        <v>2.8259674917957094E-2</v>
      </c>
    </row>
    <row r="870" spans="1:12" ht="15" thickBot="1" x14ac:dyDescent="0.35">
      <c r="A870" s="946"/>
      <c r="B870" s="881"/>
      <c r="C870" s="881"/>
      <c r="D870" s="881"/>
      <c r="E870" s="881"/>
      <c r="F870" s="650" t="s">
        <v>6580</v>
      </c>
      <c r="G870" s="650">
        <v>10514</v>
      </c>
      <c r="I870" s="50">
        <v>596</v>
      </c>
      <c r="J870" s="50">
        <v>19078.5</v>
      </c>
      <c r="K870" s="878"/>
      <c r="L870" s="880"/>
    </row>
    <row r="871" spans="1:12" ht="15" thickBot="1" x14ac:dyDescent="0.35">
      <c r="A871" s="197">
        <v>1320</v>
      </c>
      <c r="B871" s="8">
        <v>51439.1</v>
      </c>
      <c r="C871" s="8" t="s">
        <v>6581</v>
      </c>
      <c r="D871" s="8">
        <f>+I871</f>
        <v>1320</v>
      </c>
      <c r="E871" s="8">
        <f>+J871</f>
        <v>50659.199999999997</v>
      </c>
      <c r="F871" s="8" t="s">
        <v>6582</v>
      </c>
      <c r="G871" s="8">
        <v>10519</v>
      </c>
      <c r="H871" s="14"/>
      <c r="I871" s="45">
        <v>1320</v>
      </c>
      <c r="J871" s="45">
        <v>50659.199999999997</v>
      </c>
      <c r="K871" s="54">
        <f t="shared" ref="K871" si="284">+A871-D871</f>
        <v>0</v>
      </c>
      <c r="L871" s="53">
        <f t="shared" ref="L871" si="285">((+B871/A871)-(E871/D871))/(B871/A871)</f>
        <v>1.5161618302031013E-2</v>
      </c>
    </row>
    <row r="872" spans="1:12" x14ac:dyDescent="0.3">
      <c r="A872" s="871">
        <v>1540</v>
      </c>
      <c r="B872" s="873">
        <v>61407.7</v>
      </c>
      <c r="C872" s="873" t="s">
        <v>6583</v>
      </c>
      <c r="D872" s="873">
        <f>+I872+I873</f>
        <v>1540</v>
      </c>
      <c r="E872" s="873">
        <f>+J872+J873</f>
        <v>60891.399999999994</v>
      </c>
      <c r="F872" s="649" t="s">
        <v>6584</v>
      </c>
      <c r="G872" s="649">
        <v>10521</v>
      </c>
      <c r="H872" s="40"/>
      <c r="I872" s="652">
        <v>1100</v>
      </c>
      <c r="J872" s="652">
        <v>44088.799999999996</v>
      </c>
      <c r="K872" s="877">
        <f t="shared" ref="K872" si="286">+A872-D872</f>
        <v>0</v>
      </c>
      <c r="L872" s="879">
        <f t="shared" ref="L872" si="287">((+B872/A872)-(E872/D872))/(B872/A872)</f>
        <v>8.4077403973769685E-3</v>
      </c>
    </row>
    <row r="873" spans="1:12" ht="15" thickBot="1" x14ac:dyDescent="0.35">
      <c r="A873" s="875"/>
      <c r="B873" s="881"/>
      <c r="C873" s="881"/>
      <c r="D873" s="881"/>
      <c r="E873" s="881"/>
      <c r="F873" s="650" t="s">
        <v>6584</v>
      </c>
      <c r="G873" s="650">
        <v>10521</v>
      </c>
      <c r="I873" s="50">
        <v>440</v>
      </c>
      <c r="J873" s="50">
        <v>16802.599999999999</v>
      </c>
      <c r="K873" s="878"/>
      <c r="L873" s="880"/>
    </row>
    <row r="874" spans="1:12" x14ac:dyDescent="0.3">
      <c r="A874" s="871">
        <f>3080+371</f>
        <v>3451</v>
      </c>
      <c r="B874" s="873">
        <v>139210.4</v>
      </c>
      <c r="C874" s="873" t="s">
        <v>6585</v>
      </c>
      <c r="D874" s="873">
        <v>3451</v>
      </c>
      <c r="E874" s="873">
        <v>136709.6</v>
      </c>
      <c r="F874" s="649" t="s">
        <v>6586</v>
      </c>
      <c r="G874" s="649">
        <v>105251</v>
      </c>
      <c r="H874" s="40"/>
      <c r="I874" s="652">
        <v>440</v>
      </c>
      <c r="J874" s="652">
        <v>18342.099999999999</v>
      </c>
      <c r="K874" s="882">
        <f>+A874-D874</f>
        <v>0</v>
      </c>
      <c r="L874" s="879">
        <f>((+B874/A874)-(E874/D874))/(B874/A874)</f>
        <v>1.7964175090366609E-2</v>
      </c>
    </row>
    <row r="875" spans="1:12" x14ac:dyDescent="0.3">
      <c r="A875" s="875"/>
      <c r="B875" s="881"/>
      <c r="C875" s="881"/>
      <c r="D875" s="881"/>
      <c r="E875" s="881"/>
      <c r="F875" s="650" t="s">
        <v>6586</v>
      </c>
      <c r="G875" s="650">
        <v>105251</v>
      </c>
      <c r="I875" s="50">
        <v>880</v>
      </c>
      <c r="J875" s="50">
        <v>34177.1</v>
      </c>
      <c r="K875" s="883"/>
      <c r="L875" s="885"/>
    </row>
    <row r="876" spans="1:12" x14ac:dyDescent="0.3">
      <c r="A876" s="875"/>
      <c r="B876" s="881"/>
      <c r="C876" s="881"/>
      <c r="D876" s="881"/>
      <c r="E876" s="881"/>
      <c r="F876" s="650" t="s">
        <v>6586</v>
      </c>
      <c r="G876" s="650">
        <v>105252</v>
      </c>
      <c r="I876" s="50">
        <v>440</v>
      </c>
      <c r="J876" s="50">
        <v>17479.5</v>
      </c>
      <c r="K876" s="883"/>
      <c r="L876" s="885"/>
    </row>
    <row r="877" spans="1:12" x14ac:dyDescent="0.3">
      <c r="A877" s="875"/>
      <c r="B877" s="881"/>
      <c r="C877" s="881"/>
      <c r="D877" s="881"/>
      <c r="E877" s="881"/>
      <c r="F877" s="650" t="s">
        <v>6586</v>
      </c>
      <c r="G877" s="650">
        <v>105252</v>
      </c>
      <c r="I877" s="50">
        <v>880</v>
      </c>
      <c r="J877" s="50">
        <v>34591.699999999997</v>
      </c>
      <c r="K877" s="883"/>
      <c r="L877" s="885"/>
    </row>
    <row r="878" spans="1:12" ht="15" thickBot="1" x14ac:dyDescent="0.35">
      <c r="A878" s="872"/>
      <c r="B878" s="874"/>
      <c r="C878" s="874"/>
      <c r="D878" s="874"/>
      <c r="E878" s="874"/>
      <c r="F878" s="651" t="s">
        <v>6586</v>
      </c>
      <c r="G878" s="651">
        <v>105253</v>
      </c>
      <c r="H878" s="654"/>
      <c r="I878" s="653">
        <v>440</v>
      </c>
      <c r="J878" s="653">
        <v>17338.900000000001</v>
      </c>
      <c r="K878" s="884"/>
      <c r="L878" s="880"/>
    </row>
    <row r="879" spans="1:12" x14ac:dyDescent="0.3">
      <c r="A879" s="871">
        <v>1980</v>
      </c>
      <c r="B879" s="873">
        <v>78224.100000000006</v>
      </c>
      <c r="C879" s="873" t="s">
        <v>6641</v>
      </c>
      <c r="D879" s="873">
        <f>+I879+I880+I881</f>
        <v>1980</v>
      </c>
      <c r="E879" s="873">
        <f>+J879+J880+J881</f>
        <v>76908.399999999994</v>
      </c>
      <c r="F879" s="666" t="s">
        <v>6642</v>
      </c>
      <c r="G879" s="666">
        <v>105271</v>
      </c>
      <c r="H879" s="40"/>
      <c r="I879" s="630">
        <v>1100</v>
      </c>
      <c r="J879" s="671">
        <v>42975.6</v>
      </c>
      <c r="K879" s="882">
        <f>+A879-D879</f>
        <v>0</v>
      </c>
      <c r="L879" s="879">
        <f>((+B879/A879)-(E879/D879))/(B879/A879)</f>
        <v>1.681962464253349E-2</v>
      </c>
    </row>
    <row r="880" spans="1:12" x14ac:dyDescent="0.3">
      <c r="A880" s="875"/>
      <c r="B880" s="881"/>
      <c r="C880" s="881"/>
      <c r="D880" s="881"/>
      <c r="E880" s="881"/>
      <c r="F880" s="664" t="s">
        <v>6642</v>
      </c>
      <c r="G880" s="664">
        <v>105272</v>
      </c>
      <c r="I880" s="632">
        <v>660</v>
      </c>
      <c r="J880" s="50">
        <v>25026.799999999999</v>
      </c>
      <c r="K880" s="883"/>
      <c r="L880" s="885"/>
    </row>
    <row r="881" spans="1:12" ht="15" thickBot="1" x14ac:dyDescent="0.35">
      <c r="A881" s="872"/>
      <c r="B881" s="874"/>
      <c r="C881" s="874"/>
      <c r="D881" s="874"/>
      <c r="E881" s="874"/>
      <c r="F881" s="668" t="s">
        <v>6642</v>
      </c>
      <c r="G881" s="668">
        <v>105272</v>
      </c>
      <c r="H881" s="674"/>
      <c r="I881" s="631">
        <v>220</v>
      </c>
      <c r="J881" s="672">
        <v>8906</v>
      </c>
      <c r="K881" s="884"/>
      <c r="L881" s="880"/>
    </row>
    <row r="882" spans="1:12" ht="15" thickBot="1" x14ac:dyDescent="0.35">
      <c r="A882" s="175">
        <v>956</v>
      </c>
      <c r="B882" s="8">
        <v>34019.75</v>
      </c>
      <c r="C882" s="8" t="s">
        <v>6643</v>
      </c>
      <c r="D882" s="8">
        <f>+I882</f>
        <v>955</v>
      </c>
      <c r="E882" s="8">
        <f>+J882</f>
        <v>34070.100000000006</v>
      </c>
      <c r="F882" s="8" t="s">
        <v>6644</v>
      </c>
      <c r="G882" s="8">
        <v>105311</v>
      </c>
      <c r="H882" s="14"/>
      <c r="I882" s="629">
        <v>955</v>
      </c>
      <c r="J882" s="45">
        <v>34070.100000000006</v>
      </c>
      <c r="K882" s="54">
        <f t="shared" ref="K882:K885" si="288">+A882-D882</f>
        <v>1</v>
      </c>
      <c r="L882" s="53">
        <f t="shared" ref="L882:L885" si="289">((+B882/A882)-(E882/D882))/(B882/A882)</f>
        <v>-2.5286928146799983E-3</v>
      </c>
    </row>
    <row r="883" spans="1:12" ht="15" thickBot="1" x14ac:dyDescent="0.35">
      <c r="A883" s="703">
        <v>1100</v>
      </c>
      <c r="B883" s="704">
        <v>43265.8</v>
      </c>
      <c r="C883" s="704" t="s">
        <v>6645</v>
      </c>
      <c r="D883" s="704">
        <f t="shared" ref="D883:E885" si="290">+I883</f>
        <v>1100</v>
      </c>
      <c r="E883" s="704">
        <f t="shared" si="290"/>
        <v>42946.1</v>
      </c>
      <c r="F883" s="704" t="s">
        <v>6646</v>
      </c>
      <c r="G883" s="704">
        <v>105322</v>
      </c>
      <c r="H883" s="705"/>
      <c r="I883" s="706">
        <v>1100</v>
      </c>
      <c r="J883" s="706">
        <v>42946.1</v>
      </c>
      <c r="K883" s="707">
        <f t="shared" si="288"/>
        <v>0</v>
      </c>
      <c r="L883" s="708">
        <f t="shared" si="289"/>
        <v>7.3892081043228346E-3</v>
      </c>
    </row>
    <row r="884" spans="1:12" ht="15" thickBot="1" x14ac:dyDescent="0.35">
      <c r="A884" s="175">
        <v>411</v>
      </c>
      <c r="B884" s="8">
        <v>18326.5</v>
      </c>
      <c r="C884" s="8" t="s">
        <v>6647</v>
      </c>
      <c r="D884" s="8">
        <f t="shared" si="290"/>
        <v>411</v>
      </c>
      <c r="E884" s="8">
        <f t="shared" si="290"/>
        <v>18559.400000000001</v>
      </c>
      <c r="F884" s="8" t="s">
        <v>6648</v>
      </c>
      <c r="G884" s="8">
        <v>105331</v>
      </c>
      <c r="H884" s="14"/>
      <c r="I884" s="629">
        <v>411</v>
      </c>
      <c r="J884" s="45">
        <v>18559.400000000001</v>
      </c>
      <c r="K884" s="54">
        <f t="shared" si="288"/>
        <v>0</v>
      </c>
      <c r="L884" s="53">
        <f t="shared" si="289"/>
        <v>-1.2708373120890588E-2</v>
      </c>
    </row>
    <row r="885" spans="1:12" ht="15" thickBot="1" x14ac:dyDescent="0.35">
      <c r="A885" s="175">
        <v>1500</v>
      </c>
      <c r="B885" s="8">
        <v>58586.1</v>
      </c>
      <c r="C885" s="8" t="s">
        <v>6649</v>
      </c>
      <c r="D885" s="8">
        <f t="shared" si="290"/>
        <v>1501</v>
      </c>
      <c r="E885" s="8">
        <f t="shared" si="290"/>
        <v>58051.1</v>
      </c>
      <c r="F885" s="8" t="s">
        <v>6650</v>
      </c>
      <c r="G885" s="8">
        <v>105341</v>
      </c>
      <c r="H885" s="14"/>
      <c r="I885" s="629">
        <v>1501</v>
      </c>
      <c r="J885" s="45">
        <v>58051.1</v>
      </c>
      <c r="K885" s="54">
        <f t="shared" si="288"/>
        <v>-1</v>
      </c>
      <c r="L885" s="53">
        <f t="shared" si="289"/>
        <v>9.7919975904405838E-3</v>
      </c>
    </row>
    <row r="886" spans="1:12" x14ac:dyDescent="0.3">
      <c r="A886" s="871">
        <v>3191</v>
      </c>
      <c r="B886" s="873">
        <v>132432.20000000001</v>
      </c>
      <c r="C886" s="873" t="s">
        <v>6651</v>
      </c>
      <c r="D886" s="873">
        <f>+I886+I887+I888+I889</f>
        <v>3191</v>
      </c>
      <c r="E886" s="873">
        <f>+J886+J887+J888+J889</f>
        <v>130409.7</v>
      </c>
      <c r="F886" s="666" t="s">
        <v>6652</v>
      </c>
      <c r="G886" s="666">
        <v>105381</v>
      </c>
      <c r="H886" s="40"/>
      <c r="I886" s="630">
        <v>220</v>
      </c>
      <c r="J886" s="671">
        <v>9298.1999999999989</v>
      </c>
      <c r="K886" s="877">
        <f>+A886-D886</f>
        <v>0</v>
      </c>
      <c r="L886" s="879">
        <f>((+B886/A886)-(E886/D886))/(B886/A886)</f>
        <v>1.5271965579368231E-2</v>
      </c>
    </row>
    <row r="887" spans="1:12" x14ac:dyDescent="0.3">
      <c r="A887" s="875"/>
      <c r="B887" s="881"/>
      <c r="C887" s="881"/>
      <c r="D887" s="881"/>
      <c r="E887" s="881"/>
      <c r="F887" s="664" t="s">
        <v>6652</v>
      </c>
      <c r="G887" s="664" t="s">
        <v>6653</v>
      </c>
      <c r="I887" s="632">
        <v>1540</v>
      </c>
      <c r="J887" s="50">
        <v>63594.5</v>
      </c>
      <c r="K887" s="886"/>
      <c r="L887" s="885"/>
    </row>
    <row r="888" spans="1:12" x14ac:dyDescent="0.3">
      <c r="A888" s="875"/>
      <c r="B888" s="881"/>
      <c r="C888" s="881"/>
      <c r="D888" s="881"/>
      <c r="E888" s="881"/>
      <c r="F888" s="664" t="s">
        <v>6652</v>
      </c>
      <c r="G888" s="664">
        <v>105382</v>
      </c>
      <c r="I888" s="632">
        <v>1320</v>
      </c>
      <c r="J888" s="50">
        <v>52894.600000000006</v>
      </c>
      <c r="K888" s="886"/>
      <c r="L888" s="885"/>
    </row>
    <row r="889" spans="1:12" ht="15" thickBot="1" x14ac:dyDescent="0.35">
      <c r="A889" s="872"/>
      <c r="B889" s="874"/>
      <c r="C889" s="874"/>
      <c r="D889" s="874"/>
      <c r="E889" s="874"/>
      <c r="F889" s="668" t="s">
        <v>6652</v>
      </c>
      <c r="G889" s="668">
        <v>105382</v>
      </c>
      <c r="H889" s="674"/>
      <c r="I889" s="631">
        <v>111</v>
      </c>
      <c r="J889" s="672">
        <v>4622.3999999999996</v>
      </c>
      <c r="K889" s="878"/>
      <c r="L889" s="880"/>
    </row>
    <row r="890" spans="1:12" x14ac:dyDescent="0.3">
      <c r="A890" s="871">
        <v>4134</v>
      </c>
      <c r="B890" s="873">
        <v>164470.6</v>
      </c>
      <c r="C890" s="873" t="s">
        <v>6654</v>
      </c>
      <c r="D890" s="873">
        <f>+I890+I891+I892+I893</f>
        <v>4134</v>
      </c>
      <c r="E890" s="873">
        <f>+J890+J891+J892+J893</f>
        <v>161323.70000000001</v>
      </c>
      <c r="F890" s="666" t="s">
        <v>6655</v>
      </c>
      <c r="G890" s="666">
        <v>105441</v>
      </c>
      <c r="H890" s="40"/>
      <c r="I890" s="630">
        <v>1540</v>
      </c>
      <c r="J890" s="671">
        <v>60865.600000000006</v>
      </c>
      <c r="K890" s="877">
        <f>+A890-D890</f>
        <v>0</v>
      </c>
      <c r="L890" s="879">
        <f>((+B890/A890)-(E890/D890))/(B890/A890)</f>
        <v>1.9133510791594224E-2</v>
      </c>
    </row>
    <row r="891" spans="1:12" x14ac:dyDescent="0.3">
      <c r="A891" s="875"/>
      <c r="B891" s="881"/>
      <c r="C891" s="881"/>
      <c r="D891" s="881"/>
      <c r="E891" s="881"/>
      <c r="F891" s="664" t="s">
        <v>6655</v>
      </c>
      <c r="G891" s="664">
        <v>105442</v>
      </c>
      <c r="I891" s="632">
        <v>1494</v>
      </c>
      <c r="J891" s="50">
        <v>57994.799999999996</v>
      </c>
      <c r="K891" s="886"/>
      <c r="L891" s="885"/>
    </row>
    <row r="892" spans="1:12" x14ac:dyDescent="0.3">
      <c r="A892" s="875"/>
      <c r="B892" s="881"/>
      <c r="C892" s="881"/>
      <c r="D892" s="881"/>
      <c r="E892" s="881"/>
      <c r="F892" s="664" t="s">
        <v>6655</v>
      </c>
      <c r="G892" s="664">
        <v>105443</v>
      </c>
      <c r="I892" s="632">
        <v>440</v>
      </c>
      <c r="J892" s="50">
        <v>16923.099999999999</v>
      </c>
      <c r="K892" s="886"/>
      <c r="L892" s="885"/>
    </row>
    <row r="893" spans="1:12" ht="15" thickBot="1" x14ac:dyDescent="0.35">
      <c r="A893" s="875"/>
      <c r="B893" s="881"/>
      <c r="C893" s="881"/>
      <c r="D893" s="881"/>
      <c r="E893" s="881"/>
      <c r="F893" s="664" t="s">
        <v>6655</v>
      </c>
      <c r="G893" s="664">
        <v>105443</v>
      </c>
      <c r="I893" s="632">
        <v>660</v>
      </c>
      <c r="J893" s="50">
        <v>25540.2</v>
      </c>
      <c r="K893" s="878"/>
      <c r="L893" s="880"/>
    </row>
    <row r="894" spans="1:12" x14ac:dyDescent="0.3">
      <c r="A894" s="871">
        <v>2677</v>
      </c>
      <c r="B894" s="873">
        <v>103563.3</v>
      </c>
      <c r="C894" s="873" t="s">
        <v>6656</v>
      </c>
      <c r="D894" s="873">
        <f>+I894+I895+I896+I897</f>
        <v>2677</v>
      </c>
      <c r="E894" s="873">
        <f>+J894+J895+J896+J897</f>
        <v>101571</v>
      </c>
      <c r="F894" s="666" t="s">
        <v>6657</v>
      </c>
      <c r="G894" s="666">
        <v>105481</v>
      </c>
      <c r="H894" s="40"/>
      <c r="I894" s="630">
        <v>220</v>
      </c>
      <c r="J894" s="671">
        <v>8480.5</v>
      </c>
      <c r="K894" s="877">
        <f>+A894-D894</f>
        <v>0</v>
      </c>
      <c r="L894" s="879">
        <f>((+B894/A894)-(E894/D894))/(B894/A894)</f>
        <v>1.9237509812839223E-2</v>
      </c>
    </row>
    <row r="895" spans="1:12" x14ac:dyDescent="0.3">
      <c r="A895" s="875"/>
      <c r="B895" s="881"/>
      <c r="C895" s="881"/>
      <c r="D895" s="881"/>
      <c r="E895" s="881"/>
      <c r="F895" s="664" t="s">
        <v>6657</v>
      </c>
      <c r="G895" s="664">
        <v>105481</v>
      </c>
      <c r="I895" s="632">
        <v>660</v>
      </c>
      <c r="J895" s="50">
        <v>25791.599999999999</v>
      </c>
      <c r="K895" s="886"/>
      <c r="L895" s="885"/>
    </row>
    <row r="896" spans="1:12" x14ac:dyDescent="0.3">
      <c r="A896" s="875"/>
      <c r="B896" s="881"/>
      <c r="C896" s="881"/>
      <c r="D896" s="881"/>
      <c r="E896" s="881"/>
      <c r="F896" s="664" t="s">
        <v>6657</v>
      </c>
      <c r="G896" s="664">
        <v>105481</v>
      </c>
      <c r="I896" s="676">
        <v>1540</v>
      </c>
      <c r="J896" s="50">
        <v>57900.3</v>
      </c>
      <c r="K896" s="886"/>
      <c r="L896" s="885"/>
    </row>
    <row r="897" spans="1:12" ht="15" thickBot="1" x14ac:dyDescent="0.35">
      <c r="A897" s="875"/>
      <c r="B897" s="881"/>
      <c r="C897" s="881"/>
      <c r="D897" s="881"/>
      <c r="E897" s="881"/>
      <c r="F897" s="664" t="s">
        <v>6657</v>
      </c>
      <c r="G897" s="664">
        <v>105482</v>
      </c>
      <c r="I897" s="676">
        <v>257</v>
      </c>
      <c r="J897" s="50">
        <v>9398.6</v>
      </c>
      <c r="K897" s="878"/>
      <c r="L897" s="880"/>
    </row>
    <row r="898" spans="1:12" x14ac:dyDescent="0.3">
      <c r="A898" s="871">
        <v>3308</v>
      </c>
      <c r="B898" s="873">
        <v>130547.2</v>
      </c>
      <c r="C898" s="873" t="s">
        <v>6658</v>
      </c>
      <c r="D898" s="873">
        <f>+I898+I899+I900+I901</f>
        <v>3308</v>
      </c>
      <c r="E898" s="873">
        <f>+J898+J899+J900</f>
        <v>84592.8</v>
      </c>
      <c r="F898" s="666" t="s">
        <v>6659</v>
      </c>
      <c r="G898" s="666">
        <v>105551</v>
      </c>
      <c r="H898" s="40"/>
      <c r="I898" s="677">
        <v>440</v>
      </c>
      <c r="J898" s="671">
        <v>17699.8</v>
      </c>
      <c r="K898" s="877">
        <f>+A898-D898</f>
        <v>0</v>
      </c>
      <c r="L898" s="879">
        <f>((+B898/A898)-(E898/D898))/(B898/A898)</f>
        <v>0.35201367781155007</v>
      </c>
    </row>
    <row r="899" spans="1:12" x14ac:dyDescent="0.3">
      <c r="A899" s="875"/>
      <c r="B899" s="881"/>
      <c r="C899" s="881"/>
      <c r="D899" s="881"/>
      <c r="E899" s="881"/>
      <c r="F899" s="664" t="s">
        <v>6659</v>
      </c>
      <c r="G899" s="664">
        <v>105551</v>
      </c>
      <c r="I899" s="676">
        <v>1328</v>
      </c>
      <c r="J899" s="50">
        <v>50444</v>
      </c>
      <c r="K899" s="886"/>
      <c r="L899" s="885"/>
    </row>
    <row r="900" spans="1:12" x14ac:dyDescent="0.3">
      <c r="A900" s="875"/>
      <c r="B900" s="881"/>
      <c r="C900" s="881"/>
      <c r="D900" s="881"/>
      <c r="E900" s="881"/>
      <c r="F900" s="664" t="s">
        <v>6659</v>
      </c>
      <c r="G900" s="664">
        <v>105552</v>
      </c>
      <c r="I900" s="676">
        <v>440</v>
      </c>
      <c r="J900" s="50">
        <v>16449</v>
      </c>
      <c r="K900" s="886"/>
      <c r="L900" s="885"/>
    </row>
    <row r="901" spans="1:12" ht="15" thickBot="1" x14ac:dyDescent="0.35">
      <c r="A901" s="872"/>
      <c r="B901" s="874"/>
      <c r="C901" s="874"/>
      <c r="D901" s="874"/>
      <c r="E901" s="874"/>
      <c r="F901" s="668" t="s">
        <v>6659</v>
      </c>
      <c r="G901" s="668">
        <v>105552</v>
      </c>
      <c r="H901" s="674"/>
      <c r="I901" s="678">
        <v>1100</v>
      </c>
      <c r="J901" s="672">
        <v>43164.100000000006</v>
      </c>
      <c r="K901" s="878"/>
      <c r="L901" s="880"/>
    </row>
    <row r="902" spans="1:12" x14ac:dyDescent="0.3">
      <c r="A902" s="871">
        <v>1513</v>
      </c>
      <c r="B902" s="873">
        <v>60736.32</v>
      </c>
      <c r="C902" s="873" t="s">
        <v>6660</v>
      </c>
      <c r="D902" s="873">
        <f>+I902+I903</f>
        <v>1512</v>
      </c>
      <c r="E902" s="873">
        <f>+J902+J903</f>
        <v>59760.7</v>
      </c>
      <c r="F902" s="666" t="s">
        <v>6661</v>
      </c>
      <c r="G902" s="666">
        <v>105611</v>
      </c>
      <c r="H902" s="40"/>
      <c r="I902" s="677">
        <v>440</v>
      </c>
      <c r="J902" s="671">
        <v>16673.900000000001</v>
      </c>
      <c r="K902" s="877">
        <f t="shared" ref="K902" si="291">+A902-D902</f>
        <v>1</v>
      </c>
      <c r="L902" s="879">
        <f t="shared" ref="L902" si="292">((+B902/A902)-(E902/D902))/(B902/A902)</f>
        <v>1.5412453825210951E-2</v>
      </c>
    </row>
    <row r="903" spans="1:12" ht="15" thickBot="1" x14ac:dyDescent="0.35">
      <c r="A903" s="872"/>
      <c r="B903" s="874"/>
      <c r="C903" s="874"/>
      <c r="D903" s="874"/>
      <c r="E903" s="874"/>
      <c r="F903" s="668" t="s">
        <v>6661</v>
      </c>
      <c r="G903" s="668">
        <v>105611</v>
      </c>
      <c r="H903" s="674"/>
      <c r="I903" s="678">
        <v>1072</v>
      </c>
      <c r="J903" s="672">
        <v>43086.799999999996</v>
      </c>
      <c r="K903" s="878"/>
      <c r="L903" s="880"/>
    </row>
    <row r="904" spans="1:12" ht="15" thickBot="1" x14ac:dyDescent="0.35">
      <c r="A904" s="175">
        <v>200</v>
      </c>
      <c r="B904" s="8">
        <v>8939</v>
      </c>
      <c r="C904" s="8" t="s">
        <v>6662</v>
      </c>
      <c r="D904" s="8">
        <f>+I904</f>
        <v>200</v>
      </c>
      <c r="E904" s="8">
        <f>+J904</f>
        <v>8998.4</v>
      </c>
      <c r="F904" s="8" t="s">
        <v>6663</v>
      </c>
      <c r="G904" s="8">
        <v>105641</v>
      </c>
      <c r="H904" s="14"/>
      <c r="I904" s="679">
        <v>200</v>
      </c>
      <c r="J904" s="45">
        <v>8998.4</v>
      </c>
      <c r="K904" s="54">
        <f t="shared" ref="K904" si="293">+A904-D904</f>
        <v>0</v>
      </c>
      <c r="L904" s="53">
        <f t="shared" ref="L904" si="294">((+B904/A904)-(E904/D904))/(B904/A904)</f>
        <v>-6.6450385949210662E-3</v>
      </c>
    </row>
    <row r="905" spans="1:12" x14ac:dyDescent="0.3">
      <c r="A905" s="871">
        <v>2653</v>
      </c>
      <c r="B905" s="873">
        <v>106796.3</v>
      </c>
      <c r="C905" s="873" t="s">
        <v>6664</v>
      </c>
      <c r="D905" s="873">
        <v>2653</v>
      </c>
      <c r="E905" s="873">
        <v>104974.8</v>
      </c>
      <c r="F905" s="666" t="s">
        <v>6665</v>
      </c>
      <c r="G905" s="666">
        <v>105651</v>
      </c>
      <c r="H905" s="40"/>
      <c r="I905" s="677">
        <v>440</v>
      </c>
      <c r="J905" s="671">
        <v>17502.099999999999</v>
      </c>
      <c r="K905" s="882">
        <f>+A905-D905</f>
        <v>0</v>
      </c>
      <c r="L905" s="879">
        <f>((+B905/A905)-(E905/D905))/(B905/A905)</f>
        <v>1.7055834331339143E-2</v>
      </c>
    </row>
    <row r="906" spans="1:12" x14ac:dyDescent="0.3">
      <c r="A906" s="875"/>
      <c r="B906" s="881"/>
      <c r="C906" s="881"/>
      <c r="D906" s="881"/>
      <c r="E906" s="881"/>
      <c r="F906" s="664" t="s">
        <v>6665</v>
      </c>
      <c r="G906" s="664">
        <v>105651</v>
      </c>
      <c r="I906" s="676">
        <v>673</v>
      </c>
      <c r="J906" s="50">
        <v>26642.5</v>
      </c>
      <c r="K906" s="883"/>
      <c r="L906" s="885"/>
    </row>
    <row r="907" spans="1:12" ht="15" thickBot="1" x14ac:dyDescent="0.35">
      <c r="A907" s="872"/>
      <c r="B907" s="874"/>
      <c r="C907" s="874"/>
      <c r="D907" s="874"/>
      <c r="E907" s="874"/>
      <c r="F907" s="668" t="s">
        <v>6665</v>
      </c>
      <c r="G907" s="668">
        <v>105651</v>
      </c>
      <c r="H907" s="674"/>
      <c r="I907" s="678">
        <v>440</v>
      </c>
      <c r="J907" s="672">
        <v>17334.599999999999</v>
      </c>
      <c r="K907" s="884"/>
      <c r="L907" s="880"/>
    </row>
    <row r="908" spans="1:12" x14ac:dyDescent="0.3">
      <c r="A908" s="871">
        <v>2420</v>
      </c>
      <c r="B908" s="873">
        <v>98837.6</v>
      </c>
      <c r="C908" s="873" t="s">
        <v>6820</v>
      </c>
      <c r="D908" s="873">
        <f>+I908+I909+I910+I911</f>
        <v>2420</v>
      </c>
      <c r="E908" s="873">
        <f>+J908+J909+J910+J911</f>
        <v>96443</v>
      </c>
      <c r="F908" s="691" t="s">
        <v>6821</v>
      </c>
      <c r="G908" s="691">
        <v>105761</v>
      </c>
      <c r="H908" s="40"/>
      <c r="I908" s="552">
        <v>440</v>
      </c>
      <c r="J908" s="697">
        <v>18110</v>
      </c>
      <c r="K908" s="877">
        <f>+A908-D908</f>
        <v>0</v>
      </c>
      <c r="L908" s="879">
        <f>((+B908/A908)-(E908/D908))/(B908/A908)</f>
        <v>2.4227621876694819E-2</v>
      </c>
    </row>
    <row r="909" spans="1:12" x14ac:dyDescent="0.3">
      <c r="A909" s="875"/>
      <c r="B909" s="881"/>
      <c r="C909" s="881"/>
      <c r="D909" s="881"/>
      <c r="E909" s="881"/>
      <c r="F909" s="692" t="s">
        <v>6821</v>
      </c>
      <c r="G909" s="692">
        <v>105761</v>
      </c>
      <c r="I909" s="551">
        <v>660</v>
      </c>
      <c r="J909" s="50">
        <v>25237</v>
      </c>
      <c r="K909" s="886"/>
      <c r="L909" s="885"/>
    </row>
    <row r="910" spans="1:12" x14ac:dyDescent="0.3">
      <c r="A910" s="875"/>
      <c r="B910" s="881"/>
      <c r="C910" s="881"/>
      <c r="D910" s="881"/>
      <c r="E910" s="881"/>
      <c r="F910" s="692" t="s">
        <v>6821</v>
      </c>
      <c r="G910" s="692">
        <v>105761</v>
      </c>
      <c r="I910" s="551">
        <v>220</v>
      </c>
      <c r="J910" s="50">
        <v>8573.5</v>
      </c>
      <c r="K910" s="886"/>
      <c r="L910" s="885"/>
    </row>
    <row r="911" spans="1:12" ht="15" thickBot="1" x14ac:dyDescent="0.35">
      <c r="A911" s="872"/>
      <c r="B911" s="874"/>
      <c r="C911" s="874"/>
      <c r="D911" s="874"/>
      <c r="E911" s="874"/>
      <c r="F911" s="693" t="s">
        <v>6821</v>
      </c>
      <c r="G911" s="693">
        <v>105762</v>
      </c>
      <c r="H911" s="700"/>
      <c r="I911" s="553">
        <v>1100</v>
      </c>
      <c r="J911" s="698">
        <v>44522.5</v>
      </c>
      <c r="K911" s="878"/>
      <c r="L911" s="880"/>
    </row>
    <row r="912" spans="1:12" ht="15" thickBot="1" x14ac:dyDescent="0.35">
      <c r="A912" s="175">
        <v>368</v>
      </c>
      <c r="B912" s="8">
        <v>13991</v>
      </c>
      <c r="C912" s="8" t="s">
        <v>6822</v>
      </c>
      <c r="D912" s="8">
        <f>+I912</f>
        <v>368</v>
      </c>
      <c r="E912" s="8">
        <f>+J912</f>
        <v>13860.7</v>
      </c>
      <c r="F912" s="8" t="s">
        <v>6823</v>
      </c>
      <c r="G912" s="8">
        <v>105771</v>
      </c>
      <c r="H912" s="14"/>
      <c r="I912" s="554">
        <v>368</v>
      </c>
      <c r="J912" s="45">
        <v>13860.7</v>
      </c>
      <c r="K912" s="54">
        <f t="shared" ref="K912" si="295">+A912-D912</f>
        <v>0</v>
      </c>
      <c r="L912" s="53">
        <f t="shared" ref="L912" si="296">((+B912/A912)-(E912/D912))/(B912/A912)</f>
        <v>9.313129869201707E-3</v>
      </c>
    </row>
    <row r="913" spans="1:12" x14ac:dyDescent="0.3">
      <c r="A913" s="871">
        <v>2640</v>
      </c>
      <c r="B913" s="873">
        <v>108455.2</v>
      </c>
      <c r="C913" s="873" t="s">
        <v>6824</v>
      </c>
      <c r="D913" s="873">
        <f>+I913+I914+I915+I916+I917</f>
        <v>2639</v>
      </c>
      <c r="E913" s="873">
        <f>+J913+J914+J915+J916+J917</f>
        <v>106445.4</v>
      </c>
      <c r="F913" s="691" t="s">
        <v>6825</v>
      </c>
      <c r="G913" s="691">
        <v>105831</v>
      </c>
      <c r="H913" s="40"/>
      <c r="I913" s="552">
        <v>220</v>
      </c>
      <c r="J913" s="697">
        <v>9245</v>
      </c>
      <c r="K913" s="882">
        <f>+A913-D913</f>
        <v>1</v>
      </c>
      <c r="L913" s="879">
        <f>((+B913/A913)-(E913/D913))/(B913/A913)</f>
        <v>1.8159244500278039E-2</v>
      </c>
    </row>
    <row r="914" spans="1:12" x14ac:dyDescent="0.3">
      <c r="A914" s="875"/>
      <c r="B914" s="881"/>
      <c r="C914" s="881"/>
      <c r="D914" s="881"/>
      <c r="E914" s="881"/>
      <c r="F914" s="692" t="s">
        <v>6825</v>
      </c>
      <c r="G914" s="692">
        <v>105831</v>
      </c>
      <c r="I914" s="551">
        <v>440</v>
      </c>
      <c r="J914" s="50">
        <v>17587</v>
      </c>
      <c r="K914" s="883"/>
      <c r="L914" s="885"/>
    </row>
    <row r="915" spans="1:12" x14ac:dyDescent="0.3">
      <c r="A915" s="875"/>
      <c r="B915" s="881"/>
      <c r="C915" s="881"/>
      <c r="D915" s="881"/>
      <c r="E915" s="881"/>
      <c r="F915" s="692" t="s">
        <v>6825</v>
      </c>
      <c r="G915" s="692">
        <v>105831</v>
      </c>
      <c r="I915" s="551">
        <v>659</v>
      </c>
      <c r="J915" s="50">
        <v>25829.8</v>
      </c>
      <c r="K915" s="883"/>
      <c r="L915" s="885"/>
    </row>
    <row r="916" spans="1:12" x14ac:dyDescent="0.3">
      <c r="A916" s="875"/>
      <c r="B916" s="881"/>
      <c r="C916" s="881"/>
      <c r="D916" s="881"/>
      <c r="E916" s="881"/>
      <c r="F916" s="692" t="s">
        <v>6825</v>
      </c>
      <c r="G916" s="692">
        <v>105831</v>
      </c>
      <c r="I916" s="551">
        <v>440</v>
      </c>
      <c r="J916" s="50">
        <v>17700.7</v>
      </c>
      <c r="K916" s="883"/>
      <c r="L916" s="885"/>
    </row>
    <row r="917" spans="1:12" ht="15" thickBot="1" x14ac:dyDescent="0.35">
      <c r="A917" s="872"/>
      <c r="B917" s="874"/>
      <c r="C917" s="874"/>
      <c r="D917" s="874"/>
      <c r="E917" s="874"/>
      <c r="F917" s="693" t="s">
        <v>6825</v>
      </c>
      <c r="G917" s="693">
        <v>105832</v>
      </c>
      <c r="H917" s="700"/>
      <c r="I917" s="553">
        <v>880</v>
      </c>
      <c r="J917" s="698">
        <v>36082.899999999994</v>
      </c>
      <c r="K917" s="884"/>
      <c r="L917" s="880"/>
    </row>
    <row r="918" spans="1:12" ht="15" thickBot="1" x14ac:dyDescent="0.35">
      <c r="A918" s="689">
        <v>440</v>
      </c>
      <c r="B918" s="691">
        <v>18699</v>
      </c>
      <c r="C918" s="691" t="s">
        <v>6826</v>
      </c>
      <c r="D918" s="691">
        <f>+I918</f>
        <v>440</v>
      </c>
      <c r="E918" s="691">
        <f>+J918</f>
        <v>18983.400000000001</v>
      </c>
      <c r="F918" s="691" t="s">
        <v>6827</v>
      </c>
      <c r="G918" s="691">
        <v>105891</v>
      </c>
      <c r="H918" s="40"/>
      <c r="I918" s="552">
        <v>440</v>
      </c>
      <c r="J918" s="697">
        <v>18983.400000000001</v>
      </c>
      <c r="K918" s="54">
        <f t="shared" ref="K918" si="297">+A918-D918</f>
        <v>0</v>
      </c>
      <c r="L918" s="53">
        <f t="shared" ref="L918" si="298">((+B918/A918)-(E918/D918))/(B918/A918)</f>
        <v>-1.5209369484999241E-2</v>
      </c>
    </row>
    <row r="919" spans="1:12" x14ac:dyDescent="0.3">
      <c r="A919" s="871">
        <v>3300</v>
      </c>
      <c r="B919" s="873">
        <v>131603.5</v>
      </c>
      <c r="C919" s="873" t="s">
        <v>6828</v>
      </c>
      <c r="D919" s="873">
        <f>+I919+I920+I921+I922+I923+I924</f>
        <v>3300</v>
      </c>
      <c r="E919" s="873">
        <f>+J919+J920+J921+J922+J923+J924</f>
        <v>128393.4</v>
      </c>
      <c r="F919" s="691" t="s">
        <v>6829</v>
      </c>
      <c r="G919" s="691">
        <v>105961</v>
      </c>
      <c r="H919" s="40"/>
      <c r="I919" s="552">
        <v>660</v>
      </c>
      <c r="J919" s="697">
        <v>25220.400000000001</v>
      </c>
      <c r="K919" s="877">
        <f>+A919-D919</f>
        <v>0</v>
      </c>
      <c r="L919" s="879">
        <f>((+B919/A919)-(E919/D919))/(B919/A919)</f>
        <v>2.4392208413910155E-2</v>
      </c>
    </row>
    <row r="920" spans="1:12" x14ac:dyDescent="0.3">
      <c r="A920" s="875"/>
      <c r="B920" s="881"/>
      <c r="C920" s="881"/>
      <c r="D920" s="881"/>
      <c r="E920" s="881"/>
      <c r="F920" s="692" t="s">
        <v>6829</v>
      </c>
      <c r="G920" s="692">
        <v>105961</v>
      </c>
      <c r="I920" s="551">
        <v>660</v>
      </c>
      <c r="J920" s="50">
        <v>26223.5</v>
      </c>
      <c r="K920" s="886"/>
      <c r="L920" s="885"/>
    </row>
    <row r="921" spans="1:12" x14ac:dyDescent="0.3">
      <c r="A921" s="875"/>
      <c r="B921" s="881"/>
      <c r="C921" s="881"/>
      <c r="D921" s="881"/>
      <c r="E921" s="881"/>
      <c r="F921" s="692" t="s">
        <v>6829</v>
      </c>
      <c r="G921" s="692">
        <v>105961</v>
      </c>
      <c r="I921" s="551">
        <v>220</v>
      </c>
      <c r="J921" s="50">
        <v>8527.5</v>
      </c>
      <c r="K921" s="886"/>
      <c r="L921" s="885"/>
    </row>
    <row r="922" spans="1:12" x14ac:dyDescent="0.3">
      <c r="A922" s="875"/>
      <c r="B922" s="881"/>
      <c r="C922" s="881"/>
      <c r="D922" s="881"/>
      <c r="E922" s="881"/>
      <c r="F922" s="692" t="s">
        <v>6829</v>
      </c>
      <c r="G922" s="692">
        <v>105962</v>
      </c>
      <c r="I922" s="551">
        <v>660</v>
      </c>
      <c r="J922" s="50">
        <v>25227.4</v>
      </c>
      <c r="K922" s="886"/>
      <c r="L922" s="885"/>
    </row>
    <row r="923" spans="1:12" x14ac:dyDescent="0.3">
      <c r="A923" s="875"/>
      <c r="B923" s="881"/>
      <c r="C923" s="881"/>
      <c r="D923" s="881"/>
      <c r="E923" s="881"/>
      <c r="F923" s="692" t="s">
        <v>6829</v>
      </c>
      <c r="G923" s="692">
        <v>105962</v>
      </c>
      <c r="I923" s="551">
        <v>440</v>
      </c>
      <c r="J923" s="50">
        <v>17200.599999999999</v>
      </c>
      <c r="K923" s="886"/>
      <c r="L923" s="885"/>
    </row>
    <row r="924" spans="1:12" ht="15" thickBot="1" x14ac:dyDescent="0.35">
      <c r="A924" s="872"/>
      <c r="B924" s="874"/>
      <c r="C924" s="874"/>
      <c r="D924" s="874"/>
      <c r="E924" s="874"/>
      <c r="F924" s="693" t="s">
        <v>6829</v>
      </c>
      <c r="G924" s="693">
        <v>105963</v>
      </c>
      <c r="H924" s="700"/>
      <c r="I924" s="553">
        <v>660</v>
      </c>
      <c r="J924" s="698">
        <v>25994</v>
      </c>
      <c r="K924" s="878"/>
      <c r="L924" s="880"/>
    </row>
    <row r="925" spans="1:12" x14ac:dyDescent="0.3">
      <c r="A925" s="871">
        <v>2000</v>
      </c>
      <c r="B925" s="873">
        <v>76609.2</v>
      </c>
      <c r="C925" s="873" t="s">
        <v>6830</v>
      </c>
      <c r="D925" s="873">
        <f>+I925+I926</f>
        <v>1660</v>
      </c>
      <c r="E925" s="873">
        <f>+J925+J926</f>
        <v>64118.8</v>
      </c>
      <c r="F925" s="691" t="s">
        <v>6831</v>
      </c>
      <c r="G925" s="691">
        <v>105971</v>
      </c>
      <c r="H925" s="40"/>
      <c r="I925" s="552">
        <v>1000</v>
      </c>
      <c r="J925" s="697">
        <v>39402</v>
      </c>
      <c r="K925" s="877">
        <f t="shared" ref="K925" si="299">+A925-D925</f>
        <v>340</v>
      </c>
      <c r="L925" s="879">
        <f t="shared" ref="L925" si="300">((+B925/A925)-(E925/D925))/(B925/A925)</f>
        <v>-8.384975499812642E-3</v>
      </c>
    </row>
    <row r="926" spans="1:12" ht="15" thickBot="1" x14ac:dyDescent="0.35">
      <c r="A926" s="872"/>
      <c r="B926" s="874"/>
      <c r="C926" s="874"/>
      <c r="D926" s="874"/>
      <c r="E926" s="874"/>
      <c r="F926" s="693" t="s">
        <v>6831</v>
      </c>
      <c r="G926" s="693">
        <v>105972</v>
      </c>
      <c r="H926" s="700"/>
      <c r="I926" s="553">
        <v>660</v>
      </c>
      <c r="J926" s="698">
        <v>24716.800000000003</v>
      </c>
      <c r="K926" s="878"/>
      <c r="L926" s="880"/>
    </row>
    <row r="927" spans="1:12" ht="15" thickBot="1" x14ac:dyDescent="0.35">
      <c r="A927" s="175">
        <v>220</v>
      </c>
      <c r="B927" s="8">
        <v>9015.25</v>
      </c>
      <c r="C927" s="8" t="s">
        <v>6832</v>
      </c>
      <c r="D927" s="8">
        <f>+I927</f>
        <v>220</v>
      </c>
      <c r="E927" s="8">
        <f>+J927</f>
        <v>9226.2999999999993</v>
      </c>
      <c r="F927" s="8" t="s">
        <v>6833</v>
      </c>
      <c r="G927" s="8">
        <v>105981</v>
      </c>
      <c r="H927" s="14"/>
      <c r="I927" s="554">
        <v>220</v>
      </c>
      <c r="J927" s="45">
        <v>9226.2999999999993</v>
      </c>
      <c r="K927" s="54">
        <f t="shared" ref="K927:K928" si="301">+A927-D927</f>
        <v>0</v>
      </c>
      <c r="L927" s="53">
        <f t="shared" ref="L927:L928" si="302">((+B927/A927)-(E927/D927))/(B927/A927)</f>
        <v>-2.3410332492166088E-2</v>
      </c>
    </row>
    <row r="928" spans="1:12" x14ac:dyDescent="0.3">
      <c r="A928" s="871">
        <v>1064</v>
      </c>
      <c r="B928" s="873">
        <v>47329.75</v>
      </c>
      <c r="C928" s="873" t="s">
        <v>6937</v>
      </c>
      <c r="D928" s="873">
        <f>+I928+I929</f>
        <v>1064</v>
      </c>
      <c r="E928" s="873">
        <f>+J928+J929</f>
        <v>47314.3</v>
      </c>
      <c r="F928" s="734" t="s">
        <v>6938</v>
      </c>
      <c r="G928" s="734">
        <v>106071</v>
      </c>
      <c r="H928" s="40"/>
      <c r="I928" s="758">
        <v>527</v>
      </c>
      <c r="J928" s="748">
        <v>23963.5</v>
      </c>
      <c r="K928" s="877">
        <f t="shared" si="301"/>
        <v>0</v>
      </c>
      <c r="L928" s="879">
        <f t="shared" si="302"/>
        <v>3.2643316307384717E-4</v>
      </c>
    </row>
    <row r="929" spans="1:12" ht="15" thickBot="1" x14ac:dyDescent="0.35">
      <c r="A929" s="872"/>
      <c r="B929" s="874"/>
      <c r="C929" s="874"/>
      <c r="D929" s="874"/>
      <c r="E929" s="874"/>
      <c r="F929" s="736" t="s">
        <v>6938</v>
      </c>
      <c r="G929" s="736">
        <v>106071</v>
      </c>
      <c r="H929" s="754"/>
      <c r="I929" s="759">
        <v>537</v>
      </c>
      <c r="J929" s="749">
        <v>23350.799999999999</v>
      </c>
      <c r="K929" s="878"/>
      <c r="L929" s="880"/>
    </row>
    <row r="930" spans="1:12" ht="15" thickBot="1" x14ac:dyDescent="0.35">
      <c r="A930" s="175">
        <v>218</v>
      </c>
      <c r="B930" s="8">
        <v>8307.5</v>
      </c>
      <c r="C930" s="8" t="s">
        <v>6939</v>
      </c>
      <c r="D930" s="8">
        <f>+I930</f>
        <v>218</v>
      </c>
      <c r="E930" s="8">
        <f>+J930</f>
        <v>8389.7999999999993</v>
      </c>
      <c r="F930" s="8" t="s">
        <v>6940</v>
      </c>
      <c r="G930" s="8">
        <v>106121</v>
      </c>
      <c r="H930" s="14"/>
      <c r="I930" s="760">
        <v>218</v>
      </c>
      <c r="J930" s="45">
        <v>8389.7999999999993</v>
      </c>
      <c r="K930" s="54">
        <f t="shared" ref="K930" si="303">+A930-D930</f>
        <v>0</v>
      </c>
      <c r="L930" s="53">
        <f t="shared" ref="L930" si="304">((+B930/A930)-(E930/D930))/(B930/A930)</f>
        <v>-9.906710803490603E-3</v>
      </c>
    </row>
    <row r="931" spans="1:12" ht="15" thickBot="1" x14ac:dyDescent="0.35">
      <c r="A931" s="740">
        <v>135</v>
      </c>
      <c r="B931" s="734">
        <v>5611.5</v>
      </c>
      <c r="C931" s="734" t="s">
        <v>6941</v>
      </c>
      <c r="D931" s="734">
        <f>+I931</f>
        <v>135</v>
      </c>
      <c r="E931" s="734">
        <f>+J931</f>
        <v>5728.4</v>
      </c>
      <c r="F931" s="734" t="s">
        <v>6942</v>
      </c>
      <c r="G931" s="734">
        <v>106141</v>
      </c>
      <c r="H931" s="40"/>
      <c r="I931" s="758">
        <v>135</v>
      </c>
      <c r="J931" s="748">
        <v>5728.4</v>
      </c>
      <c r="K931" s="54">
        <f t="shared" ref="K931" si="305">+A931-D931</f>
        <v>0</v>
      </c>
      <c r="L931" s="53">
        <f t="shared" ref="L931" si="306">((+B931/A931)-(E931/D931))/(B931/A931)</f>
        <v>-2.0832219549140052E-2</v>
      </c>
    </row>
    <row r="932" spans="1:12" x14ac:dyDescent="0.3">
      <c r="A932" s="871">
        <v>814</v>
      </c>
      <c r="B932" s="873">
        <v>33509.599999999999</v>
      </c>
      <c r="C932" s="873" t="s">
        <v>6943</v>
      </c>
      <c r="D932" s="873">
        <f>+I932+I933</f>
        <v>814</v>
      </c>
      <c r="E932" s="873">
        <f>+J932+J933</f>
        <v>33947.200000000004</v>
      </c>
      <c r="F932" s="734" t="s">
        <v>6944</v>
      </c>
      <c r="G932" s="734">
        <v>106171</v>
      </c>
      <c r="H932" s="40"/>
      <c r="I932" s="758">
        <v>287</v>
      </c>
      <c r="J932" s="748">
        <v>12036.3</v>
      </c>
      <c r="K932" s="877">
        <f t="shared" ref="K932" si="307">+A932-D932</f>
        <v>0</v>
      </c>
      <c r="L932" s="879">
        <f t="shared" ref="L932" si="308">((+B932/A932)-(E932/D932))/(B932/A932)</f>
        <v>-1.3058944302528517E-2</v>
      </c>
    </row>
    <row r="933" spans="1:12" ht="15" thickBot="1" x14ac:dyDescent="0.35">
      <c r="A933" s="875"/>
      <c r="B933" s="881"/>
      <c r="C933" s="881"/>
      <c r="D933" s="881"/>
      <c r="E933" s="881"/>
      <c r="F933" s="735" t="s">
        <v>6944</v>
      </c>
      <c r="G933" s="735">
        <v>106171</v>
      </c>
      <c r="I933" s="761">
        <v>527</v>
      </c>
      <c r="J933" s="50">
        <v>21910.900000000005</v>
      </c>
      <c r="K933" s="878"/>
      <c r="L933" s="880"/>
    </row>
    <row r="934" spans="1:12" x14ac:dyDescent="0.3">
      <c r="A934" s="740">
        <v>533</v>
      </c>
      <c r="B934" s="734">
        <v>20199</v>
      </c>
      <c r="C934" s="734" t="s">
        <v>6945</v>
      </c>
      <c r="D934" s="734">
        <f>+I934+I935</f>
        <v>533</v>
      </c>
      <c r="E934" s="734">
        <f>+J934+J935</f>
        <v>19881.800000000003</v>
      </c>
      <c r="F934" s="734" t="s">
        <v>6946</v>
      </c>
      <c r="G934" s="734">
        <v>106181</v>
      </c>
      <c r="H934" s="40"/>
      <c r="I934" s="758">
        <v>325</v>
      </c>
      <c r="J934" s="748">
        <v>12307.900000000001</v>
      </c>
      <c r="K934" s="877">
        <f t="shared" ref="K934" si="309">+A934-D934</f>
        <v>0</v>
      </c>
      <c r="L934" s="879">
        <f t="shared" ref="L934" si="310">((+B934/A934)-(E934/D934))/(B934/A934)</f>
        <v>1.5703747710282469E-2</v>
      </c>
    </row>
    <row r="935" spans="1:12" ht="15" thickBot="1" x14ac:dyDescent="0.35">
      <c r="A935" s="739"/>
      <c r="B935" s="736"/>
      <c r="C935" s="736"/>
      <c r="D935" s="736"/>
      <c r="E935" s="736"/>
      <c r="F935" s="736" t="s">
        <v>6946</v>
      </c>
      <c r="G935" s="736">
        <v>106181</v>
      </c>
      <c r="H935" s="754"/>
      <c r="I935" s="759">
        <v>208</v>
      </c>
      <c r="J935" s="749">
        <v>7573.9</v>
      </c>
      <c r="K935" s="878"/>
      <c r="L935" s="880"/>
    </row>
    <row r="936" spans="1:12" x14ac:dyDescent="0.3">
      <c r="A936" s="875">
        <v>1248</v>
      </c>
      <c r="B936" s="881">
        <v>49198.52</v>
      </c>
      <c r="C936" s="881" t="s">
        <v>6947</v>
      </c>
      <c r="D936" s="881">
        <f>+I936+I937+I938</f>
        <v>1248</v>
      </c>
      <c r="E936" s="881">
        <f>+J936+J937+J938</f>
        <v>48604.500000000007</v>
      </c>
      <c r="F936" s="735" t="s">
        <v>6948</v>
      </c>
      <c r="G936" s="735">
        <v>106241</v>
      </c>
      <c r="I936" s="761">
        <v>500</v>
      </c>
      <c r="J936" s="50">
        <v>18520.900000000001</v>
      </c>
      <c r="K936" s="882">
        <f>+A936-D936</f>
        <v>0</v>
      </c>
      <c r="L936" s="879">
        <f>((+B936/A936)-(E936/D936))/(B936/A936)</f>
        <v>1.2073940435606419E-2</v>
      </c>
    </row>
    <row r="937" spans="1:12" x14ac:dyDescent="0.3">
      <c r="A937" s="875"/>
      <c r="B937" s="881"/>
      <c r="C937" s="881"/>
      <c r="D937" s="881"/>
      <c r="E937" s="881"/>
      <c r="F937" s="735" t="s">
        <v>6948</v>
      </c>
      <c r="G937" s="735">
        <v>106241</v>
      </c>
      <c r="I937" s="761">
        <v>600</v>
      </c>
      <c r="J937" s="50">
        <v>24102.2</v>
      </c>
      <c r="K937" s="883"/>
      <c r="L937" s="885"/>
    </row>
    <row r="938" spans="1:12" ht="15" thickBot="1" x14ac:dyDescent="0.35">
      <c r="A938" s="872"/>
      <c r="B938" s="874"/>
      <c r="C938" s="874"/>
      <c r="D938" s="874"/>
      <c r="E938" s="874"/>
      <c r="F938" s="736" t="s">
        <v>6948</v>
      </c>
      <c r="G938" s="736">
        <v>106241</v>
      </c>
      <c r="H938" s="754"/>
      <c r="I938" s="759">
        <v>148</v>
      </c>
      <c r="J938" s="749">
        <v>5981.4</v>
      </c>
      <c r="K938" s="884"/>
      <c r="L938" s="880"/>
    </row>
    <row r="939" spans="1:12" x14ac:dyDescent="0.3">
      <c r="A939" s="871">
        <v>2235</v>
      </c>
      <c r="B939" s="873">
        <v>93636.75</v>
      </c>
      <c r="C939" s="873" t="s">
        <v>6949</v>
      </c>
      <c r="D939" s="873">
        <f>+I939+I940+I941</f>
        <v>2235</v>
      </c>
      <c r="E939" s="873">
        <f>+J939+J940+J941</f>
        <v>93731.1</v>
      </c>
      <c r="F939" s="734" t="s">
        <v>6950</v>
      </c>
      <c r="G939" s="734">
        <v>106281</v>
      </c>
      <c r="H939" s="40"/>
      <c r="I939" s="758">
        <v>1028</v>
      </c>
      <c r="J939" s="748">
        <v>43538.400000000001</v>
      </c>
      <c r="K939" s="882">
        <f>+A939-D939</f>
        <v>0</v>
      </c>
      <c r="L939" s="879">
        <f>((+B939/A939)-(E939/D939))/(B939/A939)</f>
        <v>-1.0076172015795739E-3</v>
      </c>
    </row>
    <row r="940" spans="1:12" x14ac:dyDescent="0.3">
      <c r="A940" s="875"/>
      <c r="B940" s="881"/>
      <c r="C940" s="881"/>
      <c r="D940" s="881"/>
      <c r="E940" s="881"/>
      <c r="F940" s="735" t="s">
        <v>6950</v>
      </c>
      <c r="G940" s="735">
        <v>106281</v>
      </c>
      <c r="I940" s="761">
        <v>806</v>
      </c>
      <c r="J940" s="50">
        <v>33263.9</v>
      </c>
      <c r="K940" s="883"/>
      <c r="L940" s="885"/>
    </row>
    <row r="941" spans="1:12" ht="15" thickBot="1" x14ac:dyDescent="0.35">
      <c r="A941" s="872"/>
      <c r="B941" s="874"/>
      <c r="C941" s="874"/>
      <c r="D941" s="874"/>
      <c r="E941" s="874"/>
      <c r="F941" s="736" t="s">
        <v>6950</v>
      </c>
      <c r="G941" s="736">
        <v>106281</v>
      </c>
      <c r="H941" s="754"/>
      <c r="I941" s="759">
        <v>401</v>
      </c>
      <c r="J941" s="749">
        <v>16928.8</v>
      </c>
      <c r="K941" s="884"/>
      <c r="L941" s="880"/>
    </row>
    <row r="942" spans="1:12" ht="15" thickBot="1" x14ac:dyDescent="0.35">
      <c r="A942" s="175">
        <v>240</v>
      </c>
      <c r="B942" s="8">
        <v>9859.5</v>
      </c>
      <c r="C942" s="8" t="s">
        <v>6951</v>
      </c>
      <c r="D942" s="8">
        <f>+I942</f>
        <v>240</v>
      </c>
      <c r="E942" s="8">
        <f>+J942</f>
        <v>9584.1</v>
      </c>
      <c r="F942" s="8" t="s">
        <v>6952</v>
      </c>
      <c r="G942" s="8">
        <v>106321</v>
      </c>
      <c r="H942" s="14"/>
      <c r="I942" s="760">
        <v>240</v>
      </c>
      <c r="J942" s="45">
        <v>9584.1</v>
      </c>
      <c r="K942" s="54">
        <f t="shared" ref="K942:K945" si="311">+A942-D942</f>
        <v>0</v>
      </c>
      <c r="L942" s="53">
        <f t="shared" ref="L942:L945" si="312">((+B942/A942)-(E942/D942))/(B942/A942)</f>
        <v>2.7932450935645673E-2</v>
      </c>
    </row>
    <row r="943" spans="1:12" ht="15" thickBot="1" x14ac:dyDescent="0.35">
      <c r="A943" s="175">
        <v>661</v>
      </c>
      <c r="B943" s="8">
        <v>25652.799999999999</v>
      </c>
      <c r="C943" s="8" t="s">
        <v>6953</v>
      </c>
      <c r="D943" s="8">
        <f>+I943</f>
        <v>661</v>
      </c>
      <c r="E943" s="8">
        <f>+J943</f>
        <v>24919.200000000001</v>
      </c>
      <c r="F943" s="8" t="s">
        <v>6954</v>
      </c>
      <c r="G943" s="8">
        <v>106331</v>
      </c>
      <c r="H943" s="14"/>
      <c r="I943" s="760">
        <v>661</v>
      </c>
      <c r="J943" s="45">
        <v>24919.200000000001</v>
      </c>
      <c r="K943" s="54">
        <f t="shared" si="311"/>
        <v>0</v>
      </c>
      <c r="L943" s="53">
        <f t="shared" si="312"/>
        <v>2.8597268134472477E-2</v>
      </c>
    </row>
    <row r="944" spans="1:12" ht="15" thickBot="1" x14ac:dyDescent="0.35">
      <c r="A944" s="175">
        <v>50</v>
      </c>
      <c r="B944" s="8">
        <v>1978</v>
      </c>
      <c r="C944" s="8" t="s">
        <v>6955</v>
      </c>
      <c r="D944" s="8">
        <f t="shared" ref="D944:E945" si="313">+I944</f>
        <v>50</v>
      </c>
      <c r="E944" s="8">
        <f t="shared" si="313"/>
        <v>2018.5</v>
      </c>
      <c r="F944" s="8" t="s">
        <v>6956</v>
      </c>
      <c r="G944" s="8">
        <v>106401</v>
      </c>
      <c r="H944" s="14"/>
      <c r="I944" s="760">
        <v>50</v>
      </c>
      <c r="J944" s="45">
        <v>2018.5</v>
      </c>
      <c r="K944" s="54">
        <f t="shared" si="311"/>
        <v>0</v>
      </c>
      <c r="L944" s="53">
        <f t="shared" si="312"/>
        <v>-2.0475227502527681E-2</v>
      </c>
    </row>
    <row r="945" spans="1:12" ht="15" thickBot="1" x14ac:dyDescent="0.35">
      <c r="A945" s="738">
        <v>50</v>
      </c>
      <c r="B945" s="735">
        <v>1929.4</v>
      </c>
      <c r="C945" s="735" t="s">
        <v>6957</v>
      </c>
      <c r="D945" s="734">
        <f t="shared" si="313"/>
        <v>50</v>
      </c>
      <c r="E945" s="734">
        <f t="shared" si="313"/>
        <v>1801.8</v>
      </c>
      <c r="F945" s="735" t="s">
        <v>6958</v>
      </c>
      <c r="G945" s="735">
        <v>106411</v>
      </c>
      <c r="I945" s="761">
        <v>50</v>
      </c>
      <c r="J945" s="50">
        <v>1801.8</v>
      </c>
      <c r="K945" s="54">
        <f t="shared" si="311"/>
        <v>0</v>
      </c>
      <c r="L945" s="53">
        <f t="shared" si="312"/>
        <v>6.6134549600912182E-2</v>
      </c>
    </row>
    <row r="946" spans="1:12" x14ac:dyDescent="0.3">
      <c r="A946" s="871">
        <v>1800</v>
      </c>
      <c r="B946" s="873">
        <v>76698</v>
      </c>
      <c r="C946" s="873" t="s">
        <v>6959</v>
      </c>
      <c r="D946" s="873">
        <f>+I946+I947</f>
        <v>1800</v>
      </c>
      <c r="E946" s="873">
        <f>+J946+J947</f>
        <v>77087.799999999988</v>
      </c>
      <c r="F946" s="734" t="s">
        <v>6960</v>
      </c>
      <c r="G946" s="734">
        <v>106421</v>
      </c>
      <c r="H946" s="40"/>
      <c r="I946" s="758">
        <v>996</v>
      </c>
      <c r="J946" s="748">
        <v>42155.599999999991</v>
      </c>
      <c r="K946" s="877">
        <f t="shared" ref="K946" si="314">+A946-D946</f>
        <v>0</v>
      </c>
      <c r="L946" s="879">
        <f t="shared" ref="L946" si="315">((+B946/A946)-(E946/D946))/(B946/A946)</f>
        <v>-5.0822707241387323E-3</v>
      </c>
    </row>
    <row r="947" spans="1:12" ht="15" thickBot="1" x14ac:dyDescent="0.35">
      <c r="A947" s="875"/>
      <c r="B947" s="881"/>
      <c r="C947" s="881"/>
      <c r="D947" s="881"/>
      <c r="E947" s="881"/>
      <c r="F947" s="735" t="s">
        <v>6960</v>
      </c>
      <c r="G947" s="735">
        <v>106421</v>
      </c>
      <c r="I947" s="761">
        <v>804</v>
      </c>
      <c r="J947" s="50">
        <v>34932.199999999997</v>
      </c>
      <c r="K947" s="878"/>
      <c r="L947" s="880"/>
    </row>
    <row r="948" spans="1:12" x14ac:dyDescent="0.3">
      <c r="A948" s="871">
        <v>2116</v>
      </c>
      <c r="B948" s="873">
        <v>81971</v>
      </c>
      <c r="C948" s="873" t="s">
        <v>6961</v>
      </c>
      <c r="D948" s="873">
        <f>+I948+I949</f>
        <v>2116</v>
      </c>
      <c r="E948" s="873">
        <f>+J948+J949</f>
        <v>81960.000000000015</v>
      </c>
      <c r="F948" s="734" t="s">
        <v>6962</v>
      </c>
      <c r="G948" s="734">
        <v>106431</v>
      </c>
      <c r="H948" s="40"/>
      <c r="I948" s="758">
        <v>290</v>
      </c>
      <c r="J948" s="748">
        <v>10137.799999999999</v>
      </c>
      <c r="K948" s="877">
        <f t="shared" ref="K948" si="316">+A948-D948</f>
        <v>0</v>
      </c>
      <c r="L948" s="879">
        <f t="shared" ref="L948" si="317">((+B948/A948)-(E948/D948))/(B948/A948)</f>
        <v>1.3419380024632529E-4</v>
      </c>
    </row>
    <row r="949" spans="1:12" ht="15" thickBot="1" x14ac:dyDescent="0.35">
      <c r="A949" s="872"/>
      <c r="B949" s="874"/>
      <c r="C949" s="874"/>
      <c r="D949" s="874"/>
      <c r="E949" s="874"/>
      <c r="F949" s="736" t="s">
        <v>6962</v>
      </c>
      <c r="G949" s="736">
        <v>106432</v>
      </c>
      <c r="H949" s="754"/>
      <c r="I949" s="749">
        <v>1826</v>
      </c>
      <c r="J949" s="749">
        <v>71822.200000000012</v>
      </c>
      <c r="K949" s="878"/>
      <c r="L949" s="880"/>
    </row>
    <row r="950" spans="1:12" ht="15" thickBot="1" x14ac:dyDescent="0.35">
      <c r="A950" s="175">
        <v>352</v>
      </c>
      <c r="B950" s="8">
        <v>13084.1</v>
      </c>
      <c r="C950" s="8" t="s">
        <v>6963</v>
      </c>
      <c r="D950" s="8">
        <f>+I950</f>
        <v>352</v>
      </c>
      <c r="E950" s="8">
        <f>+J950</f>
        <v>13019.6</v>
      </c>
      <c r="F950" s="8" t="s">
        <v>6964</v>
      </c>
      <c r="G950" s="8">
        <v>106441</v>
      </c>
      <c r="H950" s="14"/>
      <c r="I950" s="45">
        <v>352</v>
      </c>
      <c r="J950" s="45">
        <v>13019.6</v>
      </c>
      <c r="K950" s="54">
        <f t="shared" ref="K950:K951" si="318">+A950-D950</f>
        <v>0</v>
      </c>
      <c r="L950" s="53">
        <f t="shared" ref="L950:L951" si="319">((+B950/A950)-(E950/D950))/(B950/A950)</f>
        <v>4.9296474346725312E-3</v>
      </c>
    </row>
    <row r="951" spans="1:12" ht="15" thickBot="1" x14ac:dyDescent="0.35">
      <c r="A951" s="739">
        <v>1980</v>
      </c>
      <c r="B951" s="736">
        <v>79058.3</v>
      </c>
      <c r="C951" s="736" t="s">
        <v>6965</v>
      </c>
      <c r="D951" s="8">
        <v>1980</v>
      </c>
      <c r="E951" s="8">
        <v>77161.600000000006</v>
      </c>
      <c r="F951" s="736" t="s">
        <v>6966</v>
      </c>
      <c r="G951" s="736">
        <v>106541</v>
      </c>
      <c r="H951" s="754"/>
      <c r="I951" s="749">
        <v>1100</v>
      </c>
      <c r="J951" s="749">
        <v>42200.299999999996</v>
      </c>
      <c r="K951" s="54">
        <f t="shared" si="318"/>
        <v>0</v>
      </c>
      <c r="L951" s="53">
        <f t="shared" si="319"/>
        <v>2.3991155893815078E-2</v>
      </c>
    </row>
    <row r="952" spans="1:12" ht="15" thickBot="1" x14ac:dyDescent="0.35">
      <c r="A952" s="175">
        <v>690</v>
      </c>
      <c r="B952" s="8">
        <v>27690.5</v>
      </c>
      <c r="C952" s="8" t="s">
        <v>7176</v>
      </c>
      <c r="D952" s="8">
        <f>+I952</f>
        <v>690</v>
      </c>
      <c r="E952" s="8">
        <f>+J952</f>
        <v>28151.000000000004</v>
      </c>
      <c r="F952" s="8" t="s">
        <v>7177</v>
      </c>
      <c r="G952" s="8">
        <v>106621</v>
      </c>
      <c r="H952" s="14"/>
      <c r="I952" s="45">
        <v>690</v>
      </c>
      <c r="J952" s="45">
        <v>28151.000000000004</v>
      </c>
      <c r="K952" s="54">
        <f t="shared" ref="K952:K954" si="320">+A952-D952</f>
        <v>0</v>
      </c>
      <c r="L952" s="53">
        <f t="shared" ref="L952:L954" si="321">((+B952/A952)-(E952/D952))/(B952/A952)</f>
        <v>-1.6630252252577717E-2</v>
      </c>
    </row>
    <row r="953" spans="1:12" ht="15" thickBot="1" x14ac:dyDescent="0.35">
      <c r="A953" s="797">
        <v>1056</v>
      </c>
      <c r="B953" s="799">
        <v>41238.800000000003</v>
      </c>
      <c r="C953" s="799" t="s">
        <v>7178</v>
      </c>
      <c r="D953" s="798">
        <f t="shared" ref="D953:E953" si="322">+I953</f>
        <v>1056</v>
      </c>
      <c r="E953" s="798">
        <f t="shared" si="322"/>
        <v>40539.800000000003</v>
      </c>
      <c r="F953" s="799" t="s">
        <v>7179</v>
      </c>
      <c r="G953" s="799">
        <v>106691</v>
      </c>
      <c r="I953" s="50">
        <v>1056</v>
      </c>
      <c r="J953" s="50">
        <v>40539.800000000003</v>
      </c>
      <c r="K953" s="54">
        <f t="shared" si="320"/>
        <v>0</v>
      </c>
      <c r="L953" s="53">
        <f t="shared" si="321"/>
        <v>1.6950056742679274E-2</v>
      </c>
    </row>
    <row r="954" spans="1:12" x14ac:dyDescent="0.3">
      <c r="A954" s="871">
        <v>1320</v>
      </c>
      <c r="B954" s="873">
        <v>49488.800000000003</v>
      </c>
      <c r="C954" s="873" t="s">
        <v>7180</v>
      </c>
      <c r="D954" s="873">
        <f>+I954+I955</f>
        <v>1320</v>
      </c>
      <c r="E954" s="873">
        <f>+J954+J955</f>
        <v>48066.799999999996</v>
      </c>
      <c r="F954" s="798" t="s">
        <v>7181</v>
      </c>
      <c r="G954" s="798">
        <v>106741</v>
      </c>
      <c r="H954" s="40"/>
      <c r="I954" s="803">
        <v>220</v>
      </c>
      <c r="J954" s="803">
        <v>8410.1</v>
      </c>
      <c r="K954" s="877">
        <f t="shared" si="320"/>
        <v>0</v>
      </c>
      <c r="L954" s="879">
        <f t="shared" si="321"/>
        <v>2.8733774106464514E-2</v>
      </c>
    </row>
    <row r="955" spans="1:12" ht="15" thickBot="1" x14ac:dyDescent="0.35">
      <c r="A955" s="872"/>
      <c r="B955" s="874"/>
      <c r="C955" s="874"/>
      <c r="D955" s="874"/>
      <c r="E955" s="874"/>
      <c r="F955" s="800" t="s">
        <v>7181</v>
      </c>
      <c r="G955" s="800">
        <v>106741</v>
      </c>
      <c r="H955" s="807"/>
      <c r="I955" s="804">
        <v>1100</v>
      </c>
      <c r="J955" s="804">
        <v>39656.699999999997</v>
      </c>
      <c r="K955" s="878"/>
      <c r="L955" s="880"/>
    </row>
    <row r="956" spans="1:12" ht="15" thickBot="1" x14ac:dyDescent="0.35">
      <c r="A956" s="175">
        <v>1320</v>
      </c>
      <c r="B956" s="8">
        <v>49623.3</v>
      </c>
      <c r="C956" s="8" t="s">
        <v>7182</v>
      </c>
      <c r="D956" s="8">
        <v>1318</v>
      </c>
      <c r="E956" s="8">
        <v>48644.6</v>
      </c>
      <c r="F956" s="8" t="s">
        <v>7183</v>
      </c>
      <c r="G956" s="8">
        <v>106781</v>
      </c>
      <c r="H956" s="14"/>
      <c r="I956" s="45">
        <v>440</v>
      </c>
      <c r="J956" s="45">
        <v>16281.7</v>
      </c>
      <c r="K956" s="54">
        <f t="shared" ref="K956:K957" si="323">+A956-D956</f>
        <v>2</v>
      </c>
      <c r="L956" s="53">
        <f t="shared" ref="L956:L957" si="324">((+B956/A956)-(E956/D956))/(B956/A956)</f>
        <v>1.823506736780697E-2</v>
      </c>
    </row>
    <row r="957" spans="1:12" x14ac:dyDescent="0.3">
      <c r="A957" s="875">
        <v>1320</v>
      </c>
      <c r="B957" s="881">
        <v>50420.800000000003</v>
      </c>
      <c r="C957" s="881" t="s">
        <v>7193</v>
      </c>
      <c r="D957" s="881">
        <v>1321</v>
      </c>
      <c r="E957" s="881">
        <v>49002.6</v>
      </c>
      <c r="F957" s="810" t="s">
        <v>7194</v>
      </c>
      <c r="G957" s="810">
        <v>106791</v>
      </c>
      <c r="I957" s="761">
        <v>220</v>
      </c>
      <c r="J957" s="50">
        <v>8326.2000000000007</v>
      </c>
      <c r="K957" s="877">
        <f t="shared" si="323"/>
        <v>-1</v>
      </c>
      <c r="L957" s="879">
        <f t="shared" si="324"/>
        <v>2.8862990660307699E-2</v>
      </c>
    </row>
    <row r="958" spans="1:12" ht="15" thickBot="1" x14ac:dyDescent="0.35">
      <c r="A958" s="872"/>
      <c r="B958" s="874"/>
      <c r="C958" s="874"/>
      <c r="D958" s="874"/>
      <c r="E958" s="874"/>
      <c r="F958" s="812" t="s">
        <v>7194</v>
      </c>
      <c r="G958" s="812">
        <v>106791</v>
      </c>
      <c r="H958" s="817"/>
      <c r="I958" s="759">
        <v>441</v>
      </c>
      <c r="J958" s="816">
        <v>16552.599999999999</v>
      </c>
      <c r="K958" s="878"/>
      <c r="L958" s="880"/>
    </row>
    <row r="959" spans="1:12" ht="15" thickBot="1" x14ac:dyDescent="0.35">
      <c r="A959" s="175">
        <v>49</v>
      </c>
      <c r="B959" s="8">
        <v>1686.75</v>
      </c>
      <c r="C959" s="8" t="s">
        <v>7337</v>
      </c>
      <c r="D959" s="8">
        <f>+I959</f>
        <v>49</v>
      </c>
      <c r="E959" s="8">
        <f>+J959</f>
        <v>1650.2</v>
      </c>
      <c r="F959" s="8" t="s">
        <v>7338</v>
      </c>
      <c r="G959" s="8">
        <v>106861</v>
      </c>
      <c r="H959" s="14"/>
      <c r="I959" s="45">
        <v>49</v>
      </c>
      <c r="J959" s="45">
        <v>1650.2</v>
      </c>
      <c r="K959" s="54">
        <f t="shared" ref="K959" si="325">+A959-D959</f>
        <v>0</v>
      </c>
      <c r="L959" s="53">
        <f t="shared" ref="L959" si="326">((+B959/A959)-(E959/D959))/(B959/A959)</f>
        <v>2.1668889876982345E-2</v>
      </c>
    </row>
    <row r="960" spans="1:12" x14ac:dyDescent="0.3">
      <c r="A960" s="875">
        <v>1746</v>
      </c>
      <c r="B960" s="881">
        <v>64492.6</v>
      </c>
      <c r="C960" s="881" t="s">
        <v>7195</v>
      </c>
      <c r="D960" s="881">
        <f>+I960+I961</f>
        <v>1746</v>
      </c>
      <c r="E960" s="881">
        <f>+J960+J961</f>
        <v>62132.9</v>
      </c>
      <c r="F960" s="810" t="s">
        <v>7196</v>
      </c>
      <c r="G960" s="810">
        <v>106931</v>
      </c>
      <c r="I960" s="761">
        <v>1100</v>
      </c>
      <c r="J960" s="50">
        <v>38699.5</v>
      </c>
      <c r="K960" s="877">
        <f t="shared" ref="K960" si="327">+A960-D960</f>
        <v>0</v>
      </c>
      <c r="L960" s="879">
        <f t="shared" ref="L960" si="328">((+B960/A960)-(E960/D960))/(B960/A960)</f>
        <v>3.65886938966642E-2</v>
      </c>
    </row>
    <row r="961" spans="1:12" ht="15" thickBot="1" x14ac:dyDescent="0.35">
      <c r="A961" s="872"/>
      <c r="B961" s="874"/>
      <c r="C961" s="874"/>
      <c r="D961" s="874"/>
      <c r="E961" s="874"/>
      <c r="F961" s="812" t="s">
        <v>7196</v>
      </c>
      <c r="G961" s="812">
        <v>106931</v>
      </c>
      <c r="H961" s="817"/>
      <c r="I961" s="759">
        <v>646</v>
      </c>
      <c r="J961" s="816">
        <v>23433.4</v>
      </c>
      <c r="K961" s="878"/>
      <c r="L961" s="880"/>
    </row>
    <row r="962" spans="1:12" x14ac:dyDescent="0.3">
      <c r="A962" s="871">
        <v>1100</v>
      </c>
      <c r="B962" s="873">
        <v>40353.300000000003</v>
      </c>
      <c r="C962" s="873" t="s">
        <v>7339</v>
      </c>
      <c r="D962" s="873">
        <f>+I962+I963</f>
        <v>1100</v>
      </c>
      <c r="E962" s="873">
        <f>+J962+J963</f>
        <v>39307.5</v>
      </c>
      <c r="F962" s="835" t="s">
        <v>7340</v>
      </c>
      <c r="G962" s="835">
        <v>106941</v>
      </c>
      <c r="H962" s="40"/>
      <c r="I962" s="838">
        <v>440</v>
      </c>
      <c r="J962" s="838">
        <v>16179.5</v>
      </c>
      <c r="K962" s="877">
        <f t="shared" ref="K962" si="329">+A962-D962</f>
        <v>0</v>
      </c>
      <c r="L962" s="879">
        <f t="shared" ref="L962" si="330">((+B962/A962)-(E962/D962))/(B962/A962)</f>
        <v>2.5916096081361507E-2</v>
      </c>
    </row>
    <row r="963" spans="1:12" ht="15" thickBot="1" x14ac:dyDescent="0.35">
      <c r="A963" s="872"/>
      <c r="B963" s="874"/>
      <c r="C963" s="874"/>
      <c r="D963" s="874"/>
      <c r="E963" s="874"/>
      <c r="F963" s="834" t="s">
        <v>7340</v>
      </c>
      <c r="G963" s="834">
        <v>106941</v>
      </c>
      <c r="H963" s="842"/>
      <c r="I963" s="839">
        <v>660</v>
      </c>
      <c r="J963" s="839">
        <v>23128</v>
      </c>
      <c r="K963" s="878"/>
      <c r="L963" s="880"/>
    </row>
    <row r="964" spans="1:12" ht="15" thickBot="1" x14ac:dyDescent="0.35">
      <c r="A964" s="175">
        <v>274</v>
      </c>
      <c r="B964" s="8">
        <v>10524.75</v>
      </c>
      <c r="C964" s="8" t="s">
        <v>7341</v>
      </c>
      <c r="D964" s="8">
        <f>+I964</f>
        <v>274</v>
      </c>
      <c r="E964" s="8">
        <f>+J964</f>
        <v>10401.299999999999</v>
      </c>
      <c r="F964" s="8" t="s">
        <v>7342</v>
      </c>
      <c r="G964" s="8">
        <v>107001</v>
      </c>
      <c r="H964" s="14"/>
      <c r="I964" s="45">
        <v>274</v>
      </c>
      <c r="J964" s="45">
        <v>10401.299999999999</v>
      </c>
      <c r="K964" s="54">
        <f t="shared" ref="K964" si="331">+A964-D964</f>
        <v>0</v>
      </c>
      <c r="L964" s="53">
        <f t="shared" ref="L964" si="332">((+B964/A964)-(E964/D964))/(B964/A964)</f>
        <v>1.1729494762345877E-2</v>
      </c>
    </row>
    <row r="965" spans="1:12" x14ac:dyDescent="0.3">
      <c r="A965" s="871">
        <v>825</v>
      </c>
      <c r="B965" s="873">
        <v>30997.4</v>
      </c>
      <c r="C965" s="873" t="s">
        <v>7343</v>
      </c>
      <c r="D965" s="873">
        <f>+I965+I966</f>
        <v>825</v>
      </c>
      <c r="E965" s="873">
        <f>+J965+J966</f>
        <v>30662.199999999997</v>
      </c>
      <c r="F965" s="835" t="s">
        <v>7344</v>
      </c>
      <c r="G965" s="835">
        <v>107011</v>
      </c>
      <c r="H965" s="40"/>
      <c r="I965" s="838">
        <v>581</v>
      </c>
      <c r="J965" s="838">
        <v>21825.399999999998</v>
      </c>
      <c r="K965" s="877">
        <f t="shared" ref="K965" si="333">+A965-D965</f>
        <v>0</v>
      </c>
      <c r="L965" s="879">
        <f t="shared" ref="L965" si="334">((+B965/A965)-(E965/D965))/(B965/A965)</f>
        <v>1.0813810190532258E-2</v>
      </c>
    </row>
    <row r="966" spans="1:12" ht="15" thickBot="1" x14ac:dyDescent="0.35">
      <c r="A966" s="875"/>
      <c r="B966" s="876"/>
      <c r="C966" s="876"/>
      <c r="D966" s="876"/>
      <c r="E966" s="876"/>
      <c r="F966" s="863" t="s">
        <v>7344</v>
      </c>
      <c r="G966" s="863">
        <v>107011</v>
      </c>
      <c r="H966" s="842"/>
      <c r="I966" s="839">
        <v>244</v>
      </c>
      <c r="J966" s="839">
        <v>8836.7999999999993</v>
      </c>
      <c r="K966" s="878"/>
      <c r="L966" s="880"/>
    </row>
    <row r="967" spans="1:12" x14ac:dyDescent="0.3">
      <c r="A967" s="871">
        <v>1718</v>
      </c>
      <c r="B967" s="873">
        <v>65056</v>
      </c>
      <c r="C967" s="873" t="s">
        <v>7444</v>
      </c>
      <c r="D967" s="873">
        <f>+I967+I968+I969</f>
        <v>1718</v>
      </c>
      <c r="E967" s="873">
        <f>+J967+J968+J969</f>
        <v>62784.2</v>
      </c>
      <c r="F967" s="860" t="s">
        <v>7445</v>
      </c>
      <c r="G967" s="13">
        <v>107021</v>
      </c>
      <c r="I967" s="50">
        <v>880</v>
      </c>
      <c r="J967" s="50">
        <v>31706.6</v>
      </c>
      <c r="K967" s="882">
        <f>+A967-D967</f>
        <v>0</v>
      </c>
      <c r="L967" s="879">
        <f>((+B967/A967)-(E967/D967))/(B967/A967)</f>
        <v>3.4920683718642438E-2</v>
      </c>
    </row>
    <row r="968" spans="1:12" x14ac:dyDescent="0.3">
      <c r="A968" s="875"/>
      <c r="B968" s="876"/>
      <c r="C968" s="876"/>
      <c r="D968" s="876"/>
      <c r="E968" s="876"/>
      <c r="F968" s="863" t="s">
        <v>7445</v>
      </c>
      <c r="G968" s="16">
        <v>107021</v>
      </c>
      <c r="I968" s="50">
        <v>220</v>
      </c>
      <c r="J968" s="50">
        <v>8151.9</v>
      </c>
      <c r="K968" s="883"/>
      <c r="L968" s="885"/>
    </row>
    <row r="969" spans="1:12" ht="15" thickBot="1" x14ac:dyDescent="0.35">
      <c r="A969" s="872"/>
      <c r="B969" s="874"/>
      <c r="C969" s="874"/>
      <c r="D969" s="874"/>
      <c r="E969" s="874"/>
      <c r="F969" s="862" t="s">
        <v>7445</v>
      </c>
      <c r="G969" s="11">
        <v>107022</v>
      </c>
      <c r="I969" s="50">
        <v>618</v>
      </c>
      <c r="J969" s="50">
        <v>22925.7</v>
      </c>
      <c r="K969" s="884"/>
      <c r="L969" s="880"/>
    </row>
    <row r="970" spans="1:12" x14ac:dyDescent="0.3">
      <c r="A970" s="155">
        <f>SUM(A5:A956)</f>
        <v>697720</v>
      </c>
      <c r="B970" s="155">
        <f>SUM(B5:B956)</f>
        <v>29933659.039999984</v>
      </c>
      <c r="C970" s="155"/>
      <c r="D970" s="155">
        <f>SUM(D5:D956)</f>
        <v>697097</v>
      </c>
      <c r="E970" s="155">
        <f>SUM(E5:E956)</f>
        <v>29200578.600000001</v>
      </c>
      <c r="F970" s="124"/>
    </row>
  </sheetData>
  <mergeCells count="1787">
    <mergeCell ref="K967:K969"/>
    <mergeCell ref="L967:L969"/>
    <mergeCell ref="A967:A969"/>
    <mergeCell ref="B967:B969"/>
    <mergeCell ref="C967:C969"/>
    <mergeCell ref="D967:D969"/>
    <mergeCell ref="E967:E969"/>
    <mergeCell ref="K908:K911"/>
    <mergeCell ref="L908:L911"/>
    <mergeCell ref="K925:K926"/>
    <mergeCell ref="L925:L926"/>
    <mergeCell ref="K913:K917"/>
    <mergeCell ref="L913:L917"/>
    <mergeCell ref="K919:K924"/>
    <mergeCell ref="L919:L924"/>
    <mergeCell ref="A908:A911"/>
    <mergeCell ref="B908:B911"/>
    <mergeCell ref="C908:C911"/>
    <mergeCell ref="D908:D911"/>
    <mergeCell ref="E908:E911"/>
    <mergeCell ref="A913:A917"/>
    <mergeCell ref="B913:B917"/>
    <mergeCell ref="C913:C917"/>
    <mergeCell ref="D913:D917"/>
    <mergeCell ref="E913:E917"/>
    <mergeCell ref="A919:A924"/>
    <mergeCell ref="B919:B924"/>
    <mergeCell ref="C919:C924"/>
    <mergeCell ref="D919:D924"/>
    <mergeCell ref="E919:E924"/>
    <mergeCell ref="A925:A926"/>
    <mergeCell ref="B925:B926"/>
    <mergeCell ref="C925:C926"/>
    <mergeCell ref="D925:D926"/>
    <mergeCell ref="E925:E926"/>
    <mergeCell ref="K879:K881"/>
    <mergeCell ref="L879:L881"/>
    <mergeCell ref="K905:K907"/>
    <mergeCell ref="L905:L907"/>
    <mergeCell ref="K886:K889"/>
    <mergeCell ref="L886:L889"/>
    <mergeCell ref="K890:K893"/>
    <mergeCell ref="L890:L893"/>
    <mergeCell ref="K894:K897"/>
    <mergeCell ref="L894:L897"/>
    <mergeCell ref="K898:K901"/>
    <mergeCell ref="L898:L901"/>
    <mergeCell ref="A898:A901"/>
    <mergeCell ref="B898:B901"/>
    <mergeCell ref="C898:C901"/>
    <mergeCell ref="D898:D901"/>
    <mergeCell ref="E898:E901"/>
    <mergeCell ref="A902:A903"/>
    <mergeCell ref="B902:B903"/>
    <mergeCell ref="C902:C903"/>
    <mergeCell ref="D902:D903"/>
    <mergeCell ref="E902:E903"/>
    <mergeCell ref="A905:A907"/>
    <mergeCell ref="B905:B907"/>
    <mergeCell ref="C905:C907"/>
    <mergeCell ref="D905:D907"/>
    <mergeCell ref="E905:E907"/>
    <mergeCell ref="K902:K903"/>
    <mergeCell ref="L902:L903"/>
    <mergeCell ref="A879:A881"/>
    <mergeCell ref="B879:B881"/>
    <mergeCell ref="C879:C881"/>
    <mergeCell ref="D879:D881"/>
    <mergeCell ref="E879:E881"/>
    <mergeCell ref="A886:A889"/>
    <mergeCell ref="B886:B889"/>
    <mergeCell ref="C886:C889"/>
    <mergeCell ref="D886:D889"/>
    <mergeCell ref="E886:E889"/>
    <mergeCell ref="A890:A893"/>
    <mergeCell ref="B890:B893"/>
    <mergeCell ref="C890:C893"/>
    <mergeCell ref="D890:D893"/>
    <mergeCell ref="E890:E893"/>
    <mergeCell ref="A894:A897"/>
    <mergeCell ref="B894:B897"/>
    <mergeCell ref="C894:C897"/>
    <mergeCell ref="D894:D897"/>
    <mergeCell ref="E894:E897"/>
    <mergeCell ref="A869:A870"/>
    <mergeCell ref="B869:B870"/>
    <mergeCell ref="C869:C870"/>
    <mergeCell ref="D869:D870"/>
    <mergeCell ref="E869:E870"/>
    <mergeCell ref="A872:A873"/>
    <mergeCell ref="B872:B873"/>
    <mergeCell ref="C872:C873"/>
    <mergeCell ref="D872:D873"/>
    <mergeCell ref="E872:E873"/>
    <mergeCell ref="A874:A878"/>
    <mergeCell ref="B874:B878"/>
    <mergeCell ref="C874:C878"/>
    <mergeCell ref="D874:D878"/>
    <mergeCell ref="E874:E878"/>
    <mergeCell ref="K869:K870"/>
    <mergeCell ref="L869:L870"/>
    <mergeCell ref="K872:K873"/>
    <mergeCell ref="L872:L873"/>
    <mergeCell ref="K874:K878"/>
    <mergeCell ref="L874:L878"/>
    <mergeCell ref="K844:K849"/>
    <mergeCell ref="L844:L849"/>
    <mergeCell ref="K850:K851"/>
    <mergeCell ref="L850:L851"/>
    <mergeCell ref="K852:K853"/>
    <mergeCell ref="L852:L853"/>
    <mergeCell ref="K864:K865"/>
    <mergeCell ref="L864:L865"/>
    <mergeCell ref="K866:K867"/>
    <mergeCell ref="L866:L867"/>
    <mergeCell ref="K854:K856"/>
    <mergeCell ref="L854:L856"/>
    <mergeCell ref="K857:K859"/>
    <mergeCell ref="L857:L859"/>
    <mergeCell ref="K860:K862"/>
    <mergeCell ref="L860:L862"/>
    <mergeCell ref="A857:A858"/>
    <mergeCell ref="B857:B858"/>
    <mergeCell ref="C857:C858"/>
    <mergeCell ref="D857:D859"/>
    <mergeCell ref="E857:E859"/>
    <mergeCell ref="A860:A862"/>
    <mergeCell ref="B860:B862"/>
    <mergeCell ref="C860:C862"/>
    <mergeCell ref="D860:D862"/>
    <mergeCell ref="E860:E862"/>
    <mergeCell ref="A864:A865"/>
    <mergeCell ref="B864:B865"/>
    <mergeCell ref="C864:C865"/>
    <mergeCell ref="D864:D865"/>
    <mergeCell ref="E864:E865"/>
    <mergeCell ref="A866:A867"/>
    <mergeCell ref="C792:C794"/>
    <mergeCell ref="D792:D794"/>
    <mergeCell ref="E792:E794"/>
    <mergeCell ref="B866:B867"/>
    <mergeCell ref="C866:C867"/>
    <mergeCell ref="D866:D867"/>
    <mergeCell ref="E866:E867"/>
    <mergeCell ref="A844:A849"/>
    <mergeCell ref="B844:B849"/>
    <mergeCell ref="C844:C849"/>
    <mergeCell ref="D844:D849"/>
    <mergeCell ref="E844:E849"/>
    <mergeCell ref="A850:A851"/>
    <mergeCell ref="B850:B851"/>
    <mergeCell ref="C850:C851"/>
    <mergeCell ref="D850:D851"/>
    <mergeCell ref="E850:E851"/>
    <mergeCell ref="A852:A853"/>
    <mergeCell ref="B852:B853"/>
    <mergeCell ref="C852:C853"/>
    <mergeCell ref="D852:D853"/>
    <mergeCell ref="E852:E853"/>
    <mergeCell ref="A854:A856"/>
    <mergeCell ref="B854:B856"/>
    <mergeCell ref="C854:C856"/>
    <mergeCell ref="D854:D856"/>
    <mergeCell ref="E854:E856"/>
    <mergeCell ref="C837:C840"/>
    <mergeCell ref="D837:D840"/>
    <mergeCell ref="E837:E840"/>
    <mergeCell ref="A841:A843"/>
    <mergeCell ref="B841:B843"/>
    <mergeCell ref="B760:B761"/>
    <mergeCell ref="C760:C761"/>
    <mergeCell ref="D760:D761"/>
    <mergeCell ref="A803:A804"/>
    <mergeCell ref="B803:B804"/>
    <mergeCell ref="C803:C804"/>
    <mergeCell ref="D803:D804"/>
    <mergeCell ref="E803:E804"/>
    <mergeCell ref="A806:A808"/>
    <mergeCell ref="B806:B808"/>
    <mergeCell ref="C806:C808"/>
    <mergeCell ref="D806:D808"/>
    <mergeCell ref="E806:E808"/>
    <mergeCell ref="K790:K791"/>
    <mergeCell ref="L790:L791"/>
    <mergeCell ref="K803:K804"/>
    <mergeCell ref="L803:L804"/>
    <mergeCell ref="K792:K794"/>
    <mergeCell ref="L792:L794"/>
    <mergeCell ref="K795:K797"/>
    <mergeCell ref="L795:L797"/>
    <mergeCell ref="K806:K808"/>
    <mergeCell ref="L806:L808"/>
    <mergeCell ref="K798:K802"/>
    <mergeCell ref="L798:L802"/>
    <mergeCell ref="A790:A791"/>
    <mergeCell ref="B790:B791"/>
    <mergeCell ref="C790:C791"/>
    <mergeCell ref="D790:D791"/>
    <mergeCell ref="E790:E791"/>
    <mergeCell ref="A792:A794"/>
    <mergeCell ref="B792:B794"/>
    <mergeCell ref="A670:A672"/>
    <mergeCell ref="B670:B672"/>
    <mergeCell ref="C670:C672"/>
    <mergeCell ref="A795:A797"/>
    <mergeCell ref="B795:B797"/>
    <mergeCell ref="C795:C797"/>
    <mergeCell ref="D795:D797"/>
    <mergeCell ref="E795:E797"/>
    <mergeCell ref="A798:A802"/>
    <mergeCell ref="B798:B802"/>
    <mergeCell ref="C798:C802"/>
    <mergeCell ref="D798:D802"/>
    <mergeCell ref="E798:E802"/>
    <mergeCell ref="K752:K753"/>
    <mergeCell ref="L752:L753"/>
    <mergeCell ref="K757:K758"/>
    <mergeCell ref="L757:L758"/>
    <mergeCell ref="K760:K761"/>
    <mergeCell ref="L760:L761"/>
    <mergeCell ref="K762:K764"/>
    <mergeCell ref="L762:L764"/>
    <mergeCell ref="A752:A753"/>
    <mergeCell ref="B752:B753"/>
    <mergeCell ref="C752:C753"/>
    <mergeCell ref="D752:D753"/>
    <mergeCell ref="E752:E753"/>
    <mergeCell ref="A757:A758"/>
    <mergeCell ref="B757:B758"/>
    <mergeCell ref="C757:C758"/>
    <mergeCell ref="D757:D758"/>
    <mergeCell ref="E757:E758"/>
    <mergeCell ref="A760:A761"/>
    <mergeCell ref="D639:D640"/>
    <mergeCell ref="K646:K647"/>
    <mergeCell ref="K632:K633"/>
    <mergeCell ref="L632:L633"/>
    <mergeCell ref="E760:E761"/>
    <mergeCell ref="A762:A764"/>
    <mergeCell ref="B762:B764"/>
    <mergeCell ref="C762:C764"/>
    <mergeCell ref="D762:D764"/>
    <mergeCell ref="E762:E764"/>
    <mergeCell ref="K658:K659"/>
    <mergeCell ref="L658:L659"/>
    <mergeCell ref="K667:K669"/>
    <mergeCell ref="L667:L669"/>
    <mergeCell ref="K661:K663"/>
    <mergeCell ref="L661:L663"/>
    <mergeCell ref="K670:K672"/>
    <mergeCell ref="L670:L672"/>
    <mergeCell ref="A658:A659"/>
    <mergeCell ref="B658:B659"/>
    <mergeCell ref="C658:C659"/>
    <mergeCell ref="D658:D659"/>
    <mergeCell ref="E658:E659"/>
    <mergeCell ref="A661:A663"/>
    <mergeCell ref="B661:B663"/>
    <mergeCell ref="C661:C663"/>
    <mergeCell ref="D661:D663"/>
    <mergeCell ref="E661:E663"/>
    <mergeCell ref="A667:A669"/>
    <mergeCell ref="B667:B669"/>
    <mergeCell ref="C667:C669"/>
    <mergeCell ref="D667:D669"/>
    <mergeCell ref="K625:K628"/>
    <mergeCell ref="L625:L628"/>
    <mergeCell ref="A617:A618"/>
    <mergeCell ref="B617:B618"/>
    <mergeCell ref="C617:C618"/>
    <mergeCell ref="D617:D618"/>
    <mergeCell ref="E617:E618"/>
    <mergeCell ref="A619:A621"/>
    <mergeCell ref="B619:B621"/>
    <mergeCell ref="C619:C621"/>
    <mergeCell ref="D619:D621"/>
    <mergeCell ref="E619:E621"/>
    <mergeCell ref="A623:A624"/>
    <mergeCell ref="B623:B624"/>
    <mergeCell ref="C623:C624"/>
    <mergeCell ref="D623:D624"/>
    <mergeCell ref="E623:E624"/>
    <mergeCell ref="A625:A628"/>
    <mergeCell ref="B625:B628"/>
    <mergeCell ref="C625:C628"/>
    <mergeCell ref="D625:D628"/>
    <mergeCell ref="E625:E628"/>
    <mergeCell ref="K617:K618"/>
    <mergeCell ref="L617:L618"/>
    <mergeCell ref="K623:K624"/>
    <mergeCell ref="L623:L624"/>
    <mergeCell ref="A42:A44"/>
    <mergeCell ref="A28:A29"/>
    <mergeCell ref="A22:A23"/>
    <mergeCell ref="A18:A19"/>
    <mergeCell ref="A85:A86"/>
    <mergeCell ref="A88:A89"/>
    <mergeCell ref="A124:A125"/>
    <mergeCell ref="A608:A609"/>
    <mergeCell ref="B608:B609"/>
    <mergeCell ref="C608:C609"/>
    <mergeCell ref="D608:D609"/>
    <mergeCell ref="E608:E609"/>
    <mergeCell ref="A610:A612"/>
    <mergeCell ref="B610:B612"/>
    <mergeCell ref="C610:C612"/>
    <mergeCell ref="D610:D612"/>
    <mergeCell ref="E610:E612"/>
    <mergeCell ref="A157:A158"/>
    <mergeCell ref="A154:A155"/>
    <mergeCell ref="A160:A161"/>
    <mergeCell ref="A240:A241"/>
    <mergeCell ref="A149:A150"/>
    <mergeCell ref="A145:A146"/>
    <mergeCell ref="A143:A144"/>
    <mergeCell ref="A136:A137"/>
    <mergeCell ref="A132:A133"/>
    <mergeCell ref="A129:A131"/>
    <mergeCell ref="A114:A116"/>
    <mergeCell ref="A111:A112"/>
    <mergeCell ref="A106:A107"/>
    <mergeCell ref="A100:A101"/>
    <mergeCell ref="A95:A96"/>
    <mergeCell ref="A92:A93"/>
    <mergeCell ref="A47:A49"/>
    <mergeCell ref="A278:A279"/>
    <mergeCell ref="A276:A277"/>
    <mergeCell ref="A273:A274"/>
    <mergeCell ref="A270:A271"/>
    <mergeCell ref="A264:A265"/>
    <mergeCell ref="A262:A263"/>
    <mergeCell ref="A259:A260"/>
    <mergeCell ref="A254:A255"/>
    <mergeCell ref="A250:A251"/>
    <mergeCell ref="A248:A249"/>
    <mergeCell ref="A244:A246"/>
    <mergeCell ref="A224:A226"/>
    <mergeCell ref="A221:A223"/>
    <mergeCell ref="A218:A220"/>
    <mergeCell ref="A214:A215"/>
    <mergeCell ref="A211:A213"/>
    <mergeCell ref="A209:A210"/>
    <mergeCell ref="A194:A195"/>
    <mergeCell ref="A335:A336"/>
    <mergeCell ref="A333:A334"/>
    <mergeCell ref="A331:A332"/>
    <mergeCell ref="A408:A410"/>
    <mergeCell ref="A388:A389"/>
    <mergeCell ref="A360:A361"/>
    <mergeCell ref="A348:A349"/>
    <mergeCell ref="A339:A340"/>
    <mergeCell ref="A328:A330"/>
    <mergeCell ref="A326:A327"/>
    <mergeCell ref="A323:A324"/>
    <mergeCell ref="A320:A321"/>
    <mergeCell ref="A313:A314"/>
    <mergeCell ref="A309:A311"/>
    <mergeCell ref="A307:A308"/>
    <mergeCell ref="A303:A305"/>
    <mergeCell ref="A284:A286"/>
    <mergeCell ref="A401:A402"/>
    <mergeCell ref="A342:A343"/>
    <mergeCell ref="A404:A405"/>
    <mergeCell ref="A565:A566"/>
    <mergeCell ref="A563:A564"/>
    <mergeCell ref="A560:A562"/>
    <mergeCell ref="A551:A553"/>
    <mergeCell ref="A549:A550"/>
    <mergeCell ref="A541:A548"/>
    <mergeCell ref="A538:A540"/>
    <mergeCell ref="A536:A537"/>
    <mergeCell ref="A531:A533"/>
    <mergeCell ref="A514:A516"/>
    <mergeCell ref="A508:A509"/>
    <mergeCell ref="A505:A507"/>
    <mergeCell ref="A500:A503"/>
    <mergeCell ref="A495:A498"/>
    <mergeCell ref="A492:A493"/>
    <mergeCell ref="A490:A491"/>
    <mergeCell ref="A487:A489"/>
    <mergeCell ref="A525:A526"/>
    <mergeCell ref="A519:A520"/>
    <mergeCell ref="A567:A569"/>
    <mergeCell ref="B567:B569"/>
    <mergeCell ref="C567:C569"/>
    <mergeCell ref="D567:D569"/>
    <mergeCell ref="E567:E569"/>
    <mergeCell ref="A572:A573"/>
    <mergeCell ref="B572:B573"/>
    <mergeCell ref="C572:C573"/>
    <mergeCell ref="D572:D573"/>
    <mergeCell ref="E572:E573"/>
    <mergeCell ref="A574:A575"/>
    <mergeCell ref="B574:B575"/>
    <mergeCell ref="C574:C575"/>
    <mergeCell ref="D574:D575"/>
    <mergeCell ref="E574:E575"/>
    <mergeCell ref="K567:K569"/>
    <mergeCell ref="L567:L569"/>
    <mergeCell ref="K572:K573"/>
    <mergeCell ref="L572:L573"/>
    <mergeCell ref="K574:K575"/>
    <mergeCell ref="L574:L575"/>
    <mergeCell ref="K505:K507"/>
    <mergeCell ref="L505:L507"/>
    <mergeCell ref="K514:K516"/>
    <mergeCell ref="L514:L516"/>
    <mergeCell ref="K490:K491"/>
    <mergeCell ref="L490:L491"/>
    <mergeCell ref="K492:K493"/>
    <mergeCell ref="L492:L493"/>
    <mergeCell ref="K508:K509"/>
    <mergeCell ref="L508:L509"/>
    <mergeCell ref="K495:K498"/>
    <mergeCell ref="L495:L498"/>
    <mergeCell ref="K500:K503"/>
    <mergeCell ref="L500:L503"/>
    <mergeCell ref="B500:B503"/>
    <mergeCell ref="C500:C503"/>
    <mergeCell ref="D500:D503"/>
    <mergeCell ref="E500:E503"/>
    <mergeCell ref="B505:B507"/>
    <mergeCell ref="C505:C507"/>
    <mergeCell ref="D505:D507"/>
    <mergeCell ref="E505:E507"/>
    <mergeCell ref="B508:B509"/>
    <mergeCell ref="C508:C509"/>
    <mergeCell ref="D508:D509"/>
    <mergeCell ref="E508:E509"/>
    <mergeCell ref="B514:B516"/>
    <mergeCell ref="C514:C516"/>
    <mergeCell ref="D514:D516"/>
    <mergeCell ref="E514:E516"/>
    <mergeCell ref="B487:B489"/>
    <mergeCell ref="C487:C489"/>
    <mergeCell ref="D487:D489"/>
    <mergeCell ref="E487:E489"/>
    <mergeCell ref="B490:B491"/>
    <mergeCell ref="C490:C491"/>
    <mergeCell ref="D490:D491"/>
    <mergeCell ref="E490:E491"/>
    <mergeCell ref="B492:B493"/>
    <mergeCell ref="C492:C493"/>
    <mergeCell ref="D492:D493"/>
    <mergeCell ref="E492:E493"/>
    <mergeCell ref="B495:B498"/>
    <mergeCell ref="C495:C498"/>
    <mergeCell ref="D495:D498"/>
    <mergeCell ref="E495:E498"/>
    <mergeCell ref="A459:A460"/>
    <mergeCell ref="B459:B460"/>
    <mergeCell ref="C459:C460"/>
    <mergeCell ref="D459:D460"/>
    <mergeCell ref="E459:E460"/>
    <mergeCell ref="A484:A485"/>
    <mergeCell ref="A480:A481"/>
    <mergeCell ref="A478:A479"/>
    <mergeCell ref="A475:A476"/>
    <mergeCell ref="A473:A474"/>
    <mergeCell ref="A470:A472"/>
    <mergeCell ref="A463:A464"/>
    <mergeCell ref="B463:B464"/>
    <mergeCell ref="C463:C464"/>
    <mergeCell ref="D463:D464"/>
    <mergeCell ref="E463:E464"/>
    <mergeCell ref="A456:A457"/>
    <mergeCell ref="B456:B457"/>
    <mergeCell ref="C456:C457"/>
    <mergeCell ref="D456:D457"/>
    <mergeCell ref="E456:E457"/>
    <mergeCell ref="A420:A422"/>
    <mergeCell ref="B420:B422"/>
    <mergeCell ref="C420:C422"/>
    <mergeCell ref="D420:D422"/>
    <mergeCell ref="E420:E422"/>
    <mergeCell ref="A423:A424"/>
    <mergeCell ref="B423:B424"/>
    <mergeCell ref="C423:C424"/>
    <mergeCell ref="D423:D424"/>
    <mergeCell ref="E423:E424"/>
    <mergeCell ref="C448:C450"/>
    <mergeCell ref="D448:D450"/>
    <mergeCell ref="E448:E450"/>
    <mergeCell ref="B438:B440"/>
    <mergeCell ref="C438:C440"/>
    <mergeCell ref="A441:A442"/>
    <mergeCell ref="A438:A440"/>
    <mergeCell ref="A434:A435"/>
    <mergeCell ref="A432:A433"/>
    <mergeCell ref="B432:B433"/>
    <mergeCell ref="B434:B435"/>
    <mergeCell ref="D441:D442"/>
    <mergeCell ref="K394:K398"/>
    <mergeCell ref="K399:K400"/>
    <mergeCell ref="K401:K402"/>
    <mergeCell ref="K404:K405"/>
    <mergeCell ref="E399:E400"/>
    <mergeCell ref="K408:K410"/>
    <mergeCell ref="K416:K417"/>
    <mergeCell ref="K420:K422"/>
    <mergeCell ref="K454:K455"/>
    <mergeCell ref="K456:K457"/>
    <mergeCell ref="K459:K460"/>
    <mergeCell ref="L454:L455"/>
    <mergeCell ref="L456:L457"/>
    <mergeCell ref="L459:L460"/>
    <mergeCell ref="K423:K424"/>
    <mergeCell ref="L416:L417"/>
    <mergeCell ref="L420:L422"/>
    <mergeCell ref="L423:L424"/>
    <mergeCell ref="L401:L402"/>
    <mergeCell ref="L404:L405"/>
    <mergeCell ref="L394:L398"/>
    <mergeCell ref="L399:L400"/>
    <mergeCell ref="E441:E442"/>
    <mergeCell ref="E432:E433"/>
    <mergeCell ref="E434:E435"/>
    <mergeCell ref="L444:L446"/>
    <mergeCell ref="E454:E455"/>
    <mergeCell ref="B404:B405"/>
    <mergeCell ref="C404:C405"/>
    <mergeCell ref="D404:D405"/>
    <mergeCell ref="E404:E405"/>
    <mergeCell ref="A394:A398"/>
    <mergeCell ref="B394:B398"/>
    <mergeCell ref="C394:C398"/>
    <mergeCell ref="D394:D398"/>
    <mergeCell ref="E394:E398"/>
    <mergeCell ref="A399:A400"/>
    <mergeCell ref="B399:B400"/>
    <mergeCell ref="C399:C400"/>
    <mergeCell ref="D399:D400"/>
    <mergeCell ref="C416:C417"/>
    <mergeCell ref="D416:D417"/>
    <mergeCell ref="E416:E417"/>
    <mergeCell ref="A416:A417"/>
    <mergeCell ref="B416:B417"/>
    <mergeCell ref="B401:B402"/>
    <mergeCell ref="C401:C402"/>
    <mergeCell ref="D401:D402"/>
    <mergeCell ref="E401:E402"/>
    <mergeCell ref="K358:K359"/>
    <mergeCell ref="K360:K361"/>
    <mergeCell ref="K362:K363"/>
    <mergeCell ref="B388:B389"/>
    <mergeCell ref="C388:C389"/>
    <mergeCell ref="D388:D389"/>
    <mergeCell ref="E388:E389"/>
    <mergeCell ref="D390:D391"/>
    <mergeCell ref="E390:E391"/>
    <mergeCell ref="A392:A393"/>
    <mergeCell ref="B392:B393"/>
    <mergeCell ref="C392:C393"/>
    <mergeCell ref="D392:D393"/>
    <mergeCell ref="E392:E393"/>
    <mergeCell ref="A390:A391"/>
    <mergeCell ref="B390:B391"/>
    <mergeCell ref="C390:C391"/>
    <mergeCell ref="K388:K389"/>
    <mergeCell ref="K390:K391"/>
    <mergeCell ref="K392:K393"/>
    <mergeCell ref="A383:A384"/>
    <mergeCell ref="A381:A382"/>
    <mergeCell ref="A377:A379"/>
    <mergeCell ref="A373:A375"/>
    <mergeCell ref="A362:A363"/>
    <mergeCell ref="B362:B363"/>
    <mergeCell ref="C362:C363"/>
    <mergeCell ref="D362:D363"/>
    <mergeCell ref="E362:E363"/>
    <mergeCell ref="A365:A366"/>
    <mergeCell ref="B365:B366"/>
    <mergeCell ref="C365:C366"/>
    <mergeCell ref="D365:D366"/>
    <mergeCell ref="E365:E366"/>
    <mergeCell ref="A367:A368"/>
    <mergeCell ref="B367:B368"/>
    <mergeCell ref="C367:C368"/>
    <mergeCell ref="D367:D368"/>
    <mergeCell ref="E367:E368"/>
    <mergeCell ref="K353:K355"/>
    <mergeCell ref="L339:L340"/>
    <mergeCell ref="L342:L343"/>
    <mergeCell ref="L346:L347"/>
    <mergeCell ref="L348:L349"/>
    <mergeCell ref="L358:L359"/>
    <mergeCell ref="L360:L361"/>
    <mergeCell ref="L367:L368"/>
    <mergeCell ref="L344:L345"/>
    <mergeCell ref="L362:L363"/>
    <mergeCell ref="L365:L366"/>
    <mergeCell ref="L350:L351"/>
    <mergeCell ref="L353:L355"/>
    <mergeCell ref="K339:K340"/>
    <mergeCell ref="K342:K343"/>
    <mergeCell ref="K344:K345"/>
    <mergeCell ref="K346:K347"/>
    <mergeCell ref="A350:A351"/>
    <mergeCell ref="B350:B351"/>
    <mergeCell ref="C350:C351"/>
    <mergeCell ref="D350:D351"/>
    <mergeCell ref="E350:E351"/>
    <mergeCell ref="A353:A355"/>
    <mergeCell ref="B353:B355"/>
    <mergeCell ref="C353:C355"/>
    <mergeCell ref="D353:D355"/>
    <mergeCell ref="E353:E355"/>
    <mergeCell ref="A358:A359"/>
    <mergeCell ref="B358:B359"/>
    <mergeCell ref="C358:C359"/>
    <mergeCell ref="D358:D359"/>
    <mergeCell ref="E358:E359"/>
    <mergeCell ref="B360:B361"/>
    <mergeCell ref="C360:C361"/>
    <mergeCell ref="D360:D361"/>
    <mergeCell ref="E360:E361"/>
    <mergeCell ref="B342:B343"/>
    <mergeCell ref="C342:C343"/>
    <mergeCell ref="D342:D343"/>
    <mergeCell ref="E342:E343"/>
    <mergeCell ref="A344:A345"/>
    <mergeCell ref="B344:B345"/>
    <mergeCell ref="C344:C345"/>
    <mergeCell ref="D344:D345"/>
    <mergeCell ref="E344:E345"/>
    <mergeCell ref="A346:A347"/>
    <mergeCell ref="B346:B347"/>
    <mergeCell ref="C346:C347"/>
    <mergeCell ref="D346:D347"/>
    <mergeCell ref="E346:E347"/>
    <mergeCell ref="B348:B349"/>
    <mergeCell ref="C348:C349"/>
    <mergeCell ref="D348:D349"/>
    <mergeCell ref="E348:E349"/>
    <mergeCell ref="D284:D286"/>
    <mergeCell ref="E284:E286"/>
    <mergeCell ref="B303:B305"/>
    <mergeCell ref="C303:C305"/>
    <mergeCell ref="D303:D305"/>
    <mergeCell ref="E303:E305"/>
    <mergeCell ref="B307:B308"/>
    <mergeCell ref="C307:C308"/>
    <mergeCell ref="D307:D308"/>
    <mergeCell ref="B335:B336"/>
    <mergeCell ref="C335:C336"/>
    <mergeCell ref="D335:D336"/>
    <mergeCell ref="E335:E336"/>
    <mergeCell ref="K326:K327"/>
    <mergeCell ref="K331:K332"/>
    <mergeCell ref="K333:K334"/>
    <mergeCell ref="K335:K336"/>
    <mergeCell ref="K328:K330"/>
    <mergeCell ref="B331:B332"/>
    <mergeCell ref="C331:C332"/>
    <mergeCell ref="D331:D332"/>
    <mergeCell ref="E331:E332"/>
    <mergeCell ref="B333:B334"/>
    <mergeCell ref="C333:C334"/>
    <mergeCell ref="D333:D334"/>
    <mergeCell ref="B326:B327"/>
    <mergeCell ref="E326:E327"/>
    <mergeCell ref="K323:K324"/>
    <mergeCell ref="K244:K246"/>
    <mergeCell ref="L244:L246"/>
    <mergeCell ref="B244:B246"/>
    <mergeCell ref="C244:C246"/>
    <mergeCell ref="D244:D246"/>
    <mergeCell ref="E244:E246"/>
    <mergeCell ref="B248:B249"/>
    <mergeCell ref="C248:C249"/>
    <mergeCell ref="D248:D249"/>
    <mergeCell ref="E248:E249"/>
    <mergeCell ref="E276:E277"/>
    <mergeCell ref="K248:K249"/>
    <mergeCell ref="K250:K251"/>
    <mergeCell ref="K254:K255"/>
    <mergeCell ref="K259:K260"/>
    <mergeCell ref="K262:K263"/>
    <mergeCell ref="B250:B251"/>
    <mergeCell ref="C250:C251"/>
    <mergeCell ref="D250:D251"/>
    <mergeCell ref="E250:E251"/>
    <mergeCell ref="B270:B271"/>
    <mergeCell ref="C270:C271"/>
    <mergeCell ref="D270:D271"/>
    <mergeCell ref="E270:E271"/>
    <mergeCell ref="L262:L263"/>
    <mergeCell ref="K264:K265"/>
    <mergeCell ref="L264:L265"/>
    <mergeCell ref="L259:L260"/>
    <mergeCell ref="L254:L255"/>
    <mergeCell ref="L250:L251"/>
    <mergeCell ref="L248:L249"/>
    <mergeCell ref="B262:B263"/>
    <mergeCell ref="E221:E223"/>
    <mergeCell ref="B224:B226"/>
    <mergeCell ref="C224:C226"/>
    <mergeCell ref="D224:D226"/>
    <mergeCell ref="E224:E226"/>
    <mergeCell ref="B214:B215"/>
    <mergeCell ref="C214:C215"/>
    <mergeCell ref="D214:D215"/>
    <mergeCell ref="E214:E215"/>
    <mergeCell ref="K184:K185"/>
    <mergeCell ref="K186:K187"/>
    <mergeCell ref="L184:L185"/>
    <mergeCell ref="L186:L187"/>
    <mergeCell ref="C197:C199"/>
    <mergeCell ref="D197:D199"/>
    <mergeCell ref="E197:E199"/>
    <mergeCell ref="K194:K195"/>
    <mergeCell ref="L194:L195"/>
    <mergeCell ref="B184:B185"/>
    <mergeCell ref="K188:K189"/>
    <mergeCell ref="L188:L189"/>
    <mergeCell ref="K190:K192"/>
    <mergeCell ref="K214:K215"/>
    <mergeCell ref="L214:L215"/>
    <mergeCell ref="K218:K220"/>
    <mergeCell ref="L218:L220"/>
    <mergeCell ref="L190:L192"/>
    <mergeCell ref="C209:C210"/>
    <mergeCell ref="D209:D210"/>
    <mergeCell ref="E209:E210"/>
    <mergeCell ref="L209:L210"/>
    <mergeCell ref="L197:L199"/>
    <mergeCell ref="B194:B195"/>
    <mergeCell ref="A188:A189"/>
    <mergeCell ref="B188:B189"/>
    <mergeCell ref="C188:C189"/>
    <mergeCell ref="D188:D189"/>
    <mergeCell ref="E188:E189"/>
    <mergeCell ref="A190:A192"/>
    <mergeCell ref="B190:B192"/>
    <mergeCell ref="C190:C192"/>
    <mergeCell ref="D190:D192"/>
    <mergeCell ref="E190:E192"/>
    <mergeCell ref="E205:E206"/>
    <mergeCell ref="B197:B199"/>
    <mergeCell ref="C205:C206"/>
    <mergeCell ref="D205:D206"/>
    <mergeCell ref="K209:K210"/>
    <mergeCell ref="K197:K199"/>
    <mergeCell ref="A205:A206"/>
    <mergeCell ref="A203:A204"/>
    <mergeCell ref="A197:A199"/>
    <mergeCell ref="B160:B161"/>
    <mergeCell ref="C160:C161"/>
    <mergeCell ref="D160:D161"/>
    <mergeCell ref="E160:E161"/>
    <mergeCell ref="A166:A167"/>
    <mergeCell ref="B166:B167"/>
    <mergeCell ref="C166:C167"/>
    <mergeCell ref="D166:D167"/>
    <mergeCell ref="E166:E167"/>
    <mergeCell ref="A169:A170"/>
    <mergeCell ref="B169:B170"/>
    <mergeCell ref="E172:E173"/>
    <mergeCell ref="A186:A187"/>
    <mergeCell ref="B186:B187"/>
    <mergeCell ref="C186:C187"/>
    <mergeCell ref="D186:D187"/>
    <mergeCell ref="E186:E187"/>
    <mergeCell ref="A184:A185"/>
    <mergeCell ref="C184:C185"/>
    <mergeCell ref="D184:D185"/>
    <mergeCell ref="E184:E185"/>
    <mergeCell ref="A179:A180"/>
    <mergeCell ref="A176:A177"/>
    <mergeCell ref="A172:A173"/>
    <mergeCell ref="B157:B158"/>
    <mergeCell ref="C157:C158"/>
    <mergeCell ref="D157:D158"/>
    <mergeCell ref="E157:E158"/>
    <mergeCell ref="B114:B116"/>
    <mergeCell ref="C114:C116"/>
    <mergeCell ref="D114:D116"/>
    <mergeCell ref="E114:E116"/>
    <mergeCell ref="K114:K116"/>
    <mergeCell ref="K111:K112"/>
    <mergeCell ref="L111:L112"/>
    <mergeCell ref="L114:L116"/>
    <mergeCell ref="K118:K119"/>
    <mergeCell ref="L118:L119"/>
    <mergeCell ref="L124:L125"/>
    <mergeCell ref="K126:K128"/>
    <mergeCell ref="L126:L128"/>
    <mergeCell ref="K124:K125"/>
    <mergeCell ref="B111:B112"/>
    <mergeCell ref="C111:C112"/>
    <mergeCell ref="D111:D112"/>
    <mergeCell ref="E111:E112"/>
    <mergeCell ref="K143:K144"/>
    <mergeCell ref="L143:L144"/>
    <mergeCell ref="K145:K146"/>
    <mergeCell ref="L145:L146"/>
    <mergeCell ref="B143:B144"/>
    <mergeCell ref="C143:C144"/>
    <mergeCell ref="D143:D144"/>
    <mergeCell ref="K122:K123"/>
    <mergeCell ref="L122:L123"/>
    <mergeCell ref="B124:B125"/>
    <mergeCell ref="K8:K9"/>
    <mergeCell ref="L8:L9"/>
    <mergeCell ref="K22:K23"/>
    <mergeCell ref="L22:L23"/>
    <mergeCell ref="K51:K53"/>
    <mergeCell ref="L51:L53"/>
    <mergeCell ref="K58:K60"/>
    <mergeCell ref="L58:L60"/>
    <mergeCell ref="K100:K101"/>
    <mergeCell ref="K106:K107"/>
    <mergeCell ref="L106:L107"/>
    <mergeCell ref="B106:B107"/>
    <mergeCell ref="C106:C107"/>
    <mergeCell ref="D106:D107"/>
    <mergeCell ref="E106:E107"/>
    <mergeCell ref="B100:B101"/>
    <mergeCell ref="C100:C101"/>
    <mergeCell ref="D100:D101"/>
    <mergeCell ref="E100:E101"/>
    <mergeCell ref="D47:D49"/>
    <mergeCell ref="E47:E49"/>
    <mergeCell ref="B28:B29"/>
    <mergeCell ref="C28:C29"/>
    <mergeCell ref="D28:D29"/>
    <mergeCell ref="E28:E29"/>
    <mergeCell ref="B42:B44"/>
    <mergeCell ref="C42:C44"/>
    <mergeCell ref="D42:D44"/>
    <mergeCell ref="E42:E44"/>
    <mergeCell ref="E18:E19"/>
    <mergeCell ref="B22:B23"/>
    <mergeCell ref="C22:C23"/>
    <mergeCell ref="K3:K4"/>
    <mergeCell ref="L3:L4"/>
    <mergeCell ref="K18:K19"/>
    <mergeCell ref="L18:L19"/>
    <mergeCell ref="K47:K49"/>
    <mergeCell ref="L47:L49"/>
    <mergeCell ref="K42:K44"/>
    <mergeCell ref="L42:L44"/>
    <mergeCell ref="K28:K29"/>
    <mergeCell ref="L28:L29"/>
    <mergeCell ref="E88:E89"/>
    <mergeCell ref="A3:C3"/>
    <mergeCell ref="D3:E3"/>
    <mergeCell ref="G3:G4"/>
    <mergeCell ref="A8:A9"/>
    <mergeCell ref="B8:B9"/>
    <mergeCell ref="C8:C9"/>
    <mergeCell ref="D8:D9"/>
    <mergeCell ref="E8:E9"/>
    <mergeCell ref="A58:A60"/>
    <mergeCell ref="B58:B60"/>
    <mergeCell ref="C58:C60"/>
    <mergeCell ref="D58:D60"/>
    <mergeCell ref="E58:E60"/>
    <mergeCell ref="A51:A53"/>
    <mergeCell ref="B51:B53"/>
    <mergeCell ref="C51:C53"/>
    <mergeCell ref="D51:D53"/>
    <mergeCell ref="E51:E53"/>
    <mergeCell ref="B18:B19"/>
    <mergeCell ref="C18:C19"/>
    <mergeCell ref="D18:D19"/>
    <mergeCell ref="D22:D23"/>
    <mergeCell ref="E22:E23"/>
    <mergeCell ref="B47:B49"/>
    <mergeCell ref="C47:C49"/>
    <mergeCell ref="K95:K96"/>
    <mergeCell ref="L95:L96"/>
    <mergeCell ref="K85:K86"/>
    <mergeCell ref="L85:L86"/>
    <mergeCell ref="K88:K89"/>
    <mergeCell ref="L88:L89"/>
    <mergeCell ref="K92:K93"/>
    <mergeCell ref="L92:L93"/>
    <mergeCell ref="B92:B93"/>
    <mergeCell ref="C92:C93"/>
    <mergeCell ref="D92:D93"/>
    <mergeCell ref="E92:E93"/>
    <mergeCell ref="B95:B96"/>
    <mergeCell ref="C95:C96"/>
    <mergeCell ref="D95:D96"/>
    <mergeCell ref="E95:E96"/>
    <mergeCell ref="B85:B86"/>
    <mergeCell ref="C85:C86"/>
    <mergeCell ref="D85:D86"/>
    <mergeCell ref="E85:E86"/>
    <mergeCell ref="B88:B89"/>
    <mergeCell ref="C88:C89"/>
    <mergeCell ref="D88:D89"/>
    <mergeCell ref="L61:L62"/>
    <mergeCell ref="L63:L64"/>
    <mergeCell ref="L65:L66"/>
    <mergeCell ref="C124:C125"/>
    <mergeCell ref="A126:A128"/>
    <mergeCell ref="B126:B128"/>
    <mergeCell ref="C126:C128"/>
    <mergeCell ref="A118:A119"/>
    <mergeCell ref="B118:B119"/>
    <mergeCell ref="C118:C119"/>
    <mergeCell ref="D118:D119"/>
    <mergeCell ref="E118:E119"/>
    <mergeCell ref="A122:A123"/>
    <mergeCell ref="B122:B123"/>
    <mergeCell ref="C122:C123"/>
    <mergeCell ref="D126:D128"/>
    <mergeCell ref="E126:E128"/>
    <mergeCell ref="K166:K167"/>
    <mergeCell ref="L166:L167"/>
    <mergeCell ref="L157:L158"/>
    <mergeCell ref="L160:L161"/>
    <mergeCell ref="K157:K158"/>
    <mergeCell ref="K160:K161"/>
    <mergeCell ref="D124:D125"/>
    <mergeCell ref="E124:E125"/>
    <mergeCell ref="D122:D123"/>
    <mergeCell ref="E122:E123"/>
    <mergeCell ref="B136:B137"/>
    <mergeCell ref="C136:C137"/>
    <mergeCell ref="D136:D137"/>
    <mergeCell ref="E136:E137"/>
    <mergeCell ref="K129:K131"/>
    <mergeCell ref="K132:K133"/>
    <mergeCell ref="K136:K137"/>
    <mergeCell ref="L129:L131"/>
    <mergeCell ref="L132:L133"/>
    <mergeCell ref="L136:L137"/>
    <mergeCell ref="B129:B131"/>
    <mergeCell ref="C129:C131"/>
    <mergeCell ref="D129:D131"/>
    <mergeCell ref="E129:E131"/>
    <mergeCell ref="B132:B133"/>
    <mergeCell ref="C132:C133"/>
    <mergeCell ref="D132:D133"/>
    <mergeCell ref="E132:E133"/>
    <mergeCell ref="E143:E144"/>
    <mergeCell ref="B145:B146"/>
    <mergeCell ref="C145:C146"/>
    <mergeCell ref="D145:D146"/>
    <mergeCell ref="E145:E146"/>
    <mergeCell ref="B154:B155"/>
    <mergeCell ref="C154:C155"/>
    <mergeCell ref="D154:D155"/>
    <mergeCell ref="E154:E155"/>
    <mergeCell ref="K154:K155"/>
    <mergeCell ref="L154:L155"/>
    <mergeCell ref="B149:B150"/>
    <mergeCell ref="C149:C150"/>
    <mergeCell ref="D149:D150"/>
    <mergeCell ref="E149:E150"/>
    <mergeCell ref="F149:F150"/>
    <mergeCell ref="G149:G150"/>
    <mergeCell ref="K149:K150"/>
    <mergeCell ref="L149:L150"/>
    <mergeCell ref="K169:K170"/>
    <mergeCell ref="L169:L170"/>
    <mergeCell ref="K176:K177"/>
    <mergeCell ref="L176:L177"/>
    <mergeCell ref="K179:K180"/>
    <mergeCell ref="L179:L180"/>
    <mergeCell ref="B176:B177"/>
    <mergeCell ref="C176:C177"/>
    <mergeCell ref="D176:D177"/>
    <mergeCell ref="E176:E177"/>
    <mergeCell ref="B179:B180"/>
    <mergeCell ref="C179:C180"/>
    <mergeCell ref="D179:D180"/>
    <mergeCell ref="E179:E180"/>
    <mergeCell ref="C169:C170"/>
    <mergeCell ref="D169:D170"/>
    <mergeCell ref="E169:E170"/>
    <mergeCell ref="B172:B173"/>
    <mergeCell ref="C172:C173"/>
    <mergeCell ref="D172:D173"/>
    <mergeCell ref="K172:K173"/>
    <mergeCell ref="L172:L173"/>
    <mergeCell ref="D232:D233"/>
    <mergeCell ref="E232:E233"/>
    <mergeCell ref="B211:B213"/>
    <mergeCell ref="C211:C213"/>
    <mergeCell ref="D211:D213"/>
    <mergeCell ref="E211:E213"/>
    <mergeCell ref="K211:K213"/>
    <mergeCell ref="L211:L213"/>
    <mergeCell ref="C194:C195"/>
    <mergeCell ref="D194:D195"/>
    <mergeCell ref="E194:E195"/>
    <mergeCell ref="K203:K204"/>
    <mergeCell ref="L203:L204"/>
    <mergeCell ref="K205:K206"/>
    <mergeCell ref="L205:L206"/>
    <mergeCell ref="B203:B204"/>
    <mergeCell ref="C203:C204"/>
    <mergeCell ref="D203:D204"/>
    <mergeCell ref="E203:E204"/>
    <mergeCell ref="B205:B206"/>
    <mergeCell ref="B209:B210"/>
    <mergeCell ref="B218:B220"/>
    <mergeCell ref="C218:C220"/>
    <mergeCell ref="D218:D220"/>
    <mergeCell ref="E218:E220"/>
    <mergeCell ref="K221:K223"/>
    <mergeCell ref="L221:L223"/>
    <mergeCell ref="K224:K226"/>
    <mergeCell ref="L224:L226"/>
    <mergeCell ref="B221:B223"/>
    <mergeCell ref="C221:C223"/>
    <mergeCell ref="D221:D223"/>
    <mergeCell ref="B240:B241"/>
    <mergeCell ref="C240:C241"/>
    <mergeCell ref="D240:D241"/>
    <mergeCell ref="E240:E241"/>
    <mergeCell ref="K230:K231"/>
    <mergeCell ref="L230:L231"/>
    <mergeCell ref="K232:K233"/>
    <mergeCell ref="L232:L233"/>
    <mergeCell ref="K234:K235"/>
    <mergeCell ref="L234:L235"/>
    <mergeCell ref="K237:K238"/>
    <mergeCell ref="L237:L238"/>
    <mergeCell ref="K240:K241"/>
    <mergeCell ref="L240:L241"/>
    <mergeCell ref="A234:A235"/>
    <mergeCell ref="B234:B235"/>
    <mergeCell ref="C234:C235"/>
    <mergeCell ref="D234:D235"/>
    <mergeCell ref="E234:E235"/>
    <mergeCell ref="A237:A238"/>
    <mergeCell ref="B237:B238"/>
    <mergeCell ref="C237:C238"/>
    <mergeCell ref="D237:D238"/>
    <mergeCell ref="E237:E238"/>
    <mergeCell ref="A230:A231"/>
    <mergeCell ref="B230:B231"/>
    <mergeCell ref="C230:C231"/>
    <mergeCell ref="D230:D231"/>
    <mergeCell ref="E230:E231"/>
    <mergeCell ref="A232:A233"/>
    <mergeCell ref="B232:B233"/>
    <mergeCell ref="C232:C233"/>
    <mergeCell ref="C262:C263"/>
    <mergeCell ref="D262:D263"/>
    <mergeCell ref="E262:E263"/>
    <mergeCell ref="B254:B255"/>
    <mergeCell ref="C254:C255"/>
    <mergeCell ref="D254:D255"/>
    <mergeCell ref="E254:E255"/>
    <mergeCell ref="B259:B260"/>
    <mergeCell ref="C259:C260"/>
    <mergeCell ref="D259:D260"/>
    <mergeCell ref="E259:E260"/>
    <mergeCell ref="K284:K286"/>
    <mergeCell ref="L284:L286"/>
    <mergeCell ref="B264:B265"/>
    <mergeCell ref="C264:C265"/>
    <mergeCell ref="D264:D265"/>
    <mergeCell ref="E264:E265"/>
    <mergeCell ref="B273:B274"/>
    <mergeCell ref="C273:C274"/>
    <mergeCell ref="D273:D274"/>
    <mergeCell ref="E273:E274"/>
    <mergeCell ref="K270:K271"/>
    <mergeCell ref="L270:L271"/>
    <mergeCell ref="K273:K274"/>
    <mergeCell ref="L273:L274"/>
    <mergeCell ref="K276:K277"/>
    <mergeCell ref="L276:L277"/>
    <mergeCell ref="K278:K279"/>
    <mergeCell ref="L278:L279"/>
    <mergeCell ref="B276:B277"/>
    <mergeCell ref="C276:C277"/>
    <mergeCell ref="D276:D277"/>
    <mergeCell ref="B278:B279"/>
    <mergeCell ref="C278:C279"/>
    <mergeCell ref="D278:D279"/>
    <mergeCell ref="E278:E279"/>
    <mergeCell ref="B284:B286"/>
    <mergeCell ref="C284:C286"/>
    <mergeCell ref="L335:L336"/>
    <mergeCell ref="K365:K366"/>
    <mergeCell ref="K367:K368"/>
    <mergeCell ref="B320:B321"/>
    <mergeCell ref="C320:C321"/>
    <mergeCell ref="D320:D321"/>
    <mergeCell ref="E320:E321"/>
    <mergeCell ref="B323:B324"/>
    <mergeCell ref="C323:C324"/>
    <mergeCell ref="D323:D324"/>
    <mergeCell ref="E323:E324"/>
    <mergeCell ref="E307:E308"/>
    <mergeCell ref="B309:B311"/>
    <mergeCell ref="C309:C311"/>
    <mergeCell ref="D309:D311"/>
    <mergeCell ref="E309:E311"/>
    <mergeCell ref="B313:B314"/>
    <mergeCell ref="C313:C314"/>
    <mergeCell ref="D313:D314"/>
    <mergeCell ref="E313:E314"/>
    <mergeCell ref="B328:B330"/>
    <mergeCell ref="C328:C330"/>
    <mergeCell ref="D328:D330"/>
    <mergeCell ref="E328:E330"/>
    <mergeCell ref="C326:C327"/>
    <mergeCell ref="D326:D327"/>
    <mergeCell ref="B373:B375"/>
    <mergeCell ref="C373:C375"/>
    <mergeCell ref="D373:D375"/>
    <mergeCell ref="E373:E375"/>
    <mergeCell ref="B377:B379"/>
    <mergeCell ref="C377:C379"/>
    <mergeCell ref="D377:D379"/>
    <mergeCell ref="E377:E379"/>
    <mergeCell ref="L323:L324"/>
    <mergeCell ref="K303:K305"/>
    <mergeCell ref="L303:L305"/>
    <mergeCell ref="K307:K308"/>
    <mergeCell ref="L307:L308"/>
    <mergeCell ref="K309:K311"/>
    <mergeCell ref="L309:L311"/>
    <mergeCell ref="K313:K314"/>
    <mergeCell ref="L313:L314"/>
    <mergeCell ref="K320:K321"/>
    <mergeCell ref="L320:L321"/>
    <mergeCell ref="E333:E334"/>
    <mergeCell ref="L326:L327"/>
    <mergeCell ref="L331:L332"/>
    <mergeCell ref="L333:L334"/>
    <mergeCell ref="L328:L330"/>
    <mergeCell ref="K373:K375"/>
    <mergeCell ref="L373:L375"/>
    <mergeCell ref="B339:B340"/>
    <mergeCell ref="C339:C340"/>
    <mergeCell ref="D339:D340"/>
    <mergeCell ref="E339:E340"/>
    <mergeCell ref="K348:K349"/>
    <mergeCell ref="K350:K351"/>
    <mergeCell ref="K377:K379"/>
    <mergeCell ref="L377:L379"/>
    <mergeCell ref="K381:K382"/>
    <mergeCell ref="L381:L382"/>
    <mergeCell ref="K383:K384"/>
    <mergeCell ref="L383:L384"/>
    <mergeCell ref="B381:B382"/>
    <mergeCell ref="C381:C382"/>
    <mergeCell ref="D381:D382"/>
    <mergeCell ref="E381:E382"/>
    <mergeCell ref="B383:B384"/>
    <mergeCell ref="C383:C384"/>
    <mergeCell ref="D383:D384"/>
    <mergeCell ref="E383:E384"/>
    <mergeCell ref="L388:L389"/>
    <mergeCell ref="L390:L391"/>
    <mergeCell ref="L392:L393"/>
    <mergeCell ref="A467:A469"/>
    <mergeCell ref="B467:B469"/>
    <mergeCell ref="C467:C469"/>
    <mergeCell ref="D467:D469"/>
    <mergeCell ref="E467:E469"/>
    <mergeCell ref="K467:K469"/>
    <mergeCell ref="K448:K450"/>
    <mergeCell ref="L448:L450"/>
    <mergeCell ref="K432:K433"/>
    <mergeCell ref="L432:L433"/>
    <mergeCell ref="K434:K435"/>
    <mergeCell ref="L434:L435"/>
    <mergeCell ref="K438:K440"/>
    <mergeCell ref="L438:L440"/>
    <mergeCell ref="K441:K442"/>
    <mergeCell ref="L441:L442"/>
    <mergeCell ref="K444:K446"/>
    <mergeCell ref="A444:A446"/>
    <mergeCell ref="B444:B446"/>
    <mergeCell ref="C444:C446"/>
    <mergeCell ref="D444:D446"/>
    <mergeCell ref="E444:E446"/>
    <mergeCell ref="A448:A450"/>
    <mergeCell ref="B448:B450"/>
    <mergeCell ref="L467:L469"/>
    <mergeCell ref="D438:D440"/>
    <mergeCell ref="E438:E440"/>
    <mergeCell ref="B441:B442"/>
    <mergeCell ref="C441:C442"/>
    <mergeCell ref="C432:C433"/>
    <mergeCell ref="D432:D433"/>
    <mergeCell ref="A454:A455"/>
    <mergeCell ref="D470:D472"/>
    <mergeCell ref="E470:E472"/>
    <mergeCell ref="B473:B474"/>
    <mergeCell ref="C473:C474"/>
    <mergeCell ref="D473:D474"/>
    <mergeCell ref="E473:E474"/>
    <mergeCell ref="K463:K464"/>
    <mergeCell ref="L408:L410"/>
    <mergeCell ref="L463:L464"/>
    <mergeCell ref="B408:B410"/>
    <mergeCell ref="C408:C410"/>
    <mergeCell ref="D408:D410"/>
    <mergeCell ref="E408:E410"/>
    <mergeCell ref="C434:C435"/>
    <mergeCell ref="D434:D435"/>
    <mergeCell ref="B454:B455"/>
    <mergeCell ref="C454:C455"/>
    <mergeCell ref="D454:D455"/>
    <mergeCell ref="K487:K489"/>
    <mergeCell ref="L487:L489"/>
    <mergeCell ref="K470:K472"/>
    <mergeCell ref="K473:K474"/>
    <mergeCell ref="K475:K476"/>
    <mergeCell ref="K478:K479"/>
    <mergeCell ref="L473:L474"/>
    <mergeCell ref="L475:L476"/>
    <mergeCell ref="L478:L479"/>
    <mergeCell ref="K480:K481"/>
    <mergeCell ref="L480:L481"/>
    <mergeCell ref="K484:K485"/>
    <mergeCell ref="L484:L485"/>
    <mergeCell ref="B480:B481"/>
    <mergeCell ref="C480:C481"/>
    <mergeCell ref="D480:D481"/>
    <mergeCell ref="E480:E481"/>
    <mergeCell ref="B484:B485"/>
    <mergeCell ref="C484:C485"/>
    <mergeCell ref="D484:D485"/>
    <mergeCell ref="E484:E485"/>
    <mergeCell ref="L470:L472"/>
    <mergeCell ref="B475:B476"/>
    <mergeCell ref="C475:C476"/>
    <mergeCell ref="D475:D476"/>
    <mergeCell ref="E475:E476"/>
    <mergeCell ref="B478:B479"/>
    <mergeCell ref="C478:C479"/>
    <mergeCell ref="D478:D479"/>
    <mergeCell ref="E478:E479"/>
    <mergeCell ref="B470:B472"/>
    <mergeCell ref="C470:C472"/>
    <mergeCell ref="B525:B526"/>
    <mergeCell ref="C525:C526"/>
    <mergeCell ref="D525:D526"/>
    <mergeCell ref="E525:E526"/>
    <mergeCell ref="A527:A530"/>
    <mergeCell ref="B527:B530"/>
    <mergeCell ref="C527:C530"/>
    <mergeCell ref="D527:D530"/>
    <mergeCell ref="E527:E530"/>
    <mergeCell ref="B519:B520"/>
    <mergeCell ref="C519:C520"/>
    <mergeCell ref="D519:D520"/>
    <mergeCell ref="E519:E520"/>
    <mergeCell ref="A522:A524"/>
    <mergeCell ref="B522:B524"/>
    <mergeCell ref="C522:C524"/>
    <mergeCell ref="D522:D524"/>
    <mergeCell ref="E522:E524"/>
    <mergeCell ref="B531:B533"/>
    <mergeCell ref="C531:C533"/>
    <mergeCell ref="D531:D533"/>
    <mergeCell ref="E531:E533"/>
    <mergeCell ref="B536:B537"/>
    <mergeCell ref="C536:C537"/>
    <mergeCell ref="D536:D537"/>
    <mergeCell ref="E536:E537"/>
    <mergeCell ref="E555:E556"/>
    <mergeCell ref="C558:C559"/>
    <mergeCell ref="D558:D559"/>
    <mergeCell ref="E558:E559"/>
    <mergeCell ref="B560:B562"/>
    <mergeCell ref="C560:C562"/>
    <mergeCell ref="D560:D562"/>
    <mergeCell ref="E560:E562"/>
    <mergeCell ref="D565:D566"/>
    <mergeCell ref="E565:E566"/>
    <mergeCell ref="B551:B553"/>
    <mergeCell ref="C551:C553"/>
    <mergeCell ref="D551:D553"/>
    <mergeCell ref="E551:E553"/>
    <mergeCell ref="B549:B550"/>
    <mergeCell ref="C549:C550"/>
    <mergeCell ref="D549:D550"/>
    <mergeCell ref="E549:E550"/>
    <mergeCell ref="B538:B540"/>
    <mergeCell ref="C538:C540"/>
    <mergeCell ref="D538:D540"/>
    <mergeCell ref="E538:E540"/>
    <mergeCell ref="B541:B548"/>
    <mergeCell ref="C541:C548"/>
    <mergeCell ref="D592:D594"/>
    <mergeCell ref="E592:E594"/>
    <mergeCell ref="K551:K553"/>
    <mergeCell ref="L551:L553"/>
    <mergeCell ref="K519:K520"/>
    <mergeCell ref="L519:L520"/>
    <mergeCell ref="K525:K526"/>
    <mergeCell ref="L525:L526"/>
    <mergeCell ref="K536:K537"/>
    <mergeCell ref="L536:L537"/>
    <mergeCell ref="K549:K550"/>
    <mergeCell ref="L549:L550"/>
    <mergeCell ref="K522:K524"/>
    <mergeCell ref="L522:L524"/>
    <mergeCell ref="K531:K533"/>
    <mergeCell ref="L531:L533"/>
    <mergeCell ref="K538:K540"/>
    <mergeCell ref="L538:L540"/>
    <mergeCell ref="K527:K530"/>
    <mergeCell ref="L527:L530"/>
    <mergeCell ref="L541:L548"/>
    <mergeCell ref="K541:K548"/>
    <mergeCell ref="D541:D548"/>
    <mergeCell ref="E541:E548"/>
    <mergeCell ref="L555:L556"/>
    <mergeCell ref="K558:K559"/>
    <mergeCell ref="L558:L559"/>
    <mergeCell ref="K563:K564"/>
    <mergeCell ref="L563:L564"/>
    <mergeCell ref="K565:K566"/>
    <mergeCell ref="L565:L566"/>
    <mergeCell ref="K560:K562"/>
    <mergeCell ref="L560:L562"/>
    <mergeCell ref="B563:B564"/>
    <mergeCell ref="C563:C564"/>
    <mergeCell ref="D563:D564"/>
    <mergeCell ref="E563:E564"/>
    <mergeCell ref="B565:B566"/>
    <mergeCell ref="C565:C566"/>
    <mergeCell ref="K555:K556"/>
    <mergeCell ref="C555:C556"/>
    <mergeCell ref="D555:D556"/>
    <mergeCell ref="A587:A588"/>
    <mergeCell ref="B587:B588"/>
    <mergeCell ref="C587:C588"/>
    <mergeCell ref="D587:D588"/>
    <mergeCell ref="E587:E588"/>
    <mergeCell ref="A590:A591"/>
    <mergeCell ref="B590:B591"/>
    <mergeCell ref="C590:C591"/>
    <mergeCell ref="D590:D591"/>
    <mergeCell ref="E590:E591"/>
    <mergeCell ref="K587:K588"/>
    <mergeCell ref="L587:L588"/>
    <mergeCell ref="K590:K591"/>
    <mergeCell ref="L590:L591"/>
    <mergeCell ref="A578:A579"/>
    <mergeCell ref="B578:B579"/>
    <mergeCell ref="C578:C579"/>
    <mergeCell ref="D578:D579"/>
    <mergeCell ref="E578:E579"/>
    <mergeCell ref="A581:A583"/>
    <mergeCell ref="B581:B583"/>
    <mergeCell ref="C581:C583"/>
    <mergeCell ref="D581:D583"/>
    <mergeCell ref="E581:E583"/>
    <mergeCell ref="K578:K579"/>
    <mergeCell ref="L578:L579"/>
    <mergeCell ref="K581:K583"/>
    <mergeCell ref="L581:L583"/>
    <mergeCell ref="A595:A599"/>
    <mergeCell ref="B595:B599"/>
    <mergeCell ref="C595:C599"/>
    <mergeCell ref="D595:D599"/>
    <mergeCell ref="E595:E599"/>
    <mergeCell ref="K592:K594"/>
    <mergeCell ref="L592:L594"/>
    <mergeCell ref="K595:K599"/>
    <mergeCell ref="L595:L599"/>
    <mergeCell ref="K619:K621"/>
    <mergeCell ref="L619:L621"/>
    <mergeCell ref="A602:A603"/>
    <mergeCell ref="B602:B603"/>
    <mergeCell ref="C602:C603"/>
    <mergeCell ref="D602:D603"/>
    <mergeCell ref="E602:E603"/>
    <mergeCell ref="K602:K603"/>
    <mergeCell ref="L602:L603"/>
    <mergeCell ref="A613:A614"/>
    <mergeCell ref="B613:B614"/>
    <mergeCell ref="C613:C614"/>
    <mergeCell ref="D613:D614"/>
    <mergeCell ref="E613:E614"/>
    <mergeCell ref="K608:K609"/>
    <mergeCell ref="L608:L609"/>
    <mergeCell ref="K613:K614"/>
    <mergeCell ref="K610:K612"/>
    <mergeCell ref="L610:L612"/>
    <mergeCell ref="L613:L614"/>
    <mergeCell ref="A592:A594"/>
    <mergeCell ref="B592:B594"/>
    <mergeCell ref="C592:C594"/>
    <mergeCell ref="K635:K636"/>
    <mergeCell ref="L635:L636"/>
    <mergeCell ref="K637:K638"/>
    <mergeCell ref="L637:L638"/>
    <mergeCell ref="K639:K640"/>
    <mergeCell ref="L639:L640"/>
    <mergeCell ref="K641:K642"/>
    <mergeCell ref="L641:L642"/>
    <mergeCell ref="K643:K644"/>
    <mergeCell ref="L643:L644"/>
    <mergeCell ref="A632:A633"/>
    <mergeCell ref="B632:B633"/>
    <mergeCell ref="C632:C633"/>
    <mergeCell ref="D632:D633"/>
    <mergeCell ref="E632:E633"/>
    <mergeCell ref="A635:A636"/>
    <mergeCell ref="B635:B636"/>
    <mergeCell ref="C635:C636"/>
    <mergeCell ref="D635:D636"/>
    <mergeCell ref="E635:E636"/>
    <mergeCell ref="B637:B638"/>
    <mergeCell ref="C637:C638"/>
    <mergeCell ref="D637:D638"/>
    <mergeCell ref="E637:E638"/>
    <mergeCell ref="A639:A640"/>
    <mergeCell ref="B639:B640"/>
    <mergeCell ref="C639:C640"/>
    <mergeCell ref="L646:L647"/>
    <mergeCell ref="E639:E640"/>
    <mergeCell ref="A637:A638"/>
    <mergeCell ref="A649:A651"/>
    <mergeCell ref="B649:B651"/>
    <mergeCell ref="C649:C651"/>
    <mergeCell ref="D649:D651"/>
    <mergeCell ref="E649:E651"/>
    <mergeCell ref="A654:A655"/>
    <mergeCell ref="B654:B655"/>
    <mergeCell ref="C654:C655"/>
    <mergeCell ref="D654:D655"/>
    <mergeCell ref="E654:E655"/>
    <mergeCell ref="K649:K651"/>
    <mergeCell ref="L649:L651"/>
    <mergeCell ref="K654:K655"/>
    <mergeCell ref="L654:L655"/>
    <mergeCell ref="A641:A642"/>
    <mergeCell ref="B641:B642"/>
    <mergeCell ref="C641:C642"/>
    <mergeCell ref="D641:D642"/>
    <mergeCell ref="E641:E642"/>
    <mergeCell ref="A643:A644"/>
    <mergeCell ref="B643:B644"/>
    <mergeCell ref="C643:C644"/>
    <mergeCell ref="D643:D644"/>
    <mergeCell ref="E643:E644"/>
    <mergeCell ref="A646:A647"/>
    <mergeCell ref="B646:B647"/>
    <mergeCell ref="C646:C647"/>
    <mergeCell ref="D646:D647"/>
    <mergeCell ref="E646:E647"/>
    <mergeCell ref="K673:K674"/>
    <mergeCell ref="L673:L674"/>
    <mergeCell ref="K675:K676"/>
    <mergeCell ref="L675:L676"/>
    <mergeCell ref="K677:K678"/>
    <mergeCell ref="L677:L678"/>
    <mergeCell ref="K681:K682"/>
    <mergeCell ref="L681:L682"/>
    <mergeCell ref="A673:A674"/>
    <mergeCell ref="B673:B674"/>
    <mergeCell ref="C673:C674"/>
    <mergeCell ref="D673:D674"/>
    <mergeCell ref="E673:E674"/>
    <mergeCell ref="A675:A676"/>
    <mergeCell ref="B675:B676"/>
    <mergeCell ref="C675:C676"/>
    <mergeCell ref="D675:D676"/>
    <mergeCell ref="E675:E676"/>
    <mergeCell ref="A677:A678"/>
    <mergeCell ref="B677:B678"/>
    <mergeCell ref="C677:C678"/>
    <mergeCell ref="D677:D678"/>
    <mergeCell ref="E677:E678"/>
    <mergeCell ref="A681:A682"/>
    <mergeCell ref="B681:B682"/>
    <mergeCell ref="C681:C682"/>
    <mergeCell ref="D681:D682"/>
    <mergeCell ref="E681:E682"/>
    <mergeCell ref="D670:D672"/>
    <mergeCell ref="E670:E672"/>
    <mergeCell ref="E667:E669"/>
    <mergeCell ref="C715:C716"/>
    <mergeCell ref="D715:D716"/>
    <mergeCell ref="E715:E716"/>
    <mergeCell ref="K701:K702"/>
    <mergeCell ref="L701:L702"/>
    <mergeCell ref="K688:K690"/>
    <mergeCell ref="L688:L690"/>
    <mergeCell ref="K695:K697"/>
    <mergeCell ref="L695:L697"/>
    <mergeCell ref="A688:A690"/>
    <mergeCell ref="B688:B690"/>
    <mergeCell ref="C688:C690"/>
    <mergeCell ref="D688:D690"/>
    <mergeCell ref="E688:E690"/>
    <mergeCell ref="A695:A697"/>
    <mergeCell ref="B695:B697"/>
    <mergeCell ref="C695:C697"/>
    <mergeCell ref="D695:D697"/>
    <mergeCell ref="E695:E697"/>
    <mergeCell ref="A698:A699"/>
    <mergeCell ref="B698:B699"/>
    <mergeCell ref="C698:C699"/>
    <mergeCell ref="D698:D699"/>
    <mergeCell ref="E698:E699"/>
    <mergeCell ref="K698:K699"/>
    <mergeCell ref="L698:L699"/>
    <mergeCell ref="A717:A720"/>
    <mergeCell ref="B717:B720"/>
    <mergeCell ref="C717:C720"/>
    <mergeCell ref="D717:D720"/>
    <mergeCell ref="E717:E720"/>
    <mergeCell ref="K704:K706"/>
    <mergeCell ref="L704:L706"/>
    <mergeCell ref="K707:K709"/>
    <mergeCell ref="L707:L709"/>
    <mergeCell ref="K717:K720"/>
    <mergeCell ref="L717:L720"/>
    <mergeCell ref="K711:K712"/>
    <mergeCell ref="L711:L712"/>
    <mergeCell ref="K715:K716"/>
    <mergeCell ref="L715:L716"/>
    <mergeCell ref="A704:A706"/>
    <mergeCell ref="B704:B706"/>
    <mergeCell ref="C704:C706"/>
    <mergeCell ref="D704:D706"/>
    <mergeCell ref="E704:E706"/>
    <mergeCell ref="A707:A709"/>
    <mergeCell ref="B707:B709"/>
    <mergeCell ref="C707:C709"/>
    <mergeCell ref="D707:D709"/>
    <mergeCell ref="E707:E709"/>
    <mergeCell ref="A711:A712"/>
    <mergeCell ref="B711:B712"/>
    <mergeCell ref="C711:C712"/>
    <mergeCell ref="D711:D712"/>
    <mergeCell ref="E711:E712"/>
    <mergeCell ref="A715:A716"/>
    <mergeCell ref="B715:B716"/>
    <mergeCell ref="C741:C743"/>
    <mergeCell ref="D741:D743"/>
    <mergeCell ref="E741:E743"/>
    <mergeCell ref="K722:K723"/>
    <mergeCell ref="L722:L723"/>
    <mergeCell ref="K732:K733"/>
    <mergeCell ref="L732:L733"/>
    <mergeCell ref="K729:K731"/>
    <mergeCell ref="L729:L731"/>
    <mergeCell ref="K724:K728"/>
    <mergeCell ref="L724:L728"/>
    <mergeCell ref="A722:A723"/>
    <mergeCell ref="B722:B723"/>
    <mergeCell ref="C722:C723"/>
    <mergeCell ref="D722:D723"/>
    <mergeCell ref="E722:E723"/>
    <mergeCell ref="A724:A728"/>
    <mergeCell ref="B724:B728"/>
    <mergeCell ref="C724:C728"/>
    <mergeCell ref="D724:D728"/>
    <mergeCell ref="E724:E728"/>
    <mergeCell ref="A729:A731"/>
    <mergeCell ref="B729:B731"/>
    <mergeCell ref="C729:C731"/>
    <mergeCell ref="D729:D731"/>
    <mergeCell ref="E729:E731"/>
    <mergeCell ref="A732:A733"/>
    <mergeCell ref="B732:B733"/>
    <mergeCell ref="C732:C733"/>
    <mergeCell ref="D732:D733"/>
    <mergeCell ref="E732:E733"/>
    <mergeCell ref="A747:A749"/>
    <mergeCell ref="B747:B749"/>
    <mergeCell ref="C747:C749"/>
    <mergeCell ref="D747:D749"/>
    <mergeCell ref="E747:E749"/>
    <mergeCell ref="K734:K736"/>
    <mergeCell ref="L734:L736"/>
    <mergeCell ref="K741:K743"/>
    <mergeCell ref="L741:L743"/>
    <mergeCell ref="K747:K749"/>
    <mergeCell ref="L747:L749"/>
    <mergeCell ref="K737:K738"/>
    <mergeCell ref="L737:L738"/>
    <mergeCell ref="K739:K740"/>
    <mergeCell ref="L739:L740"/>
    <mergeCell ref="A734:A736"/>
    <mergeCell ref="B734:B736"/>
    <mergeCell ref="C734:C736"/>
    <mergeCell ref="D734:D736"/>
    <mergeCell ref="E734:E736"/>
    <mergeCell ref="A737:A738"/>
    <mergeCell ref="B737:B738"/>
    <mergeCell ref="C737:C738"/>
    <mergeCell ref="D737:D738"/>
    <mergeCell ref="E737:E738"/>
    <mergeCell ref="A739:A740"/>
    <mergeCell ref="B739:B740"/>
    <mergeCell ref="C739:C740"/>
    <mergeCell ref="D739:D740"/>
    <mergeCell ref="E739:E740"/>
    <mergeCell ref="A741:A743"/>
    <mergeCell ref="B741:B743"/>
    <mergeCell ref="D767:D770"/>
    <mergeCell ref="E767:E770"/>
    <mergeCell ref="A771:A773"/>
    <mergeCell ref="B771:B773"/>
    <mergeCell ref="C771:C773"/>
    <mergeCell ref="D771:D773"/>
    <mergeCell ref="E771:E773"/>
    <mergeCell ref="A775:A776"/>
    <mergeCell ref="B775:B776"/>
    <mergeCell ref="C775:C776"/>
    <mergeCell ref="D775:D776"/>
    <mergeCell ref="E775:E776"/>
    <mergeCell ref="A779:A781"/>
    <mergeCell ref="B779:B781"/>
    <mergeCell ref="C779:C781"/>
    <mergeCell ref="D779:D781"/>
    <mergeCell ref="E779:E781"/>
    <mergeCell ref="K767:K770"/>
    <mergeCell ref="L767:L770"/>
    <mergeCell ref="A782:A783"/>
    <mergeCell ref="B782:B783"/>
    <mergeCell ref="C782:C783"/>
    <mergeCell ref="D782:D783"/>
    <mergeCell ref="E782:E783"/>
    <mergeCell ref="A784:A785"/>
    <mergeCell ref="B784:B785"/>
    <mergeCell ref="C784:C785"/>
    <mergeCell ref="D784:D785"/>
    <mergeCell ref="E784:E785"/>
    <mergeCell ref="A786:A787"/>
    <mergeCell ref="B786:B787"/>
    <mergeCell ref="C786:C787"/>
    <mergeCell ref="D786:D787"/>
    <mergeCell ref="E786:E787"/>
    <mergeCell ref="K771:K773"/>
    <mergeCell ref="L771:L773"/>
    <mergeCell ref="K779:K781"/>
    <mergeCell ref="L779:L781"/>
    <mergeCell ref="K775:K776"/>
    <mergeCell ref="L775:L776"/>
    <mergeCell ref="K782:K783"/>
    <mergeCell ref="L782:L783"/>
    <mergeCell ref="K784:K785"/>
    <mergeCell ref="L784:L785"/>
    <mergeCell ref="K786:K787"/>
    <mergeCell ref="L786:L787"/>
    <mergeCell ref="A767:A770"/>
    <mergeCell ref="B767:B770"/>
    <mergeCell ref="C767:C770"/>
    <mergeCell ref="K824:K825"/>
    <mergeCell ref="L824:L825"/>
    <mergeCell ref="K810:K813"/>
    <mergeCell ref="L810:L813"/>
    <mergeCell ref="K814:K817"/>
    <mergeCell ref="L814:L817"/>
    <mergeCell ref="K819:K822"/>
    <mergeCell ref="L819:L822"/>
    <mergeCell ref="A810:A813"/>
    <mergeCell ref="B810:B813"/>
    <mergeCell ref="C810:C813"/>
    <mergeCell ref="D810:D813"/>
    <mergeCell ref="E810:E813"/>
    <mergeCell ref="A814:A817"/>
    <mergeCell ref="B814:B817"/>
    <mergeCell ref="C814:C817"/>
    <mergeCell ref="D814:D817"/>
    <mergeCell ref="E814:E817"/>
    <mergeCell ref="A819:A822"/>
    <mergeCell ref="B819:B822"/>
    <mergeCell ref="C819:C822"/>
    <mergeCell ref="D819:D822"/>
    <mergeCell ref="E819:E822"/>
    <mergeCell ref="A824:A825"/>
    <mergeCell ref="B824:B825"/>
    <mergeCell ref="C824:C825"/>
    <mergeCell ref="D824:D825"/>
    <mergeCell ref="E824:E825"/>
    <mergeCell ref="D939:D941"/>
    <mergeCell ref="E939:E941"/>
    <mergeCell ref="C841:C843"/>
    <mergeCell ref="D841:D843"/>
    <mergeCell ref="E841:E843"/>
    <mergeCell ref="K826:K828"/>
    <mergeCell ref="L826:L828"/>
    <mergeCell ref="K829:K831"/>
    <mergeCell ref="L829:L831"/>
    <mergeCell ref="K841:K843"/>
    <mergeCell ref="L841:L843"/>
    <mergeCell ref="K837:K840"/>
    <mergeCell ref="L837:L840"/>
    <mergeCell ref="K833:K835"/>
    <mergeCell ref="L833:L835"/>
    <mergeCell ref="A826:A828"/>
    <mergeCell ref="B826:B828"/>
    <mergeCell ref="C826:C828"/>
    <mergeCell ref="D826:D828"/>
    <mergeCell ref="E826:E828"/>
    <mergeCell ref="A829:A831"/>
    <mergeCell ref="B829:B831"/>
    <mergeCell ref="C829:C831"/>
    <mergeCell ref="D829:D831"/>
    <mergeCell ref="E829:E831"/>
    <mergeCell ref="A833:A835"/>
    <mergeCell ref="B833:B835"/>
    <mergeCell ref="C833:C835"/>
    <mergeCell ref="D833:D835"/>
    <mergeCell ref="E833:E835"/>
    <mergeCell ref="A837:A840"/>
    <mergeCell ref="B837:B840"/>
    <mergeCell ref="K928:K929"/>
    <mergeCell ref="L928:L929"/>
    <mergeCell ref="K932:K933"/>
    <mergeCell ref="L932:L933"/>
    <mergeCell ref="K934:K935"/>
    <mergeCell ref="L934:L935"/>
    <mergeCell ref="K946:K947"/>
    <mergeCell ref="L946:L947"/>
    <mergeCell ref="K948:K949"/>
    <mergeCell ref="L948:L949"/>
    <mergeCell ref="K936:K938"/>
    <mergeCell ref="L936:L938"/>
    <mergeCell ref="K939:K941"/>
    <mergeCell ref="L939:L941"/>
    <mergeCell ref="A928:A929"/>
    <mergeCell ref="B928:B929"/>
    <mergeCell ref="C928:C929"/>
    <mergeCell ref="D928:D929"/>
    <mergeCell ref="E928:E929"/>
    <mergeCell ref="A932:A933"/>
    <mergeCell ref="B932:B933"/>
    <mergeCell ref="C932:C933"/>
    <mergeCell ref="D932:D933"/>
    <mergeCell ref="E932:E933"/>
    <mergeCell ref="A936:A938"/>
    <mergeCell ref="B936:B938"/>
    <mergeCell ref="C936:C938"/>
    <mergeCell ref="D936:D938"/>
    <mergeCell ref="E936:E938"/>
    <mergeCell ref="A939:A941"/>
    <mergeCell ref="B939:B941"/>
    <mergeCell ref="C939:C941"/>
    <mergeCell ref="A946:A947"/>
    <mergeCell ref="B946:B947"/>
    <mergeCell ref="C946:C947"/>
    <mergeCell ref="D946:D947"/>
    <mergeCell ref="E946:E947"/>
    <mergeCell ref="A948:A949"/>
    <mergeCell ref="B948:B949"/>
    <mergeCell ref="C948:C949"/>
    <mergeCell ref="D948:D949"/>
    <mergeCell ref="E948:E949"/>
    <mergeCell ref="A954:A955"/>
    <mergeCell ref="B954:B955"/>
    <mergeCell ref="C954:C955"/>
    <mergeCell ref="D954:D955"/>
    <mergeCell ref="E954:E955"/>
    <mergeCell ref="K954:K955"/>
    <mergeCell ref="L954:L955"/>
    <mergeCell ref="A962:A963"/>
    <mergeCell ref="B962:B963"/>
    <mergeCell ref="C962:C963"/>
    <mergeCell ref="D962:D963"/>
    <mergeCell ref="E962:E963"/>
    <mergeCell ref="A965:A966"/>
    <mergeCell ref="B965:B966"/>
    <mergeCell ref="C965:C966"/>
    <mergeCell ref="D965:D966"/>
    <mergeCell ref="E965:E966"/>
    <mergeCell ref="K962:K963"/>
    <mergeCell ref="L962:L963"/>
    <mergeCell ref="K965:K966"/>
    <mergeCell ref="L965:L966"/>
    <mergeCell ref="A957:A958"/>
    <mergeCell ref="B957:B958"/>
    <mergeCell ref="C957:C958"/>
    <mergeCell ref="D957:D958"/>
    <mergeCell ref="E957:E958"/>
    <mergeCell ref="A960:A961"/>
    <mergeCell ref="B960:B961"/>
    <mergeCell ref="C960:C961"/>
    <mergeCell ref="D960:D961"/>
    <mergeCell ref="E960:E961"/>
    <mergeCell ref="K957:K958"/>
    <mergeCell ref="L957:L958"/>
    <mergeCell ref="K960:K961"/>
    <mergeCell ref="L960:L961"/>
  </mergeCell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BC662A-3E7F-48FD-AF1E-22129668BA27}">
  <dimension ref="A1:L49"/>
  <sheetViews>
    <sheetView zoomScale="80" zoomScaleNormal="80" workbookViewId="0">
      <selection activeCell="K47" sqref="K47:L47"/>
    </sheetView>
  </sheetViews>
  <sheetFormatPr baseColWidth="10" defaultColWidth="8.88671875" defaultRowHeight="14.4" x14ac:dyDescent="0.3"/>
  <cols>
    <col min="2" max="2" width="10.33203125" bestFit="1" customWidth="1"/>
    <col min="3" max="3" width="10.6640625" bestFit="1" customWidth="1"/>
    <col min="4" max="4" width="10.5546875" customWidth="1"/>
    <col min="5" max="5" width="11.6640625" customWidth="1"/>
    <col min="8" max="8" width="10.6640625" hidden="1" customWidth="1"/>
    <col min="9" max="10" width="0" hidden="1" customWidth="1"/>
    <col min="12" max="12" width="12" bestFit="1" customWidth="1"/>
  </cols>
  <sheetData>
    <row r="1" spans="1:12" ht="23.4" x14ac:dyDescent="0.3">
      <c r="A1" s="1" t="s">
        <v>6311</v>
      </c>
      <c r="B1" s="1"/>
      <c r="C1" s="1"/>
      <c r="D1" s="1"/>
      <c r="E1" s="1"/>
      <c r="F1" s="1"/>
      <c r="G1" s="1"/>
      <c r="H1" s="1"/>
      <c r="I1" s="1"/>
      <c r="J1" s="418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418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416" t="s">
        <v>8</v>
      </c>
      <c r="G4" s="923"/>
      <c r="H4" s="7" t="s">
        <v>9</v>
      </c>
      <c r="I4" s="6" t="s">
        <v>5</v>
      </c>
      <c r="J4" s="6" t="s">
        <v>10</v>
      </c>
      <c r="K4" s="923"/>
      <c r="L4" s="1010"/>
    </row>
    <row r="5" spans="1:12" x14ac:dyDescent="0.3">
      <c r="A5" s="871">
        <v>121</v>
      </c>
      <c r="B5" s="1001">
        <f>+E5*1.04</f>
        <v>4943.9520000000002</v>
      </c>
      <c r="C5" s="873" t="s">
        <v>3124</v>
      </c>
      <c r="D5" s="873">
        <f>+I5+I6</f>
        <v>121</v>
      </c>
      <c r="E5" s="873">
        <f>+J5+J6</f>
        <v>4753.8</v>
      </c>
      <c r="F5" s="245" t="s">
        <v>3125</v>
      </c>
      <c r="G5" s="245">
        <v>18681</v>
      </c>
      <c r="H5" s="40"/>
      <c r="I5" s="245">
        <v>50</v>
      </c>
      <c r="J5" s="245">
        <v>1963.5</v>
      </c>
      <c r="K5" s="877">
        <f>+A5-D5</f>
        <v>0</v>
      </c>
      <c r="L5" s="879">
        <f>((+B5/A5)-(E5/D5))/(B5/A5)</f>
        <v>3.8461538461538429E-2</v>
      </c>
    </row>
    <row r="6" spans="1:12" ht="15" thickBot="1" x14ac:dyDescent="0.35">
      <c r="A6" s="872"/>
      <c r="B6" s="1002"/>
      <c r="C6" s="874"/>
      <c r="D6" s="874"/>
      <c r="E6" s="874"/>
      <c r="F6" s="246" t="s">
        <v>3125</v>
      </c>
      <c r="G6" s="246">
        <v>18681</v>
      </c>
      <c r="H6" s="417"/>
      <c r="I6" s="246">
        <v>71</v>
      </c>
      <c r="J6" s="246">
        <v>2790.3</v>
      </c>
      <c r="K6" s="878"/>
      <c r="L6" s="880"/>
    </row>
    <row r="7" spans="1:12" x14ac:dyDescent="0.3">
      <c r="A7" s="875">
        <v>266</v>
      </c>
      <c r="B7" s="1014">
        <v>11135.4</v>
      </c>
      <c r="C7" s="876" t="s">
        <v>5518</v>
      </c>
      <c r="D7" s="876">
        <f>+I7+I8</f>
        <v>266</v>
      </c>
      <c r="E7" s="876">
        <f>+J7+J8</f>
        <v>10745.7</v>
      </c>
      <c r="F7" s="333" t="s">
        <v>5519</v>
      </c>
      <c r="G7" s="333">
        <v>102111</v>
      </c>
      <c r="I7" s="333">
        <v>200</v>
      </c>
      <c r="J7" s="333">
        <v>8037</v>
      </c>
      <c r="K7" s="877">
        <f>+A7-D7</f>
        <v>0</v>
      </c>
      <c r="L7" s="879">
        <f>((+B7/A7)-(E7/D7))/(B7/A7)</f>
        <v>3.499649765612365E-2</v>
      </c>
    </row>
    <row r="8" spans="1:12" ht="15" thickBot="1" x14ac:dyDescent="0.35">
      <c r="A8" s="872"/>
      <c r="B8" s="1002"/>
      <c r="C8" s="874"/>
      <c r="D8" s="874"/>
      <c r="E8" s="874"/>
      <c r="F8" s="333" t="s">
        <v>5519</v>
      </c>
      <c r="G8" s="333">
        <v>102111</v>
      </c>
      <c r="I8" s="333">
        <v>66</v>
      </c>
      <c r="J8" s="333">
        <v>2708.7</v>
      </c>
      <c r="K8" s="878"/>
      <c r="L8" s="880"/>
    </row>
    <row r="9" spans="1:12" ht="15" thickBot="1" x14ac:dyDescent="0.35">
      <c r="A9" s="178">
        <v>220</v>
      </c>
      <c r="B9" s="438">
        <v>9754.9</v>
      </c>
      <c r="C9" s="8" t="s">
        <v>5520</v>
      </c>
      <c r="D9" s="8">
        <f>+I9</f>
        <v>220</v>
      </c>
      <c r="E9" s="8">
        <f>+J9</f>
        <v>9261.6</v>
      </c>
      <c r="F9" s="45" t="s">
        <v>5521</v>
      </c>
      <c r="G9" s="45">
        <v>102181</v>
      </c>
      <c r="H9" s="45"/>
      <c r="I9" s="45">
        <v>220</v>
      </c>
      <c r="J9" s="45">
        <v>9261.6</v>
      </c>
      <c r="K9" s="52">
        <f t="shared" ref="K9" si="0">+A9-D9</f>
        <v>0</v>
      </c>
      <c r="L9" s="31">
        <f t="shared" ref="L9" si="1">((+B9/A9)-(E9/D9))/(B9/A9)</f>
        <v>5.0569457400895801E-2</v>
      </c>
    </row>
    <row r="10" spans="1:12" ht="15" thickBot="1" x14ac:dyDescent="0.35">
      <c r="A10" s="178">
        <v>440</v>
      </c>
      <c r="B10" s="438">
        <v>18056.400000000001</v>
      </c>
      <c r="C10" s="8" t="s">
        <v>5522</v>
      </c>
      <c r="D10" s="8">
        <f>+I10</f>
        <v>440</v>
      </c>
      <c r="E10" s="8">
        <f>+J10</f>
        <v>17205.5</v>
      </c>
      <c r="F10" s="45" t="s">
        <v>5523</v>
      </c>
      <c r="G10" s="45">
        <v>102471</v>
      </c>
      <c r="H10" s="45"/>
      <c r="I10" s="45">
        <v>440</v>
      </c>
      <c r="J10" s="45">
        <v>17205.5</v>
      </c>
      <c r="K10" s="52">
        <f t="shared" ref="K10" si="2">+A10-D10</f>
        <v>0</v>
      </c>
      <c r="L10" s="31">
        <f t="shared" ref="L10" si="3">((+B10/A10)-(E10/D10))/(B10/A10)</f>
        <v>4.7124565251102181E-2</v>
      </c>
    </row>
    <row r="11" spans="1:12" x14ac:dyDescent="0.3">
      <c r="A11" s="871">
        <v>229</v>
      </c>
      <c r="B11" s="1001">
        <v>8625.7999999999993</v>
      </c>
      <c r="C11" s="873" t="s">
        <v>5570</v>
      </c>
      <c r="D11" s="873">
        <f>+I11+I12</f>
        <v>229</v>
      </c>
      <c r="E11" s="873">
        <f>+J11+J12</f>
        <v>8221.7999999999993</v>
      </c>
      <c r="F11" s="435" t="s">
        <v>5571</v>
      </c>
      <c r="G11" s="435">
        <v>102531</v>
      </c>
      <c r="H11" s="435"/>
      <c r="I11" s="435">
        <v>200</v>
      </c>
      <c r="J11" s="435">
        <v>7147.7</v>
      </c>
      <c r="K11" s="877">
        <f>+A11-D11</f>
        <v>0</v>
      </c>
      <c r="L11" s="879">
        <f>((+B11/A11)-(E11/D11))/(B11/A11)</f>
        <v>4.6836235479607739E-2</v>
      </c>
    </row>
    <row r="12" spans="1:12" ht="15" thickBot="1" x14ac:dyDescent="0.35">
      <c r="A12" s="872"/>
      <c r="B12" s="1002"/>
      <c r="C12" s="874"/>
      <c r="D12" s="874"/>
      <c r="E12" s="874"/>
      <c r="F12" s="436" t="s">
        <v>5571</v>
      </c>
      <c r="G12" s="436">
        <v>102531</v>
      </c>
      <c r="H12" s="436"/>
      <c r="I12" s="436">
        <v>29</v>
      </c>
      <c r="J12" s="436">
        <v>1074.0999999999999</v>
      </c>
      <c r="K12" s="878"/>
      <c r="L12" s="880"/>
    </row>
    <row r="13" spans="1:12" ht="15" thickBot="1" x14ac:dyDescent="0.35">
      <c r="A13" s="178">
        <v>660</v>
      </c>
      <c r="B13" s="438">
        <v>24861.7</v>
      </c>
      <c r="C13" s="8" t="s">
        <v>5572</v>
      </c>
      <c r="D13" s="8">
        <v>660</v>
      </c>
      <c r="E13" s="8">
        <v>23941</v>
      </c>
      <c r="F13" s="45" t="s">
        <v>5573</v>
      </c>
      <c r="G13" s="45">
        <v>102611</v>
      </c>
      <c r="H13" s="45"/>
      <c r="I13" s="45">
        <v>171</v>
      </c>
      <c r="J13" s="45">
        <v>6067.2</v>
      </c>
      <c r="K13" s="52">
        <f t="shared" ref="K13" si="4">+A13-D13</f>
        <v>0</v>
      </c>
      <c r="L13" s="31">
        <f t="shared" ref="L13" si="5">((+B13/A13)-(E13/D13))/(B13/A13)</f>
        <v>3.7032865813681363E-2</v>
      </c>
    </row>
    <row r="14" spans="1:12" ht="15" thickBot="1" x14ac:dyDescent="0.35">
      <c r="A14" s="500">
        <v>100</v>
      </c>
      <c r="B14" s="521">
        <v>6252</v>
      </c>
      <c r="C14" s="497" t="s">
        <v>6038</v>
      </c>
      <c r="D14" s="497">
        <f>+I14</f>
        <v>100</v>
      </c>
      <c r="E14" s="497">
        <f>+J14</f>
        <v>5670.1</v>
      </c>
      <c r="F14" s="503" t="s">
        <v>6039</v>
      </c>
      <c r="G14" s="503">
        <v>102761</v>
      </c>
      <c r="H14" s="503"/>
      <c r="I14" s="503">
        <v>100</v>
      </c>
      <c r="J14" s="503">
        <v>5670.1</v>
      </c>
      <c r="K14" s="52">
        <f t="shared" ref="K14:K15" si="6">+A14-D14</f>
        <v>0</v>
      </c>
      <c r="L14" s="31">
        <f t="shared" ref="L14:L15" si="7">((+B14/A14)-(E14/D14))/(B14/A14)</f>
        <v>9.3074216250799785E-2</v>
      </c>
    </row>
    <row r="15" spans="1:12" ht="15" thickBot="1" x14ac:dyDescent="0.35">
      <c r="A15" s="178">
        <v>168</v>
      </c>
      <c r="B15" s="438">
        <v>7637.1</v>
      </c>
      <c r="C15" s="8" t="s">
        <v>6040</v>
      </c>
      <c r="D15" s="8">
        <f>+I15</f>
        <v>165</v>
      </c>
      <c r="E15" s="8">
        <f>+J15</f>
        <v>7302</v>
      </c>
      <c r="F15" s="45" t="s">
        <v>6041</v>
      </c>
      <c r="G15" s="45">
        <v>102771</v>
      </c>
      <c r="H15" s="45"/>
      <c r="I15" s="45">
        <f>60+105</f>
        <v>165</v>
      </c>
      <c r="J15" s="45">
        <f>2656+4646</f>
        <v>7302</v>
      </c>
      <c r="K15" s="52">
        <f t="shared" si="6"/>
        <v>3</v>
      </c>
      <c r="L15" s="31">
        <f t="shared" si="7"/>
        <v>2.6493873805025894E-2</v>
      </c>
    </row>
    <row r="16" spans="1:12" x14ac:dyDescent="0.3">
      <c r="A16" s="901">
        <v>278</v>
      </c>
      <c r="B16" s="1001">
        <v>16789.25</v>
      </c>
      <c r="C16" s="873" t="s">
        <v>6140</v>
      </c>
      <c r="D16" s="873">
        <f>+I16+I17</f>
        <v>278</v>
      </c>
      <c r="E16" s="873">
        <f>+J16+J17</f>
        <v>15598.2</v>
      </c>
      <c r="F16" s="516" t="s">
        <v>6141</v>
      </c>
      <c r="G16" s="516">
        <v>104061</v>
      </c>
      <c r="H16" s="40"/>
      <c r="I16" s="516">
        <v>200</v>
      </c>
      <c r="J16" s="516">
        <v>10927.7</v>
      </c>
      <c r="K16" s="877">
        <f>+A16-D16</f>
        <v>0</v>
      </c>
      <c r="L16" s="879">
        <f>((+B16/A16)-(E16/D16))/(B16/A16)</f>
        <v>7.0941227273403976E-2</v>
      </c>
    </row>
    <row r="17" spans="1:12" ht="15" thickBot="1" x14ac:dyDescent="0.35">
      <c r="A17" s="888"/>
      <c r="B17" s="1002"/>
      <c r="C17" s="874"/>
      <c r="D17" s="874"/>
      <c r="E17" s="874"/>
      <c r="F17" s="517" t="s">
        <v>6141</v>
      </c>
      <c r="G17" s="517">
        <v>104061</v>
      </c>
      <c r="H17" s="519"/>
      <c r="I17" s="517">
        <v>78</v>
      </c>
      <c r="J17" s="517">
        <v>4670.5</v>
      </c>
      <c r="K17" s="878"/>
      <c r="L17" s="880"/>
    </row>
    <row r="18" spans="1:12" x14ac:dyDescent="0.3">
      <c r="A18" s="871">
        <v>278</v>
      </c>
      <c r="B18" s="1001">
        <v>16474.439999999999</v>
      </c>
      <c r="C18" s="873" t="s">
        <v>6142</v>
      </c>
      <c r="D18" s="873">
        <f>+I18+I19</f>
        <v>278</v>
      </c>
      <c r="E18" s="873">
        <f>+J18+J19</f>
        <v>16178.1</v>
      </c>
      <c r="F18" s="516" t="s">
        <v>6143</v>
      </c>
      <c r="G18" s="516">
        <v>104201</v>
      </c>
      <c r="H18" s="40"/>
      <c r="I18" s="516">
        <v>215</v>
      </c>
      <c r="J18" s="516">
        <v>12755.5</v>
      </c>
      <c r="K18" s="877">
        <f>+A18-D18</f>
        <v>0</v>
      </c>
      <c r="L18" s="879">
        <f>((+B18/A18)-(E18/D18))/(B18/A18)</f>
        <v>1.798786483789425E-2</v>
      </c>
    </row>
    <row r="19" spans="1:12" ht="15" thickBot="1" x14ac:dyDescent="0.35">
      <c r="A19" s="872"/>
      <c r="B19" s="1002"/>
      <c r="C19" s="874"/>
      <c r="D19" s="874"/>
      <c r="E19" s="874"/>
      <c r="F19" s="517" t="s">
        <v>6143</v>
      </c>
      <c r="G19" s="517">
        <v>104201</v>
      </c>
      <c r="H19" s="519"/>
      <c r="I19" s="517">
        <v>63</v>
      </c>
      <c r="J19" s="517">
        <v>3422.6</v>
      </c>
      <c r="K19" s="878"/>
      <c r="L19" s="880"/>
    </row>
    <row r="20" spans="1:12" x14ac:dyDescent="0.3">
      <c r="A20" s="960">
        <v>124</v>
      </c>
      <c r="B20" s="1012">
        <v>6162.25</v>
      </c>
      <c r="C20" s="962" t="s">
        <v>6289</v>
      </c>
      <c r="D20" s="873">
        <f>+I20+I21</f>
        <v>124</v>
      </c>
      <c r="E20" s="873">
        <f>+J20+J21</f>
        <v>5929.8</v>
      </c>
      <c r="F20" s="534" t="s">
        <v>6290</v>
      </c>
      <c r="G20" s="534">
        <v>104251</v>
      </c>
      <c r="H20" s="40"/>
      <c r="I20" s="534">
        <v>50</v>
      </c>
      <c r="J20" s="534">
        <v>2354.5</v>
      </c>
      <c r="K20" s="877">
        <f>+A20-D20</f>
        <v>0</v>
      </c>
      <c r="L20" s="879">
        <f>((+B20/A20)-(E20/D20))/(B20/A20)</f>
        <v>3.772161142439856E-2</v>
      </c>
    </row>
    <row r="21" spans="1:12" ht="15" thickBot="1" x14ac:dyDescent="0.35">
      <c r="A21" s="961"/>
      <c r="B21" s="1013"/>
      <c r="C21" s="963"/>
      <c r="D21" s="874"/>
      <c r="E21" s="874"/>
      <c r="F21" s="535" t="s">
        <v>6290</v>
      </c>
      <c r="G21" s="535">
        <v>104251</v>
      </c>
      <c r="H21" s="539"/>
      <c r="I21" s="535">
        <v>74</v>
      </c>
      <c r="J21" s="535">
        <v>3575.3</v>
      </c>
      <c r="K21" s="878"/>
      <c r="L21" s="880"/>
    </row>
    <row r="22" spans="1:12" ht="15" thickBot="1" x14ac:dyDescent="0.35">
      <c r="A22" s="575">
        <v>295</v>
      </c>
      <c r="B22" s="576">
        <v>14534</v>
      </c>
      <c r="C22" s="577" t="s">
        <v>6291</v>
      </c>
      <c r="D22" s="8">
        <v>295</v>
      </c>
      <c r="E22" s="8">
        <v>14141.3</v>
      </c>
      <c r="F22" s="45" t="s">
        <v>6292</v>
      </c>
      <c r="G22" s="45">
        <v>104301</v>
      </c>
      <c r="H22" s="14"/>
      <c r="I22" s="45">
        <v>200</v>
      </c>
      <c r="J22" s="45">
        <v>9584.4</v>
      </c>
      <c r="K22" s="52">
        <f t="shared" ref="K22" si="8">+A22-D22</f>
        <v>0</v>
      </c>
      <c r="L22" s="31">
        <f t="shared" ref="L22" si="9">((+B22/A22)-(E22/D22))/(B22/A22)</f>
        <v>2.7019402779689037E-2</v>
      </c>
    </row>
    <row r="23" spans="1:12" ht="15" thickBot="1" x14ac:dyDescent="0.35">
      <c r="A23" s="178">
        <v>177</v>
      </c>
      <c r="B23" s="438">
        <v>8427</v>
      </c>
      <c r="C23" s="45" t="s">
        <v>6360</v>
      </c>
      <c r="D23" s="45">
        <f>+I23</f>
        <v>177</v>
      </c>
      <c r="E23" s="45">
        <f>+J23</f>
        <v>8166.9</v>
      </c>
      <c r="F23" s="45" t="s">
        <v>6361</v>
      </c>
      <c r="G23" s="45">
        <v>104641</v>
      </c>
      <c r="H23" s="14"/>
      <c r="I23" s="45">
        <v>177</v>
      </c>
      <c r="J23" s="45">
        <v>8166.9</v>
      </c>
      <c r="K23" s="52">
        <f t="shared" ref="K23" si="10">+A23-D23</f>
        <v>0</v>
      </c>
      <c r="L23" s="31">
        <f t="shared" ref="L23" si="11">((+B23/A23)-(E23/D23))/(B23/A23)</f>
        <v>3.0865076539693958E-2</v>
      </c>
    </row>
    <row r="24" spans="1:12" x14ac:dyDescent="0.3">
      <c r="A24" s="871">
        <v>247</v>
      </c>
      <c r="B24" s="1001">
        <v>15110</v>
      </c>
      <c r="C24" s="873" t="s">
        <v>6604</v>
      </c>
      <c r="D24" s="873">
        <f>+I24+I25</f>
        <v>247</v>
      </c>
      <c r="E24" s="873">
        <f>+J24+J25</f>
        <v>13991.6</v>
      </c>
      <c r="F24" s="652" t="s">
        <v>6605</v>
      </c>
      <c r="G24" s="652">
        <v>104801</v>
      </c>
      <c r="H24" s="40"/>
      <c r="I24" s="652">
        <v>200</v>
      </c>
      <c r="J24" s="652">
        <v>11348.5</v>
      </c>
      <c r="K24" s="877">
        <f>+A24-D24</f>
        <v>0</v>
      </c>
      <c r="L24" s="879">
        <f>((+B24/A24)-(E24/D24))/(B24/A24)</f>
        <v>7.4017207147584349E-2</v>
      </c>
    </row>
    <row r="25" spans="1:12" ht="15" thickBot="1" x14ac:dyDescent="0.35">
      <c r="A25" s="875"/>
      <c r="B25" s="1011"/>
      <c r="C25" s="881"/>
      <c r="D25" s="881"/>
      <c r="E25" s="881"/>
      <c r="F25" s="50" t="s">
        <v>6605</v>
      </c>
      <c r="G25" s="50">
        <v>104801</v>
      </c>
      <c r="I25" s="50">
        <v>47</v>
      </c>
      <c r="J25" s="50">
        <v>2643.1</v>
      </c>
      <c r="K25" s="878"/>
      <c r="L25" s="880"/>
    </row>
    <row r="26" spans="1:12" x14ac:dyDescent="0.3">
      <c r="A26" s="901">
        <v>527</v>
      </c>
      <c r="B26" s="1001">
        <v>32064.59</v>
      </c>
      <c r="C26" s="873" t="s">
        <v>6606</v>
      </c>
      <c r="D26" s="873">
        <f>+I26+I27+I28</f>
        <v>525</v>
      </c>
      <c r="E26" s="873">
        <f>+J26+J27+J28</f>
        <v>30425.600000000002</v>
      </c>
      <c r="F26" s="652" t="s">
        <v>6607</v>
      </c>
      <c r="G26" s="652">
        <v>105021</v>
      </c>
      <c r="H26" s="40"/>
      <c r="I26" s="652">
        <v>200</v>
      </c>
      <c r="J26" s="652">
        <v>11661.1</v>
      </c>
      <c r="K26" s="877">
        <f>+A26-D26</f>
        <v>2</v>
      </c>
      <c r="L26" s="879">
        <f>((+B26/A26)-(E26/D26))/(B26/A26)</f>
        <v>4.7500465540989273E-2</v>
      </c>
    </row>
    <row r="27" spans="1:12" x14ac:dyDescent="0.3">
      <c r="A27" s="887"/>
      <c r="B27" s="1011"/>
      <c r="C27" s="881"/>
      <c r="D27" s="881"/>
      <c r="E27" s="881"/>
      <c r="F27" s="50" t="s">
        <v>6607</v>
      </c>
      <c r="G27" s="50">
        <v>105021</v>
      </c>
      <c r="I27" s="50">
        <v>255</v>
      </c>
      <c r="J27" s="50">
        <v>14690.3</v>
      </c>
      <c r="K27" s="886"/>
      <c r="L27" s="885"/>
    </row>
    <row r="28" spans="1:12" ht="15" thickBot="1" x14ac:dyDescent="0.35">
      <c r="A28" s="888"/>
      <c r="B28" s="1002"/>
      <c r="C28" s="874"/>
      <c r="D28" s="874"/>
      <c r="E28" s="874"/>
      <c r="F28" s="653" t="s">
        <v>6607</v>
      </c>
      <c r="G28" s="653">
        <v>105021</v>
      </c>
      <c r="H28" s="654"/>
      <c r="I28" s="653">
        <v>70</v>
      </c>
      <c r="J28" s="653">
        <v>4074.2</v>
      </c>
      <c r="K28" s="878"/>
      <c r="L28" s="880"/>
    </row>
    <row r="29" spans="1:12" ht="15" thickBot="1" x14ac:dyDescent="0.35">
      <c r="A29" s="663">
        <v>309</v>
      </c>
      <c r="B29" s="521">
        <v>14933.25</v>
      </c>
      <c r="C29" s="653" t="s">
        <v>6608</v>
      </c>
      <c r="D29" s="653">
        <f>+I29</f>
        <v>309</v>
      </c>
      <c r="E29" s="653">
        <f t="shared" ref="E29:E30" si="12">+J29</f>
        <v>14599.3</v>
      </c>
      <c r="F29" s="653" t="s">
        <v>6609</v>
      </c>
      <c r="G29" s="653">
        <v>105121</v>
      </c>
      <c r="H29" s="654"/>
      <c r="I29" s="653">
        <v>309</v>
      </c>
      <c r="J29" s="653">
        <v>14599.3</v>
      </c>
      <c r="K29" s="52">
        <f t="shared" ref="K29:K31" si="13">+A29-D29</f>
        <v>0</v>
      </c>
      <c r="L29" s="31">
        <f t="shared" ref="L29:L31" si="14">((+B29/A29)-(E29/D29))/(B29/A29)</f>
        <v>2.2362848006964493E-2</v>
      </c>
    </row>
    <row r="30" spans="1:12" ht="15" thickBot="1" x14ac:dyDescent="0.35">
      <c r="A30" s="178">
        <v>184</v>
      </c>
      <c r="B30" s="438">
        <v>8866.5</v>
      </c>
      <c r="C30" s="45" t="s">
        <v>6610</v>
      </c>
      <c r="D30" s="653">
        <f>+I30</f>
        <v>184</v>
      </c>
      <c r="E30" s="653">
        <f t="shared" si="12"/>
        <v>8604.5</v>
      </c>
      <c r="F30" s="45" t="s">
        <v>6611</v>
      </c>
      <c r="G30" s="45">
        <v>105201</v>
      </c>
      <c r="H30" s="14"/>
      <c r="I30" s="45">
        <v>184</v>
      </c>
      <c r="J30" s="45">
        <v>8604.5</v>
      </c>
      <c r="K30" s="52">
        <f t="shared" si="13"/>
        <v>0</v>
      </c>
      <c r="L30" s="31">
        <f t="shared" si="14"/>
        <v>2.9549427620819881E-2</v>
      </c>
    </row>
    <row r="31" spans="1:12" ht="15" thickBot="1" x14ac:dyDescent="0.35">
      <c r="A31" s="178">
        <v>602</v>
      </c>
      <c r="B31" s="438">
        <v>28539.75</v>
      </c>
      <c r="C31" s="45" t="s">
        <v>6612</v>
      </c>
      <c r="D31" s="45">
        <v>602</v>
      </c>
      <c r="E31" s="45">
        <v>28042.7</v>
      </c>
      <c r="F31" s="45" t="s">
        <v>6613</v>
      </c>
      <c r="G31" s="45">
        <v>105261</v>
      </c>
      <c r="H31" s="45"/>
      <c r="I31" s="45">
        <v>130</v>
      </c>
      <c r="J31" s="45">
        <v>5733.8</v>
      </c>
      <c r="K31" s="52">
        <f t="shared" si="13"/>
        <v>0</v>
      </c>
      <c r="L31" s="31">
        <f t="shared" si="14"/>
        <v>1.741606005658777E-2</v>
      </c>
    </row>
    <row r="32" spans="1:12" x14ac:dyDescent="0.3">
      <c r="A32" s="871">
        <v>180</v>
      </c>
      <c r="B32" s="1001">
        <v>8801.5</v>
      </c>
      <c r="C32" s="873" t="s">
        <v>6708</v>
      </c>
      <c r="D32" s="873">
        <f>+I32+I33</f>
        <v>180</v>
      </c>
      <c r="E32" s="873">
        <f>+J32+J33</f>
        <v>8660.5</v>
      </c>
      <c r="F32" s="671" t="s">
        <v>6613</v>
      </c>
      <c r="G32" s="671">
        <v>105261</v>
      </c>
      <c r="H32" s="40"/>
      <c r="I32" s="682">
        <v>120</v>
      </c>
      <c r="J32" s="671">
        <v>5756.6</v>
      </c>
      <c r="K32" s="877">
        <f>+A32-D32</f>
        <v>0</v>
      </c>
      <c r="L32" s="879">
        <f>((+B32/A32)-(E32/D32))/(B32/A32)</f>
        <v>1.6019996591490192E-2</v>
      </c>
    </row>
    <row r="33" spans="1:12" ht="15" thickBot="1" x14ac:dyDescent="0.35">
      <c r="A33" s="872"/>
      <c r="B33" s="1002"/>
      <c r="C33" s="874"/>
      <c r="D33" s="874"/>
      <c r="E33" s="874"/>
      <c r="F33" s="672" t="s">
        <v>6613</v>
      </c>
      <c r="G33" s="672">
        <v>105261</v>
      </c>
      <c r="H33" s="674"/>
      <c r="I33" s="681">
        <v>60</v>
      </c>
      <c r="J33" s="672">
        <v>2903.9</v>
      </c>
      <c r="K33" s="878"/>
      <c r="L33" s="880"/>
    </row>
    <row r="34" spans="1:12" x14ac:dyDescent="0.3">
      <c r="A34" s="938">
        <v>250</v>
      </c>
      <c r="B34" s="1015">
        <v>12430.75</v>
      </c>
      <c r="C34" s="873" t="s">
        <v>6709</v>
      </c>
      <c r="D34" s="873">
        <f>+I34+I35</f>
        <v>250</v>
      </c>
      <c r="E34" s="873">
        <f>+J34+J35</f>
        <v>12322.4</v>
      </c>
      <c r="F34" s="671" t="s">
        <v>6710</v>
      </c>
      <c r="G34" s="671">
        <v>105701</v>
      </c>
      <c r="H34" s="40"/>
      <c r="I34" s="682">
        <v>140</v>
      </c>
      <c r="J34" s="671">
        <v>7360.2</v>
      </c>
      <c r="K34" s="877">
        <f>+A34-D34</f>
        <v>0</v>
      </c>
      <c r="L34" s="879">
        <f>((+B34/A34)-(E34/D34))/(B34/A34)</f>
        <v>8.7162882368320271E-3</v>
      </c>
    </row>
    <row r="35" spans="1:12" ht="15" thickBot="1" x14ac:dyDescent="0.35">
      <c r="A35" s="939"/>
      <c r="B35" s="1016"/>
      <c r="C35" s="874"/>
      <c r="D35" s="874"/>
      <c r="E35" s="874"/>
      <c r="F35" s="672" t="s">
        <v>6710</v>
      </c>
      <c r="G35" s="672">
        <v>105701</v>
      </c>
      <c r="H35" s="674"/>
      <c r="I35" s="681">
        <v>110</v>
      </c>
      <c r="J35" s="672">
        <v>4962.2</v>
      </c>
      <c r="K35" s="878"/>
      <c r="L35" s="880"/>
    </row>
    <row r="36" spans="1:12" ht="15" thickBot="1" x14ac:dyDescent="0.35">
      <c r="A36" s="178">
        <v>250</v>
      </c>
      <c r="B36" s="438">
        <v>13165</v>
      </c>
      <c r="C36" s="45" t="s">
        <v>6711</v>
      </c>
      <c r="D36" s="45">
        <v>250</v>
      </c>
      <c r="E36" s="45">
        <v>12848.5</v>
      </c>
      <c r="F36" s="45" t="s">
        <v>6712</v>
      </c>
      <c r="G36" s="45">
        <v>105821</v>
      </c>
      <c r="H36" s="45"/>
      <c r="I36" s="683">
        <v>123</v>
      </c>
      <c r="J36" s="45">
        <v>6639.7</v>
      </c>
      <c r="K36" s="52">
        <f t="shared" ref="K36" si="15">+A36-D36</f>
        <v>0</v>
      </c>
      <c r="L36" s="31">
        <f t="shared" ref="L36" si="16">((+B36/A36)-(E36/D36))/(B36/A36)</f>
        <v>2.4041017850360773E-2</v>
      </c>
    </row>
    <row r="37" spans="1:12" x14ac:dyDescent="0.3">
      <c r="A37" s="871">
        <v>401</v>
      </c>
      <c r="B37" s="1001">
        <v>19139</v>
      </c>
      <c r="C37" s="873" t="s">
        <v>6864</v>
      </c>
      <c r="D37" s="873">
        <f>+I37+I38</f>
        <v>401</v>
      </c>
      <c r="E37" s="873">
        <f>+J37+J38</f>
        <v>18659.300000000003</v>
      </c>
      <c r="F37" s="697" t="s">
        <v>6865</v>
      </c>
      <c r="G37" s="697">
        <v>105941</v>
      </c>
      <c r="H37" s="697"/>
      <c r="I37" s="552">
        <v>301</v>
      </c>
      <c r="J37" s="697">
        <v>13380.2</v>
      </c>
      <c r="K37" s="877">
        <f>+A37-D37</f>
        <v>0</v>
      </c>
      <c r="L37" s="879">
        <f>((+B37/A37)-(E37/D37))/(B37/A37)</f>
        <v>2.5064005433930517E-2</v>
      </c>
    </row>
    <row r="38" spans="1:12" ht="15" thickBot="1" x14ac:dyDescent="0.35">
      <c r="A38" s="872"/>
      <c r="B38" s="1002"/>
      <c r="C38" s="874"/>
      <c r="D38" s="874"/>
      <c r="E38" s="874"/>
      <c r="F38" s="698" t="s">
        <v>6865</v>
      </c>
      <c r="G38" s="698">
        <v>105941</v>
      </c>
      <c r="H38" s="698"/>
      <c r="I38" s="553">
        <v>100</v>
      </c>
      <c r="J38" s="698">
        <v>5279.1</v>
      </c>
      <c r="K38" s="878"/>
      <c r="L38" s="880"/>
    </row>
    <row r="39" spans="1:12" x14ac:dyDescent="0.3">
      <c r="A39" s="871">
        <v>603</v>
      </c>
      <c r="B39" s="1001">
        <v>26321.75</v>
      </c>
      <c r="C39" s="873" t="s">
        <v>6866</v>
      </c>
      <c r="D39" s="873">
        <v>603</v>
      </c>
      <c r="E39" s="873">
        <v>25979.4</v>
      </c>
      <c r="F39" s="697" t="s">
        <v>6867</v>
      </c>
      <c r="G39" s="697">
        <v>106021</v>
      </c>
      <c r="H39" s="697"/>
      <c r="I39" s="552">
        <v>201</v>
      </c>
      <c r="J39" s="697">
        <v>8623.7000000000007</v>
      </c>
      <c r="K39" s="877">
        <f>+A39-D39</f>
        <v>0</v>
      </c>
      <c r="L39" s="879">
        <f>((+B39/A39)-(E39/D39))/(B39/A39)</f>
        <v>1.300635406080515E-2</v>
      </c>
    </row>
    <row r="40" spans="1:12" ht="15" thickBot="1" x14ac:dyDescent="0.35">
      <c r="A40" s="872"/>
      <c r="B40" s="1002"/>
      <c r="C40" s="874"/>
      <c r="D40" s="874"/>
      <c r="E40" s="874"/>
      <c r="F40" s="698" t="s">
        <v>6867</v>
      </c>
      <c r="G40" s="698">
        <v>106021</v>
      </c>
      <c r="H40" s="698"/>
      <c r="I40" s="553">
        <v>121</v>
      </c>
      <c r="J40" s="698">
        <v>5267</v>
      </c>
      <c r="K40" s="878"/>
      <c r="L40" s="880"/>
    </row>
    <row r="41" spans="1:12" x14ac:dyDescent="0.3">
      <c r="A41" s="871">
        <v>376</v>
      </c>
      <c r="B41" s="1001">
        <v>18445.75</v>
      </c>
      <c r="C41" s="873" t="s">
        <v>7035</v>
      </c>
      <c r="D41" s="873">
        <f>+I41+I42+I43</f>
        <v>376</v>
      </c>
      <c r="E41" s="873">
        <f>+J41+J42+J43</f>
        <v>18430.400000000001</v>
      </c>
      <c r="F41" s="748" t="s">
        <v>7036</v>
      </c>
      <c r="G41" s="748">
        <v>106381</v>
      </c>
      <c r="H41" s="748"/>
      <c r="I41" s="758">
        <v>76</v>
      </c>
      <c r="J41" s="748">
        <v>3665.4</v>
      </c>
      <c r="K41" s="877">
        <f>+A41-D41</f>
        <v>0</v>
      </c>
      <c r="L41" s="879">
        <f>((+B41/A41)-(E41/D41))/(B41/A41)</f>
        <v>8.3217001206238193E-4</v>
      </c>
    </row>
    <row r="42" spans="1:12" x14ac:dyDescent="0.3">
      <c r="A42" s="875"/>
      <c r="B42" s="1011"/>
      <c r="C42" s="881"/>
      <c r="D42" s="881"/>
      <c r="E42" s="881"/>
      <c r="F42" s="50" t="s">
        <v>7036</v>
      </c>
      <c r="G42" s="50">
        <v>106381</v>
      </c>
      <c r="H42" s="50"/>
      <c r="I42" s="50">
        <v>100</v>
      </c>
      <c r="J42" s="50">
        <v>5203.5</v>
      </c>
      <c r="K42" s="886"/>
      <c r="L42" s="885"/>
    </row>
    <row r="43" spans="1:12" ht="15" thickBot="1" x14ac:dyDescent="0.35">
      <c r="A43" s="872"/>
      <c r="B43" s="1002"/>
      <c r="C43" s="874"/>
      <c r="D43" s="874"/>
      <c r="E43" s="874"/>
      <c r="F43" s="749" t="s">
        <v>7036</v>
      </c>
      <c r="G43" s="749">
        <v>106381</v>
      </c>
      <c r="H43" s="749"/>
      <c r="I43" s="749">
        <v>200</v>
      </c>
      <c r="J43" s="749">
        <v>9561.5</v>
      </c>
      <c r="K43" s="878"/>
      <c r="L43" s="880"/>
    </row>
    <row r="44" spans="1:12" ht="15" thickBot="1" x14ac:dyDescent="0.35">
      <c r="A44" s="178">
        <v>200</v>
      </c>
      <c r="B44" s="438">
        <v>9776.25</v>
      </c>
      <c r="C44" s="45" t="s">
        <v>7037</v>
      </c>
      <c r="D44" s="45">
        <f>+I44</f>
        <v>200</v>
      </c>
      <c r="E44" s="45">
        <f>+J44</f>
        <v>9660.1</v>
      </c>
      <c r="F44" s="45" t="s">
        <v>7038</v>
      </c>
      <c r="G44" s="45">
        <v>106591</v>
      </c>
      <c r="H44" s="14"/>
      <c r="I44" s="45">
        <v>200</v>
      </c>
      <c r="J44" s="45">
        <v>9660.1</v>
      </c>
      <c r="K44" s="52">
        <f t="shared" ref="K44" si="17">+A44-D44</f>
        <v>0</v>
      </c>
      <c r="L44" s="31">
        <f t="shared" ref="L44" si="18">((+B44/A44)-(E44/D44))/(B44/A44)</f>
        <v>1.188083365298559E-2</v>
      </c>
    </row>
    <row r="45" spans="1:12" x14ac:dyDescent="0.3">
      <c r="A45" s="1017">
        <v>703</v>
      </c>
      <c r="B45" s="1001">
        <v>35451</v>
      </c>
      <c r="C45" s="873" t="s">
        <v>7190</v>
      </c>
      <c r="D45" s="873">
        <v>703</v>
      </c>
      <c r="E45" s="873">
        <v>35241.9</v>
      </c>
      <c r="F45" s="803" t="s">
        <v>7191</v>
      </c>
      <c r="G45" s="803">
        <v>106661</v>
      </c>
      <c r="H45" s="803"/>
      <c r="I45" s="803">
        <v>362</v>
      </c>
      <c r="J45" s="803">
        <v>18049.3</v>
      </c>
      <c r="K45" s="877">
        <f>+A45-D45</f>
        <v>0</v>
      </c>
      <c r="L45" s="879">
        <f>((+B45/A45)-(E45/D45))/(B45/A45)</f>
        <v>5.8982821359058763E-3</v>
      </c>
    </row>
    <row r="46" spans="1:12" ht="15" thickBot="1" x14ac:dyDescent="0.35">
      <c r="A46" s="1018"/>
      <c r="B46" s="1002"/>
      <c r="C46" s="874"/>
      <c r="D46" s="874"/>
      <c r="E46" s="874"/>
      <c r="F46" s="804" t="s">
        <v>7191</v>
      </c>
      <c r="G46" s="804">
        <v>106661</v>
      </c>
      <c r="H46" s="807"/>
      <c r="I46" s="804">
        <v>222</v>
      </c>
      <c r="J46" s="804">
        <v>11574.3</v>
      </c>
      <c r="K46" s="878"/>
      <c r="L46" s="880"/>
    </row>
    <row r="47" spans="1:12" ht="15" thickBot="1" x14ac:dyDescent="0.35">
      <c r="A47" s="178">
        <v>201</v>
      </c>
      <c r="B47" s="438">
        <v>8983</v>
      </c>
      <c r="C47" s="45" t="s">
        <v>7357</v>
      </c>
      <c r="D47" s="45">
        <f>+I47</f>
        <v>201</v>
      </c>
      <c r="E47" s="45">
        <f>+J47</f>
        <v>8941.7000000000007</v>
      </c>
      <c r="F47" s="45" t="s">
        <v>7358</v>
      </c>
      <c r="G47" s="45">
        <v>106981</v>
      </c>
      <c r="H47" s="14"/>
      <c r="I47" s="45">
        <v>201</v>
      </c>
      <c r="J47" s="45">
        <v>8941.7000000000007</v>
      </c>
      <c r="K47" s="52">
        <f t="shared" ref="K47" si="19">+A47-D47</f>
        <v>0</v>
      </c>
      <c r="L47" s="31">
        <f t="shared" ref="L47" si="20">((+B47/A47)-(E47/D47))/(B47/A47)</f>
        <v>4.5975731938105091E-3</v>
      </c>
    </row>
    <row r="49" spans="1:5" x14ac:dyDescent="0.3">
      <c r="A49" s="439">
        <f>SUM(A5:A23)</f>
        <v>3356</v>
      </c>
      <c r="B49" s="439">
        <f>SUM(B5:B23)</f>
        <v>153654.19200000001</v>
      </c>
      <c r="C49" s="156"/>
      <c r="D49" s="439">
        <f>SUM(D5:D23)</f>
        <v>3353</v>
      </c>
      <c r="E49" s="439">
        <f>SUM(E5:E23)</f>
        <v>147115.79999999999</v>
      </c>
    </row>
  </sheetData>
  <mergeCells count="103">
    <mergeCell ref="K45:K46"/>
    <mergeCell ref="L45:L46"/>
    <mergeCell ref="A45:A46"/>
    <mergeCell ref="B45:B46"/>
    <mergeCell ref="C45:C46"/>
    <mergeCell ref="D45:D46"/>
    <mergeCell ref="E45:E46"/>
    <mergeCell ref="K37:K38"/>
    <mergeCell ref="L37:L38"/>
    <mergeCell ref="K39:K40"/>
    <mergeCell ref="L39:L40"/>
    <mergeCell ref="A39:A40"/>
    <mergeCell ref="B39:B40"/>
    <mergeCell ref="C39:C40"/>
    <mergeCell ref="D39:D40"/>
    <mergeCell ref="E39:E40"/>
    <mergeCell ref="A37:A38"/>
    <mergeCell ref="B37:B38"/>
    <mergeCell ref="C37:C38"/>
    <mergeCell ref="D37:D38"/>
    <mergeCell ref="E37:E38"/>
    <mergeCell ref="B24:B25"/>
    <mergeCell ref="C24:C25"/>
    <mergeCell ref="D24:D25"/>
    <mergeCell ref="E24:E25"/>
    <mergeCell ref="K32:K33"/>
    <mergeCell ref="L32:L33"/>
    <mergeCell ref="K34:K35"/>
    <mergeCell ref="L34:L35"/>
    <mergeCell ref="A34:A35"/>
    <mergeCell ref="B34:B35"/>
    <mergeCell ref="C34:C35"/>
    <mergeCell ref="D34:D35"/>
    <mergeCell ref="E34:E35"/>
    <mergeCell ref="A32:A33"/>
    <mergeCell ref="B32:B33"/>
    <mergeCell ref="C32:C33"/>
    <mergeCell ref="D32:D33"/>
    <mergeCell ref="E32:E33"/>
    <mergeCell ref="D7:D8"/>
    <mergeCell ref="E7:E8"/>
    <mergeCell ref="K16:K17"/>
    <mergeCell ref="L16:L17"/>
    <mergeCell ref="K18:K19"/>
    <mergeCell ref="L18:L19"/>
    <mergeCell ref="A18:A19"/>
    <mergeCell ref="B18:B19"/>
    <mergeCell ref="C18:C19"/>
    <mergeCell ref="D18:D19"/>
    <mergeCell ref="E18:E19"/>
    <mergeCell ref="A16:A17"/>
    <mergeCell ref="B16:B17"/>
    <mergeCell ref="C16:C17"/>
    <mergeCell ref="D16:D17"/>
    <mergeCell ref="E16:E17"/>
    <mergeCell ref="A3:C3"/>
    <mergeCell ref="D3:E3"/>
    <mergeCell ref="G3:G4"/>
    <mergeCell ref="K3:K4"/>
    <mergeCell ref="L3:L4"/>
    <mergeCell ref="K11:K12"/>
    <mergeCell ref="L11:L12"/>
    <mergeCell ref="A11:A12"/>
    <mergeCell ref="B11:B12"/>
    <mergeCell ref="C11:C12"/>
    <mergeCell ref="D11:D12"/>
    <mergeCell ref="E11:E12"/>
    <mergeCell ref="L5:L6"/>
    <mergeCell ref="K7:K8"/>
    <mergeCell ref="L7:L8"/>
    <mergeCell ref="A5:A6"/>
    <mergeCell ref="B5:B6"/>
    <mergeCell ref="C5:C6"/>
    <mergeCell ref="D5:D6"/>
    <mergeCell ref="E5:E6"/>
    <mergeCell ref="K5:K6"/>
    <mergeCell ref="A7:A8"/>
    <mergeCell ref="B7:B8"/>
    <mergeCell ref="C7:C8"/>
    <mergeCell ref="K20:K21"/>
    <mergeCell ref="L20:L21"/>
    <mergeCell ref="A20:A21"/>
    <mergeCell ref="B20:B21"/>
    <mergeCell ref="C20:C21"/>
    <mergeCell ref="D20:D21"/>
    <mergeCell ref="E20:E21"/>
    <mergeCell ref="K41:K43"/>
    <mergeCell ref="L41:L43"/>
    <mergeCell ref="A41:A43"/>
    <mergeCell ref="B41:B43"/>
    <mergeCell ref="C41:C43"/>
    <mergeCell ref="D41:D43"/>
    <mergeCell ref="E41:E43"/>
    <mergeCell ref="K24:K25"/>
    <mergeCell ref="L24:L25"/>
    <mergeCell ref="K26:K28"/>
    <mergeCell ref="L26:L28"/>
    <mergeCell ref="A26:A28"/>
    <mergeCell ref="B26:B28"/>
    <mergeCell ref="C26:C28"/>
    <mergeCell ref="D26:D28"/>
    <mergeCell ref="E26:E28"/>
    <mergeCell ref="A24:A25"/>
  </mergeCells>
  <phoneticPr fontId="15" type="noConversion"/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1574D-6E1E-4198-8C13-ABD5C33383CC}">
  <dimension ref="A1:L11"/>
  <sheetViews>
    <sheetView zoomScale="80" zoomScaleNormal="80" workbookViewId="0">
      <selection activeCell="F24" sqref="F24"/>
    </sheetView>
  </sheetViews>
  <sheetFormatPr baseColWidth="10" defaultColWidth="8.88671875" defaultRowHeight="14.4" x14ac:dyDescent="0.3"/>
  <cols>
    <col min="3" max="3" width="10.6640625" bestFit="1" customWidth="1"/>
    <col min="4" max="4" width="12.5546875" customWidth="1"/>
    <col min="5" max="5" width="10.5546875" customWidth="1"/>
    <col min="7" max="7" width="10.33203125" customWidth="1"/>
    <col min="8" max="8" width="13.109375" hidden="1" customWidth="1"/>
    <col min="9" max="10" width="0" hidden="1" customWidth="1"/>
    <col min="11" max="11" width="10" customWidth="1"/>
    <col min="12" max="12" width="12" bestFit="1" customWidth="1"/>
  </cols>
  <sheetData>
    <row r="1" spans="1:12" x14ac:dyDescent="0.3">
      <c r="A1" s="1019" t="s">
        <v>6150</v>
      </c>
      <c r="B1" s="1019"/>
      <c r="C1" s="1019"/>
      <c r="D1" s="1019"/>
      <c r="E1" s="1019"/>
      <c r="F1" s="1019"/>
      <c r="G1" s="1019"/>
      <c r="H1" s="1019"/>
      <c r="I1" s="1019"/>
    </row>
    <row r="2" spans="1:12" x14ac:dyDescent="0.3">
      <c r="A2" s="1019"/>
      <c r="B2" s="1019"/>
      <c r="C2" s="1019"/>
      <c r="D2" s="1019"/>
      <c r="E2" s="1019"/>
      <c r="F2" s="1019"/>
      <c r="G2" s="1019"/>
      <c r="H2" s="1019"/>
      <c r="I2" s="1019"/>
    </row>
    <row r="3" spans="1:12" ht="15" thickBot="1" x14ac:dyDescent="0.35">
      <c r="A3" s="1020"/>
      <c r="B3" s="1020"/>
      <c r="C3" s="1020"/>
      <c r="D3" s="1020"/>
      <c r="E3" s="1020"/>
      <c r="F3" s="1020"/>
      <c r="G3" s="1020"/>
      <c r="H3" s="1020"/>
      <c r="I3" s="1020"/>
    </row>
    <row r="4" spans="1:12" x14ac:dyDescent="0.3">
      <c r="A4" s="1021" t="s">
        <v>1</v>
      </c>
      <c r="B4" s="1022"/>
      <c r="C4" s="1023"/>
      <c r="D4" s="1021" t="s">
        <v>2</v>
      </c>
      <c r="E4" s="1023"/>
      <c r="F4" s="4"/>
      <c r="G4" s="1024" t="s">
        <v>3</v>
      </c>
      <c r="H4" s="4" t="s">
        <v>4</v>
      </c>
      <c r="I4" s="5"/>
      <c r="J4" s="5"/>
      <c r="K4" s="915" t="s">
        <v>91</v>
      </c>
      <c r="L4" s="984" t="s">
        <v>92</v>
      </c>
    </row>
    <row r="5" spans="1:12" ht="15" thickBot="1" x14ac:dyDescent="0.35">
      <c r="A5" s="540" t="s">
        <v>5</v>
      </c>
      <c r="B5" s="541" t="s">
        <v>6</v>
      </c>
      <c r="C5" s="542" t="s">
        <v>4</v>
      </c>
      <c r="D5" s="541" t="s">
        <v>7</v>
      </c>
      <c r="E5" s="542" t="s">
        <v>6</v>
      </c>
      <c r="F5" s="6" t="s">
        <v>8</v>
      </c>
      <c r="G5" s="1025"/>
      <c r="H5" s="7" t="s">
        <v>9</v>
      </c>
      <c r="I5" s="6" t="s">
        <v>5</v>
      </c>
      <c r="J5" s="6" t="s">
        <v>10</v>
      </c>
      <c r="K5" s="923"/>
      <c r="L5" s="1010"/>
    </row>
    <row r="6" spans="1:12" ht="15" thickBot="1" x14ac:dyDescent="0.35">
      <c r="A6" s="543">
        <v>176</v>
      </c>
      <c r="B6" s="438">
        <v>5869</v>
      </c>
      <c r="C6" s="45" t="s">
        <v>6151</v>
      </c>
      <c r="D6" s="544">
        <f>+I6</f>
        <v>176</v>
      </c>
      <c r="E6" s="544">
        <f>+J6</f>
        <v>5652.9</v>
      </c>
      <c r="F6" s="545">
        <v>10395</v>
      </c>
      <c r="G6" s="545">
        <v>103951</v>
      </c>
      <c r="H6" s="14"/>
      <c r="I6" s="545">
        <v>176</v>
      </c>
      <c r="J6" s="545">
        <v>5652.9</v>
      </c>
      <c r="K6" s="52">
        <f t="shared" ref="K6" si="0">+A6-D6</f>
        <v>0</v>
      </c>
      <c r="L6" s="31">
        <f t="shared" ref="L6" si="1">((+B6/A6)-(E6/D6))/(B6/A6)</f>
        <v>3.682058272278068E-2</v>
      </c>
    </row>
    <row r="7" spans="1:12" ht="15" thickBot="1" x14ac:dyDescent="0.35">
      <c r="A7" s="540">
        <v>164</v>
      </c>
      <c r="B7" s="774">
        <v>5499.5</v>
      </c>
      <c r="C7" s="50" t="s">
        <v>7039</v>
      </c>
      <c r="D7" s="196">
        <f t="shared" ref="D7:E7" si="2">+I7</f>
        <v>164</v>
      </c>
      <c r="E7" s="196">
        <f t="shared" si="2"/>
        <v>5308.1</v>
      </c>
      <c r="F7" s="333" t="s">
        <v>7040</v>
      </c>
      <c r="G7" s="333">
        <v>105471</v>
      </c>
      <c r="I7" s="333">
        <v>164</v>
      </c>
      <c r="J7" s="333">
        <v>5308.1</v>
      </c>
      <c r="K7" s="52">
        <f t="shared" ref="K7" si="3">+A7-D7</f>
        <v>0</v>
      </c>
      <c r="L7" s="31">
        <f t="shared" ref="L7" si="4">((+B7/A7)-(E7/D7))/(B7/A7)</f>
        <v>3.4803163923993012E-2</v>
      </c>
    </row>
    <row r="8" spans="1:12" ht="15" thickBot="1" x14ac:dyDescent="0.35">
      <c r="A8" s="714">
        <v>135</v>
      </c>
      <c r="B8" s="706">
        <v>4570.25</v>
      </c>
      <c r="C8" s="706" t="s">
        <v>6818</v>
      </c>
      <c r="D8" s="706">
        <f>+I8</f>
        <v>135</v>
      </c>
      <c r="E8" s="706">
        <f>+J8</f>
        <v>4458.7</v>
      </c>
      <c r="F8" s="706" t="s">
        <v>6819</v>
      </c>
      <c r="G8" s="706">
        <v>105731</v>
      </c>
      <c r="H8" s="706"/>
      <c r="I8" s="706">
        <v>135</v>
      </c>
      <c r="J8" s="706">
        <v>4458.7</v>
      </c>
      <c r="K8" s="715">
        <f t="shared" ref="K8:K9" si="5">+A8-D8</f>
        <v>0</v>
      </c>
      <c r="L8" s="713">
        <f t="shared" ref="L8:L9" si="6">((+B8/A8)-(E8/D8))/(B8/A8)</f>
        <v>2.4407855150155765E-2</v>
      </c>
    </row>
    <row r="9" spans="1:12" ht="15" thickBot="1" x14ac:dyDescent="0.35">
      <c r="A9" s="178">
        <v>136</v>
      </c>
      <c r="B9" s="45">
        <v>6057.9</v>
      </c>
      <c r="C9" s="45" t="s">
        <v>6868</v>
      </c>
      <c r="D9" s="45">
        <f t="shared" ref="D9:E11" si="7">+I9</f>
        <v>136</v>
      </c>
      <c r="E9" s="45">
        <f t="shared" si="7"/>
        <v>6428.7</v>
      </c>
      <c r="F9" s="45" t="s">
        <v>6869</v>
      </c>
      <c r="G9" s="45">
        <v>105741</v>
      </c>
      <c r="H9" s="45"/>
      <c r="I9" s="554">
        <v>136</v>
      </c>
      <c r="J9" s="45">
        <v>6428.7</v>
      </c>
      <c r="K9" s="715">
        <f t="shared" si="5"/>
        <v>0</v>
      </c>
      <c r="L9" s="713">
        <f t="shared" si="6"/>
        <v>-6.1209329965829749E-2</v>
      </c>
    </row>
    <row r="10" spans="1:12" ht="15" thickBot="1" x14ac:dyDescent="0.35">
      <c r="A10" s="178">
        <v>130</v>
      </c>
      <c r="B10" s="45">
        <v>6846.91</v>
      </c>
      <c r="C10" s="45" t="s">
        <v>7192</v>
      </c>
      <c r="D10" s="45">
        <f t="shared" si="7"/>
        <v>130</v>
      </c>
      <c r="E10" s="45">
        <f t="shared" si="7"/>
        <v>6757.2000000000007</v>
      </c>
      <c r="F10" s="45" t="s">
        <v>6714</v>
      </c>
      <c r="G10" s="45">
        <v>105871</v>
      </c>
      <c r="H10" s="45"/>
      <c r="I10" s="554">
        <v>130</v>
      </c>
      <c r="J10" s="45">
        <v>6757.2000000000007</v>
      </c>
      <c r="K10" s="715">
        <f t="shared" ref="K10" si="8">+A10-D10</f>
        <v>0</v>
      </c>
      <c r="L10" s="713">
        <f t="shared" ref="L10" si="9">((+B10/A10)-(E10/D10))/(B10/A10)</f>
        <v>1.3102260727831831E-2</v>
      </c>
    </row>
    <row r="11" spans="1:12" ht="15" thickBot="1" x14ac:dyDescent="0.35">
      <c r="A11" s="178">
        <v>173</v>
      </c>
      <c r="B11" s="45">
        <v>9293.25</v>
      </c>
      <c r="C11" s="45" t="s">
        <v>7239</v>
      </c>
      <c r="D11" s="45">
        <f t="shared" si="7"/>
        <v>172</v>
      </c>
      <c r="E11" s="45">
        <f t="shared" si="7"/>
        <v>8871.7000000000007</v>
      </c>
      <c r="F11" s="45" t="s">
        <v>7240</v>
      </c>
      <c r="G11" s="45">
        <v>106771</v>
      </c>
      <c r="H11" s="14"/>
      <c r="I11" s="45">
        <v>172</v>
      </c>
      <c r="J11" s="45">
        <v>8871.7000000000007</v>
      </c>
      <c r="K11" s="715">
        <f t="shared" ref="K11" si="10">+A11-D11</f>
        <v>1</v>
      </c>
      <c r="L11" s="713">
        <f t="shared" ref="L11" si="11">((+B11/A11)-(E11/D11))/(B11/A11)</f>
        <v>3.9810652768106733E-2</v>
      </c>
    </row>
  </sheetData>
  <mergeCells count="6">
    <mergeCell ref="L4:L5"/>
    <mergeCell ref="A1:I3"/>
    <mergeCell ref="A4:C4"/>
    <mergeCell ref="D4:E4"/>
    <mergeCell ref="G4:G5"/>
    <mergeCell ref="K4:K5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DB06D-D1F1-45D7-96BE-7EFED0DBA858}">
  <dimension ref="A1:L12"/>
  <sheetViews>
    <sheetView zoomScale="80" zoomScaleNormal="80" workbookViewId="0">
      <selection activeCell="F29" sqref="F29"/>
    </sheetView>
  </sheetViews>
  <sheetFormatPr baseColWidth="10" defaultColWidth="8.88671875" defaultRowHeight="14.4" x14ac:dyDescent="0.3"/>
  <cols>
    <col min="3" max="3" width="9.5546875" customWidth="1"/>
    <col min="4" max="4" width="14.88671875" customWidth="1"/>
    <col min="5" max="5" width="10.6640625" customWidth="1"/>
    <col min="6" max="7" width="11.109375" customWidth="1"/>
    <col min="8" max="8" width="13.109375" hidden="1" customWidth="1"/>
    <col min="9" max="10" width="0" hidden="1" customWidth="1"/>
    <col min="12" max="12" width="12" bestFit="1" customWidth="1"/>
  </cols>
  <sheetData>
    <row r="1" spans="1:12" x14ac:dyDescent="0.3">
      <c r="A1" s="1019" t="s">
        <v>6152</v>
      </c>
      <c r="B1" s="1019"/>
      <c r="C1" s="1019"/>
      <c r="D1" s="1019"/>
      <c r="E1" s="1019"/>
      <c r="F1" s="1019"/>
      <c r="G1" s="1019"/>
      <c r="H1" s="1019"/>
      <c r="I1" s="1019"/>
    </row>
    <row r="2" spans="1:12" x14ac:dyDescent="0.3">
      <c r="A2" s="1019"/>
      <c r="B2" s="1019"/>
      <c r="C2" s="1019"/>
      <c r="D2" s="1019"/>
      <c r="E2" s="1019"/>
      <c r="F2" s="1019"/>
      <c r="G2" s="1019"/>
      <c r="H2" s="1019"/>
      <c r="I2" s="1019"/>
    </row>
    <row r="3" spans="1:12" ht="15" thickBot="1" x14ac:dyDescent="0.35">
      <c r="A3" s="1020"/>
      <c r="B3" s="1020"/>
      <c r="C3" s="1020"/>
      <c r="D3" s="1020"/>
      <c r="E3" s="1020"/>
      <c r="F3" s="1020"/>
      <c r="G3" s="1020"/>
      <c r="H3" s="1020"/>
      <c r="I3" s="1020"/>
    </row>
    <row r="4" spans="1:12" x14ac:dyDescent="0.3">
      <c r="A4" s="1026" t="s">
        <v>1</v>
      </c>
      <c r="B4" s="1027"/>
      <c r="C4" s="1028"/>
      <c r="D4" s="1026" t="s">
        <v>2</v>
      </c>
      <c r="E4" s="1028"/>
      <c r="F4" s="284"/>
      <c r="G4" s="1029" t="s">
        <v>3</v>
      </c>
      <c r="H4" s="284" t="s">
        <v>4</v>
      </c>
      <c r="I4" s="18"/>
      <c r="J4" s="18"/>
      <c r="K4" s="915" t="s">
        <v>91</v>
      </c>
      <c r="L4" s="984" t="s">
        <v>92</v>
      </c>
    </row>
    <row r="5" spans="1:12" ht="15" thickBot="1" x14ac:dyDescent="0.35">
      <c r="A5" s="546" t="s">
        <v>5</v>
      </c>
      <c r="B5" s="547" t="s">
        <v>6</v>
      </c>
      <c r="C5" s="548" t="s">
        <v>4</v>
      </c>
      <c r="D5" s="547" t="s">
        <v>7</v>
      </c>
      <c r="E5" s="548" t="s">
        <v>6</v>
      </c>
      <c r="F5" s="549" t="s">
        <v>8</v>
      </c>
      <c r="G5" s="1030"/>
      <c r="H5" s="550" t="s">
        <v>9</v>
      </c>
      <c r="I5" s="549" t="s">
        <v>5</v>
      </c>
      <c r="J5" s="549" t="s">
        <v>10</v>
      </c>
      <c r="K5" s="923"/>
      <c r="L5" s="1010"/>
    </row>
    <row r="6" spans="1:12" ht="15" thickBot="1" x14ac:dyDescent="0.35">
      <c r="A6" s="543">
        <v>111</v>
      </c>
      <c r="B6" s="438">
        <v>5052</v>
      </c>
      <c r="C6" s="45" t="s">
        <v>6153</v>
      </c>
      <c r="D6" s="544">
        <f>+I6</f>
        <v>111</v>
      </c>
      <c r="E6" s="544">
        <f>+J6</f>
        <v>4782.8999999999996</v>
      </c>
      <c r="F6" s="545" t="s">
        <v>6154</v>
      </c>
      <c r="G6" s="545">
        <v>104221</v>
      </c>
      <c r="H6" s="14"/>
      <c r="I6" s="545">
        <v>111</v>
      </c>
      <c r="J6" s="545">
        <v>4782.8999999999996</v>
      </c>
      <c r="K6" s="52">
        <f t="shared" ref="K6" si="0">+A6-D6</f>
        <v>0</v>
      </c>
      <c r="L6" s="31">
        <f t="shared" ref="L6" si="1">((+B6/A6)-(E6/D6))/(B6/A6)</f>
        <v>5.3266033254156922E-2</v>
      </c>
    </row>
    <row r="7" spans="1:12" x14ac:dyDescent="0.3">
      <c r="A7" s="871">
        <v>221</v>
      </c>
      <c r="B7" s="873">
        <v>10515.8</v>
      </c>
      <c r="C7" s="873" t="s">
        <v>6870</v>
      </c>
      <c r="D7" s="873">
        <f>+I7+I8</f>
        <v>221</v>
      </c>
      <c r="E7" s="873">
        <f>+J7+J8</f>
        <v>10308.9</v>
      </c>
      <c r="F7" s="245" t="s">
        <v>6871</v>
      </c>
      <c r="G7" s="245">
        <v>105461</v>
      </c>
      <c r="H7" s="40"/>
      <c r="I7" s="245">
        <v>47</v>
      </c>
      <c r="J7" s="245">
        <v>2189.6999999999998</v>
      </c>
      <c r="K7" s="877">
        <f>+A7-D7</f>
        <v>0</v>
      </c>
      <c r="L7" s="879">
        <f>((+B7/A7)-(E7/D7))/(B7/A7)</f>
        <v>1.9675155480324814E-2</v>
      </c>
    </row>
    <row r="8" spans="1:12" ht="15" thickBot="1" x14ac:dyDescent="0.35">
      <c r="A8" s="875"/>
      <c r="B8" s="881"/>
      <c r="C8" s="881"/>
      <c r="D8" s="881"/>
      <c r="E8" s="881"/>
      <c r="F8" s="50" t="s">
        <v>6871</v>
      </c>
      <c r="G8" s="50">
        <v>105461</v>
      </c>
      <c r="I8" s="50">
        <v>174</v>
      </c>
      <c r="J8" s="50">
        <v>8119.2</v>
      </c>
      <c r="K8" s="878"/>
      <c r="L8" s="880"/>
    </row>
    <row r="9" spans="1:12" x14ac:dyDescent="0.3">
      <c r="A9" s="871">
        <v>201</v>
      </c>
      <c r="B9" s="873">
        <v>8618</v>
      </c>
      <c r="C9" s="873" t="s">
        <v>6872</v>
      </c>
      <c r="D9" s="873">
        <f>+I9+I10</f>
        <v>201</v>
      </c>
      <c r="E9" s="873">
        <f>+J9+J10</f>
        <v>8432.2000000000007</v>
      </c>
      <c r="F9" s="873" t="s">
        <v>6873</v>
      </c>
      <c r="G9" s="873">
        <v>105721</v>
      </c>
      <c r="H9" s="691"/>
      <c r="I9" s="691">
        <v>110</v>
      </c>
      <c r="J9" s="691">
        <v>4607.2</v>
      </c>
      <c r="K9" s="877">
        <f>+A9-D9</f>
        <v>0</v>
      </c>
      <c r="L9" s="879">
        <f>((+B9/A9)-(E9/D9))/(B9/A9)</f>
        <v>2.1559526572290457E-2</v>
      </c>
    </row>
    <row r="10" spans="1:12" ht="15" thickBot="1" x14ac:dyDescent="0.35">
      <c r="A10" s="872"/>
      <c r="B10" s="874"/>
      <c r="C10" s="874"/>
      <c r="D10" s="874"/>
      <c r="E10" s="874"/>
      <c r="F10" s="874"/>
      <c r="G10" s="874"/>
      <c r="H10" s="693"/>
      <c r="I10" s="693">
        <v>91</v>
      </c>
      <c r="J10" s="693">
        <v>3825</v>
      </c>
      <c r="K10" s="878"/>
      <c r="L10" s="880"/>
    </row>
    <row r="11" spans="1:12" x14ac:dyDescent="0.3">
      <c r="A11" s="871">
        <v>345</v>
      </c>
      <c r="B11" s="873">
        <v>17857</v>
      </c>
      <c r="C11" s="873" t="s">
        <v>6874</v>
      </c>
      <c r="D11" s="873">
        <v>345</v>
      </c>
      <c r="E11" s="873">
        <v>17463.5</v>
      </c>
      <c r="F11" s="38" t="s">
        <v>6875</v>
      </c>
      <c r="G11" s="38">
        <v>105861</v>
      </c>
      <c r="H11" s="38"/>
      <c r="I11" s="691">
        <v>100</v>
      </c>
      <c r="J11" s="691">
        <v>5020.8999999999996</v>
      </c>
      <c r="K11" s="877">
        <f>+A11-D11</f>
        <v>0</v>
      </c>
      <c r="L11" s="879">
        <f>((+B11/A11)-(E11/D11))/(B11/A11)</f>
        <v>2.2036176289410299E-2</v>
      </c>
    </row>
    <row r="12" spans="1:12" ht="15" thickBot="1" x14ac:dyDescent="0.35">
      <c r="A12" s="872"/>
      <c r="B12" s="874"/>
      <c r="C12" s="874"/>
      <c r="D12" s="874"/>
      <c r="E12" s="874"/>
      <c r="F12" s="82" t="s">
        <v>6875</v>
      </c>
      <c r="G12" s="82">
        <v>105861</v>
      </c>
      <c r="H12" s="82"/>
      <c r="I12" s="693">
        <v>84</v>
      </c>
      <c r="J12" s="693">
        <v>4269.7000000000007</v>
      </c>
      <c r="K12" s="878"/>
      <c r="L12" s="880"/>
    </row>
  </sheetData>
  <mergeCells count="29">
    <mergeCell ref="K7:K8"/>
    <mergeCell ref="L7:L8"/>
    <mergeCell ref="K9:K10"/>
    <mergeCell ref="L9:L10"/>
    <mergeCell ref="K11:K12"/>
    <mergeCell ref="L11:L12"/>
    <mergeCell ref="F9:F10"/>
    <mergeCell ref="G9:G10"/>
    <mergeCell ref="A11:A12"/>
    <mergeCell ref="B11:B12"/>
    <mergeCell ref="C11:C12"/>
    <mergeCell ref="D11:D12"/>
    <mergeCell ref="E11:E12"/>
    <mergeCell ref="A9:A10"/>
    <mergeCell ref="B9:B10"/>
    <mergeCell ref="C9:C10"/>
    <mergeCell ref="D9:D10"/>
    <mergeCell ref="E9:E10"/>
    <mergeCell ref="A7:A8"/>
    <mergeCell ref="B7:B8"/>
    <mergeCell ref="C7:C8"/>
    <mergeCell ref="D7:D8"/>
    <mergeCell ref="E7:E8"/>
    <mergeCell ref="L4:L5"/>
    <mergeCell ref="A1:I3"/>
    <mergeCell ref="A4:C4"/>
    <mergeCell ref="D4:E4"/>
    <mergeCell ref="G4:G5"/>
    <mergeCell ref="K4:K5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18"/>
  <sheetViews>
    <sheetView zoomScale="80" zoomScaleNormal="80" workbookViewId="0">
      <selection activeCell="F46" sqref="F46"/>
    </sheetView>
  </sheetViews>
  <sheetFormatPr baseColWidth="10" defaultColWidth="8.88671875" defaultRowHeight="14.4" x14ac:dyDescent="0.3"/>
  <cols>
    <col min="1" max="1" width="11" customWidth="1"/>
    <col min="2" max="2" width="12.33203125" bestFit="1" customWidth="1"/>
    <col min="3" max="3" width="9.5546875" bestFit="1" customWidth="1"/>
    <col min="4" max="4" width="10.6640625" customWidth="1"/>
    <col min="5" max="5" width="12.33203125" bestFit="1" customWidth="1"/>
    <col min="8" max="8" width="13.109375" hidden="1" customWidth="1"/>
    <col min="9" max="9" width="6.33203125" hidden="1" customWidth="1"/>
    <col min="10" max="10" width="8.6640625" hidden="1" customWidth="1"/>
    <col min="12" max="12" width="12" bestFit="1" customWidth="1"/>
  </cols>
  <sheetData>
    <row r="1" spans="1:12" ht="23.4" x14ac:dyDescent="0.3">
      <c r="A1" s="1" t="s">
        <v>246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ht="24" thickBot="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67" t="s">
        <v>4</v>
      </c>
      <c r="I3" s="68"/>
      <c r="J3" s="68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94" t="s">
        <v>4</v>
      </c>
      <c r="D4" s="70" t="s">
        <v>7</v>
      </c>
      <c r="E4" s="71" t="s">
        <v>6</v>
      </c>
      <c r="F4" s="72" t="s">
        <v>8</v>
      </c>
      <c r="G4" s="923"/>
      <c r="H4" s="73" t="s">
        <v>9</v>
      </c>
      <c r="I4" s="72" t="s">
        <v>5</v>
      </c>
      <c r="J4" s="72" t="s">
        <v>10</v>
      </c>
      <c r="K4" s="916"/>
      <c r="L4" s="985"/>
    </row>
    <row r="5" spans="1:12" x14ac:dyDescent="0.3">
      <c r="A5" s="891">
        <v>408</v>
      </c>
      <c r="B5" s="894">
        <v>22143.24</v>
      </c>
      <c r="C5" s="894" t="s">
        <v>247</v>
      </c>
      <c r="D5" s="905">
        <f>+I5+I6</f>
        <v>410</v>
      </c>
      <c r="E5" s="905">
        <f>+J5+J6</f>
        <v>20936.2</v>
      </c>
      <c r="F5" s="63" t="s">
        <v>248</v>
      </c>
      <c r="G5" s="63">
        <v>17111</v>
      </c>
      <c r="H5" s="40"/>
      <c r="I5" s="39">
        <v>247</v>
      </c>
      <c r="J5" s="41">
        <v>12498.2</v>
      </c>
      <c r="K5" s="877">
        <f>+A5-D5</f>
        <v>-2</v>
      </c>
      <c r="L5" s="879">
        <f>((+B5/A5)-(E5/D5))/(B5/A5)</f>
        <v>5.9122685066776572E-2</v>
      </c>
    </row>
    <row r="6" spans="1:12" ht="15" thickBot="1" x14ac:dyDescent="0.35">
      <c r="A6" s="893"/>
      <c r="B6" s="896"/>
      <c r="C6" s="896"/>
      <c r="D6" s="907"/>
      <c r="E6" s="907"/>
      <c r="F6" s="64" t="s">
        <v>248</v>
      </c>
      <c r="G6" s="64">
        <v>17111</v>
      </c>
      <c r="H6" s="43"/>
      <c r="I6" s="42">
        <v>163</v>
      </c>
      <c r="J6" s="44">
        <v>8438</v>
      </c>
      <c r="K6" s="878"/>
      <c r="L6" s="880"/>
    </row>
    <row r="7" spans="1:12" ht="15" thickBot="1" x14ac:dyDescent="0.35">
      <c r="A7" s="23">
        <v>496</v>
      </c>
      <c r="B7" s="24">
        <v>21495.5</v>
      </c>
      <c r="C7" s="24" t="s">
        <v>249</v>
      </c>
      <c r="D7" s="29">
        <f>+I7</f>
        <v>496</v>
      </c>
      <c r="E7" s="29">
        <f>+J7</f>
        <v>20794.5</v>
      </c>
      <c r="F7" s="63" t="s">
        <v>250</v>
      </c>
      <c r="G7" s="63">
        <v>17291</v>
      </c>
      <c r="H7" s="40"/>
      <c r="I7" s="39">
        <v>496</v>
      </c>
      <c r="J7" s="41">
        <v>20794.5</v>
      </c>
      <c r="K7" s="18">
        <f>+A7-D7</f>
        <v>0</v>
      </c>
      <c r="L7" s="32">
        <f t="shared" ref="L7" si="0">(+B7-E7)/B7</f>
        <v>3.2611476820729922E-2</v>
      </c>
    </row>
    <row r="8" spans="1:12" x14ac:dyDescent="0.3">
      <c r="A8" s="891">
        <v>500</v>
      </c>
      <c r="B8" s="894">
        <v>20900.5</v>
      </c>
      <c r="C8" s="894" t="s">
        <v>251</v>
      </c>
      <c r="D8" s="905">
        <f>+I8+I9+I10</f>
        <v>501</v>
      </c>
      <c r="E8" s="905">
        <f>+J8+J9+J10</f>
        <v>20210.300000000003</v>
      </c>
      <c r="F8" s="63" t="s">
        <v>252</v>
      </c>
      <c r="G8" s="63">
        <v>17321</v>
      </c>
      <c r="H8" s="40"/>
      <c r="I8" s="39">
        <v>151</v>
      </c>
      <c r="J8" s="39">
        <v>5966.8</v>
      </c>
      <c r="K8" s="877">
        <f>+A8-D8</f>
        <v>-1</v>
      </c>
      <c r="L8" s="879">
        <f>((+B8/A8)-(E8/D8))/(B8/A8)</f>
        <v>3.4953226963932847E-2</v>
      </c>
    </row>
    <row r="9" spans="1:12" x14ac:dyDescent="0.3">
      <c r="A9" s="892"/>
      <c r="B9" s="895"/>
      <c r="C9" s="895"/>
      <c r="D9" s="906"/>
      <c r="E9" s="906"/>
      <c r="F9" s="66" t="s">
        <v>252</v>
      </c>
      <c r="G9" s="66">
        <v>17321</v>
      </c>
      <c r="I9" s="50">
        <v>150</v>
      </c>
      <c r="J9" s="50">
        <v>5964.6</v>
      </c>
      <c r="K9" s="886"/>
      <c r="L9" s="885"/>
    </row>
    <row r="10" spans="1:12" ht="15" thickBot="1" x14ac:dyDescent="0.35">
      <c r="A10" s="893"/>
      <c r="B10" s="896"/>
      <c r="C10" s="896"/>
      <c r="D10" s="907"/>
      <c r="E10" s="907"/>
      <c r="F10" s="64" t="s">
        <v>252</v>
      </c>
      <c r="G10" s="64">
        <v>17321</v>
      </c>
      <c r="H10" s="43"/>
      <c r="I10" s="42">
        <v>200</v>
      </c>
      <c r="J10" s="42">
        <v>8278.9</v>
      </c>
      <c r="K10" s="878"/>
      <c r="L10" s="880"/>
    </row>
    <row r="11" spans="1:12" ht="15" thickBot="1" x14ac:dyDescent="0.35">
      <c r="A11" s="21">
        <v>101</v>
      </c>
      <c r="B11" s="22">
        <v>4001.5</v>
      </c>
      <c r="C11" s="22" t="s">
        <v>539</v>
      </c>
      <c r="D11" s="28">
        <f t="shared" ref="D11:E13" si="1">+I11</f>
        <v>101</v>
      </c>
      <c r="E11" s="28">
        <f t="shared" si="1"/>
        <v>3908.2</v>
      </c>
      <c r="F11" s="64" t="s">
        <v>540</v>
      </c>
      <c r="G11" s="64">
        <v>17381</v>
      </c>
      <c r="H11" s="43"/>
      <c r="I11" s="42">
        <v>101</v>
      </c>
      <c r="J11" s="42">
        <v>3908.2</v>
      </c>
      <c r="K11" s="52">
        <f>+A11-D11</f>
        <v>0</v>
      </c>
      <c r="L11" s="53">
        <f t="shared" ref="L11:L15" si="2">(+B11-E11)/B11</f>
        <v>2.3316256403848601E-2</v>
      </c>
    </row>
    <row r="12" spans="1:12" ht="15" thickBot="1" x14ac:dyDescent="0.35">
      <c r="A12" s="19">
        <v>496</v>
      </c>
      <c r="B12" s="20">
        <v>20777.25</v>
      </c>
      <c r="C12" s="20" t="s">
        <v>455</v>
      </c>
      <c r="D12" s="27">
        <f t="shared" si="1"/>
        <v>496</v>
      </c>
      <c r="E12" s="27">
        <f t="shared" si="1"/>
        <v>20310.5</v>
      </c>
      <c r="F12" s="65" t="s">
        <v>456</v>
      </c>
      <c r="G12" s="65">
        <v>17401</v>
      </c>
      <c r="H12" s="14"/>
      <c r="I12" s="45">
        <v>496</v>
      </c>
      <c r="J12" s="45">
        <v>20310.5</v>
      </c>
      <c r="K12" s="52">
        <f>+A12-D12</f>
        <v>0</v>
      </c>
      <c r="L12" s="53">
        <f t="shared" si="2"/>
        <v>2.2464474364990553E-2</v>
      </c>
    </row>
    <row r="13" spans="1:12" ht="15" thickBot="1" x14ac:dyDescent="0.35">
      <c r="A13" s="19">
        <v>480</v>
      </c>
      <c r="B13" s="20">
        <v>22227</v>
      </c>
      <c r="C13" s="20" t="s">
        <v>535</v>
      </c>
      <c r="D13" s="27">
        <f t="shared" si="1"/>
        <v>480</v>
      </c>
      <c r="E13" s="27">
        <f t="shared" si="1"/>
        <v>21535.9</v>
      </c>
      <c r="F13" s="65" t="s">
        <v>536</v>
      </c>
      <c r="G13" s="65">
        <v>17421</v>
      </c>
      <c r="H13" s="14"/>
      <c r="I13" s="45">
        <v>480</v>
      </c>
      <c r="J13" s="45">
        <v>21535.9</v>
      </c>
      <c r="K13" s="52">
        <f t="shared" ref="K13:K14" si="3">+A13-D13</f>
        <v>0</v>
      </c>
      <c r="L13" s="53">
        <f t="shared" si="2"/>
        <v>3.1092815044765309E-2</v>
      </c>
    </row>
    <row r="14" spans="1:12" ht="15" thickBot="1" x14ac:dyDescent="0.35">
      <c r="A14" s="19">
        <v>651</v>
      </c>
      <c r="B14" s="20">
        <v>29617.35</v>
      </c>
      <c r="C14" s="20" t="s">
        <v>537</v>
      </c>
      <c r="D14" s="27">
        <v>651</v>
      </c>
      <c r="E14" s="27">
        <v>28866.9</v>
      </c>
      <c r="F14" s="65" t="s">
        <v>538</v>
      </c>
      <c r="G14" s="65">
        <v>17431</v>
      </c>
      <c r="H14" s="14"/>
      <c r="I14" s="45">
        <v>291</v>
      </c>
      <c r="J14" s="45">
        <v>12532.5</v>
      </c>
      <c r="K14" s="52">
        <f t="shared" si="3"/>
        <v>0</v>
      </c>
      <c r="L14" s="53">
        <f t="shared" si="2"/>
        <v>2.5338188595535965E-2</v>
      </c>
    </row>
    <row r="15" spans="1:12" ht="15" thickBot="1" x14ac:dyDescent="0.35">
      <c r="A15" s="175">
        <v>250</v>
      </c>
      <c r="B15" s="8">
        <v>12469.25</v>
      </c>
      <c r="C15" s="8" t="s">
        <v>904</v>
      </c>
      <c r="D15" s="8">
        <f>+I15</f>
        <v>250</v>
      </c>
      <c r="E15" s="8">
        <f>+J15</f>
        <v>12101.9</v>
      </c>
      <c r="F15" s="45" t="s">
        <v>905</v>
      </c>
      <c r="G15" s="45">
        <v>17571</v>
      </c>
      <c r="H15" s="14"/>
      <c r="I15" s="45">
        <v>250</v>
      </c>
      <c r="J15" s="46">
        <v>12101.9</v>
      </c>
      <c r="K15" s="52">
        <f t="shared" ref="K15:K16" si="4">+A15-D15</f>
        <v>0</v>
      </c>
      <c r="L15" s="53">
        <f t="shared" si="2"/>
        <v>2.9460472762997E-2</v>
      </c>
    </row>
    <row r="16" spans="1:12" ht="15" thickBot="1" x14ac:dyDescent="0.35">
      <c r="A16" s="182">
        <v>252</v>
      </c>
      <c r="B16" s="183">
        <v>12686.75</v>
      </c>
      <c r="C16" s="183" t="s">
        <v>906</v>
      </c>
      <c r="D16" s="8">
        <f>+I16</f>
        <v>151</v>
      </c>
      <c r="E16" s="8">
        <f>+J16</f>
        <v>7375.3</v>
      </c>
      <c r="F16" s="45" t="s">
        <v>907</v>
      </c>
      <c r="G16" s="45">
        <v>17651</v>
      </c>
      <c r="H16" s="14"/>
      <c r="I16" s="45">
        <v>151</v>
      </c>
      <c r="J16" s="46">
        <v>7375.3</v>
      </c>
      <c r="K16" s="52">
        <f t="shared" si="4"/>
        <v>101</v>
      </c>
      <c r="L16" s="31">
        <f t="shared" ref="L16" si="5">((+B16/A16)-(E16/D16))/(B16/A16)</f>
        <v>2.9818694140011738E-2</v>
      </c>
    </row>
    <row r="18" spans="1:5" x14ac:dyDescent="0.3">
      <c r="A18" s="124">
        <f t="shared" ref="A18:B18" si="6">SUM(A5:A17)</f>
        <v>3634</v>
      </c>
      <c r="B18" s="124">
        <f t="shared" si="6"/>
        <v>166318.34</v>
      </c>
      <c r="D18" s="124">
        <f>SUM(D5:D17)</f>
        <v>3536</v>
      </c>
      <c r="E18" s="124">
        <f>SUM(E5:E17)</f>
        <v>156039.69999999998</v>
      </c>
    </row>
  </sheetData>
  <mergeCells count="19">
    <mergeCell ref="K8:K10"/>
    <mergeCell ref="L8:L10"/>
    <mergeCell ref="A8:A10"/>
    <mergeCell ref="B8:B10"/>
    <mergeCell ref="C8:C10"/>
    <mergeCell ref="D8:D10"/>
    <mergeCell ref="E8:E10"/>
    <mergeCell ref="L3:L4"/>
    <mergeCell ref="L5:L6"/>
    <mergeCell ref="K5:K6"/>
    <mergeCell ref="A3:C3"/>
    <mergeCell ref="D3:E3"/>
    <mergeCell ref="G3:G4"/>
    <mergeCell ref="K3:K4"/>
    <mergeCell ref="A5:A6"/>
    <mergeCell ref="B5:B6"/>
    <mergeCell ref="C5:C6"/>
    <mergeCell ref="D5:D6"/>
    <mergeCell ref="E5:E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147"/>
  <sheetViews>
    <sheetView topLeftCell="A106" zoomScale="80" zoomScaleNormal="80" workbookViewId="0">
      <selection activeCell="E150" sqref="E150"/>
    </sheetView>
  </sheetViews>
  <sheetFormatPr baseColWidth="10" defaultColWidth="8.88671875" defaultRowHeight="14.4" x14ac:dyDescent="0.3"/>
  <cols>
    <col min="1" max="1" width="16.6640625" customWidth="1"/>
    <col min="2" max="2" width="13.88671875" bestFit="1" customWidth="1"/>
    <col min="3" max="3" width="10.6640625" customWidth="1"/>
    <col min="4" max="4" width="11.33203125" bestFit="1" customWidth="1"/>
    <col min="5" max="5" width="13.88671875" bestFit="1" customWidth="1"/>
    <col min="8" max="8" width="13.109375" hidden="1" customWidth="1"/>
    <col min="9" max="9" width="6.33203125" hidden="1" customWidth="1"/>
    <col min="10" max="10" width="14.44140625" hidden="1" customWidth="1"/>
    <col min="12" max="12" width="12" bestFit="1" customWidth="1"/>
  </cols>
  <sheetData>
    <row r="1" spans="1:12" ht="23.25" customHeight="1" x14ac:dyDescent="0.65">
      <c r="A1" s="104" t="s">
        <v>253</v>
      </c>
      <c r="D1" s="95"/>
      <c r="E1" s="95"/>
      <c r="F1" s="95"/>
      <c r="G1" s="95"/>
      <c r="H1" s="95"/>
      <c r="K1" s="50"/>
    </row>
    <row r="2" spans="1:12" ht="21.75" customHeight="1" thickBot="1" x14ac:dyDescent="0.35">
      <c r="D2" s="50"/>
      <c r="E2" s="50"/>
      <c r="F2" s="50"/>
      <c r="K2" s="50"/>
    </row>
    <row r="3" spans="1:12" ht="22.5" customHeight="1" x14ac:dyDescent="0.3">
      <c r="A3" s="920" t="s">
        <v>1</v>
      </c>
      <c r="B3" s="921"/>
      <c r="C3" s="922"/>
      <c r="D3" s="105"/>
      <c r="E3" s="105"/>
      <c r="F3" s="67"/>
      <c r="G3" s="915" t="s">
        <v>3</v>
      </c>
      <c r="H3" s="96" t="s">
        <v>4</v>
      </c>
      <c r="I3" s="98"/>
      <c r="J3" s="1037" t="s">
        <v>254</v>
      </c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94" t="s">
        <v>4</v>
      </c>
      <c r="D4" s="71" t="s">
        <v>7</v>
      </c>
      <c r="E4" s="71" t="s">
        <v>6</v>
      </c>
      <c r="F4" s="72" t="s">
        <v>8</v>
      </c>
      <c r="G4" s="916"/>
      <c r="H4" s="100" t="s">
        <v>9</v>
      </c>
      <c r="I4" s="99" t="s">
        <v>5</v>
      </c>
      <c r="J4" s="1038"/>
      <c r="K4" s="916"/>
      <c r="L4" s="985"/>
    </row>
    <row r="5" spans="1:12" ht="15" thickBot="1" x14ac:dyDescent="0.35">
      <c r="A5" s="180">
        <v>93</v>
      </c>
      <c r="B5" s="191">
        <v>4661.25</v>
      </c>
      <c r="C5" s="191" t="s">
        <v>1856</v>
      </c>
      <c r="D5" s="12">
        <f t="shared" ref="D5:E5" si="0">+I5</f>
        <v>56</v>
      </c>
      <c r="E5" s="12">
        <f t="shared" si="0"/>
        <v>2663.9</v>
      </c>
      <c r="F5" s="39" t="s">
        <v>1857</v>
      </c>
      <c r="G5" s="39">
        <v>14881</v>
      </c>
      <c r="H5" s="39"/>
      <c r="I5" s="39">
        <v>56</v>
      </c>
      <c r="J5" s="106">
        <v>2663.9</v>
      </c>
      <c r="K5" s="54">
        <f t="shared" ref="K5" si="1">+A5-D5</f>
        <v>37</v>
      </c>
      <c r="L5" s="31">
        <f>((+B5/A5)-(E5/D5))/(B5/A5)</f>
        <v>5.0903344443167332E-2</v>
      </c>
    </row>
    <row r="6" spans="1:12" ht="15" thickBot="1" x14ac:dyDescent="0.35">
      <c r="A6" s="23">
        <v>210</v>
      </c>
      <c r="B6" s="24">
        <v>8770.02</v>
      </c>
      <c r="C6" s="24" t="s">
        <v>255</v>
      </c>
      <c r="D6" s="29">
        <f t="shared" ref="D6:E8" si="2">+I6</f>
        <v>212</v>
      </c>
      <c r="E6" s="29">
        <f t="shared" si="2"/>
        <v>8771.1</v>
      </c>
      <c r="F6" s="29" t="s">
        <v>256</v>
      </c>
      <c r="G6" s="29">
        <v>16451</v>
      </c>
      <c r="H6" s="39"/>
      <c r="I6" s="78">
        <v>212</v>
      </c>
      <c r="J6" s="79">
        <v>8771.1</v>
      </c>
      <c r="K6" s="54">
        <f t="shared" ref="K6:K12" si="3">+A6-D6</f>
        <v>-2</v>
      </c>
      <c r="L6" s="31">
        <f>((+B6/A6)-(E6/D6))/(B6/A6)</f>
        <v>9.311977214999996E-3</v>
      </c>
    </row>
    <row r="7" spans="1:12" ht="15" thickBot="1" x14ac:dyDescent="0.35">
      <c r="A7" s="19">
        <v>250</v>
      </c>
      <c r="B7" s="20">
        <v>10371</v>
      </c>
      <c r="C7" s="20" t="s">
        <v>257</v>
      </c>
      <c r="D7" s="27">
        <f t="shared" si="2"/>
        <v>250</v>
      </c>
      <c r="E7" s="27">
        <f t="shared" si="2"/>
        <v>10241.1</v>
      </c>
      <c r="F7" s="65" t="s">
        <v>258</v>
      </c>
      <c r="G7" s="65">
        <v>16501</v>
      </c>
      <c r="H7" s="45"/>
      <c r="I7" s="8">
        <v>250</v>
      </c>
      <c r="J7" s="9">
        <v>10241.1</v>
      </c>
      <c r="K7" s="54">
        <f t="shared" si="3"/>
        <v>0</v>
      </c>
      <c r="L7" s="32">
        <f t="shared" ref="L7:L11" si="4">(+B7-E7)/B7</f>
        <v>1.252531096326291E-2</v>
      </c>
    </row>
    <row r="8" spans="1:12" ht="15" thickBot="1" x14ac:dyDescent="0.35">
      <c r="A8" s="21">
        <v>250</v>
      </c>
      <c r="B8" s="22">
        <v>10692.5</v>
      </c>
      <c r="C8" s="22" t="s">
        <v>259</v>
      </c>
      <c r="D8" s="28">
        <f t="shared" si="2"/>
        <v>250</v>
      </c>
      <c r="E8" s="28">
        <f t="shared" si="2"/>
        <v>10107.4</v>
      </c>
      <c r="F8" s="64" t="s">
        <v>260</v>
      </c>
      <c r="G8" s="64">
        <v>16661</v>
      </c>
      <c r="H8" s="42"/>
      <c r="I8" s="10">
        <v>250</v>
      </c>
      <c r="J8" s="11">
        <v>10107.4</v>
      </c>
      <c r="K8" s="55">
        <f t="shared" si="3"/>
        <v>0</v>
      </c>
      <c r="L8" s="32">
        <f t="shared" si="4"/>
        <v>5.4720598550385816E-2</v>
      </c>
    </row>
    <row r="9" spans="1:12" ht="15" thickBot="1" x14ac:dyDescent="0.35">
      <c r="A9" s="21">
        <v>286</v>
      </c>
      <c r="B9" s="22">
        <v>12074</v>
      </c>
      <c r="C9" s="22" t="s">
        <v>1854</v>
      </c>
      <c r="D9" s="28">
        <v>286</v>
      </c>
      <c r="E9" s="28">
        <v>11317.7</v>
      </c>
      <c r="F9" s="64" t="s">
        <v>1855</v>
      </c>
      <c r="G9" s="64">
        <v>17231</v>
      </c>
      <c r="H9" s="42"/>
      <c r="I9" s="10"/>
      <c r="J9" s="11"/>
      <c r="K9" s="55">
        <f t="shared" ref="K9" si="5">+A9-D9</f>
        <v>0</v>
      </c>
      <c r="L9" s="32">
        <f t="shared" ref="L9" si="6">(+B9-E9)/B9</f>
        <v>6.2638727844956041E-2</v>
      </c>
    </row>
    <row r="10" spans="1:12" ht="15" thickBot="1" x14ac:dyDescent="0.35">
      <c r="A10" s="163">
        <v>229</v>
      </c>
      <c r="B10" s="126">
        <v>10226</v>
      </c>
      <c r="C10" s="126" t="s">
        <v>565</v>
      </c>
      <c r="D10" s="28">
        <f>+I10</f>
        <v>229</v>
      </c>
      <c r="E10" s="28">
        <f>+J10</f>
        <v>10080.6</v>
      </c>
      <c r="F10" s="64" t="s">
        <v>566</v>
      </c>
      <c r="G10" s="64">
        <v>17281</v>
      </c>
      <c r="H10" s="42"/>
      <c r="I10" s="102">
        <v>229</v>
      </c>
      <c r="J10" s="103">
        <v>10080.6</v>
      </c>
      <c r="K10" s="55">
        <f>+A10-D10</f>
        <v>0</v>
      </c>
      <c r="L10" s="32">
        <f t="shared" si="4"/>
        <v>1.421865832192447E-2</v>
      </c>
    </row>
    <row r="11" spans="1:12" ht="15" thickBot="1" x14ac:dyDescent="0.35">
      <c r="A11" s="23">
        <v>250</v>
      </c>
      <c r="B11" s="24">
        <v>10623.25</v>
      </c>
      <c r="C11" s="24" t="s">
        <v>261</v>
      </c>
      <c r="D11" s="29">
        <f>+I11</f>
        <v>250</v>
      </c>
      <c r="E11" s="29">
        <f>+J11</f>
        <v>10143.299999999999</v>
      </c>
      <c r="F11" s="63" t="s">
        <v>262</v>
      </c>
      <c r="G11" s="63">
        <v>17301</v>
      </c>
      <c r="H11" s="39"/>
      <c r="I11" s="78">
        <v>250</v>
      </c>
      <c r="J11" s="79">
        <v>10143.299999999999</v>
      </c>
      <c r="K11" s="55">
        <f t="shared" si="3"/>
        <v>0</v>
      </c>
      <c r="L11" s="32">
        <f t="shared" si="4"/>
        <v>4.5179205986868497E-2</v>
      </c>
    </row>
    <row r="12" spans="1:12" x14ac:dyDescent="0.3">
      <c r="A12" s="891">
        <v>477</v>
      </c>
      <c r="B12" s="894">
        <v>20703.5</v>
      </c>
      <c r="C12" s="894" t="s">
        <v>263</v>
      </c>
      <c r="D12" s="905">
        <f>+I12+I14+I13</f>
        <v>476</v>
      </c>
      <c r="E12" s="905">
        <f>+J12+J14+J13</f>
        <v>19842</v>
      </c>
      <c r="F12" s="63" t="s">
        <v>264</v>
      </c>
      <c r="G12" s="63">
        <v>17311</v>
      </c>
      <c r="H12" s="39"/>
      <c r="I12" s="78">
        <v>226</v>
      </c>
      <c r="J12" s="79">
        <v>9543.2999999999993</v>
      </c>
      <c r="K12" s="877">
        <f t="shared" si="3"/>
        <v>1</v>
      </c>
      <c r="L12" s="879">
        <f>((+B12/A12)-(E12/D12))/(B12/A12)</f>
        <v>3.9597900164243825E-2</v>
      </c>
    </row>
    <row r="13" spans="1:12" x14ac:dyDescent="0.3">
      <c r="A13" s="892"/>
      <c r="B13" s="895"/>
      <c r="C13" s="895"/>
      <c r="D13" s="906"/>
      <c r="E13" s="906"/>
      <c r="F13" s="66" t="s">
        <v>264</v>
      </c>
      <c r="G13" s="66">
        <v>17311</v>
      </c>
      <c r="H13" s="50"/>
      <c r="I13" s="118">
        <v>150</v>
      </c>
      <c r="J13" s="119">
        <v>6142.5</v>
      </c>
      <c r="K13" s="886"/>
      <c r="L13" s="885"/>
    </row>
    <row r="14" spans="1:12" ht="15" thickBot="1" x14ac:dyDescent="0.35">
      <c r="A14" s="893"/>
      <c r="B14" s="896"/>
      <c r="C14" s="896"/>
      <c r="D14" s="907"/>
      <c r="E14" s="907"/>
      <c r="F14" s="64" t="s">
        <v>264</v>
      </c>
      <c r="G14" s="64">
        <v>17311</v>
      </c>
      <c r="H14" s="42"/>
      <c r="I14" s="102">
        <v>100</v>
      </c>
      <c r="J14" s="103">
        <v>4156.2</v>
      </c>
      <c r="K14" s="878"/>
      <c r="L14" s="880"/>
    </row>
    <row r="15" spans="1:12" ht="15" thickBot="1" x14ac:dyDescent="0.35">
      <c r="A15" s="23">
        <v>229</v>
      </c>
      <c r="B15" s="24">
        <v>9944.25</v>
      </c>
      <c r="C15" s="24" t="s">
        <v>369</v>
      </c>
      <c r="D15" s="29">
        <f>+I15</f>
        <v>229</v>
      </c>
      <c r="E15" s="29">
        <f>+J15</f>
        <v>9423.2000000000007</v>
      </c>
      <c r="F15" s="63" t="s">
        <v>370</v>
      </c>
      <c r="G15" s="63">
        <v>17331</v>
      </c>
      <c r="H15" s="39"/>
      <c r="I15" s="78">
        <v>229</v>
      </c>
      <c r="J15" s="79">
        <v>9423.2000000000007</v>
      </c>
      <c r="K15" s="141">
        <f t="shared" ref="K15" si="7">+A15-D15</f>
        <v>0</v>
      </c>
      <c r="L15" s="53">
        <f t="shared" ref="L15" si="8">(+B15-E15)/B15</f>
        <v>5.2397113910048448E-2</v>
      </c>
    </row>
    <row r="16" spans="1:12" x14ac:dyDescent="0.3">
      <c r="A16" s="891">
        <v>258</v>
      </c>
      <c r="B16" s="894">
        <v>10956.75</v>
      </c>
      <c r="C16" s="894" t="s">
        <v>371</v>
      </c>
      <c r="D16" s="1035">
        <f>+I16+I17</f>
        <v>258</v>
      </c>
      <c r="E16" s="1035">
        <f>+J16+J17</f>
        <v>10480.1</v>
      </c>
      <c r="F16" s="63" t="s">
        <v>372</v>
      </c>
      <c r="G16" s="63">
        <v>17341</v>
      </c>
      <c r="H16" s="39"/>
      <c r="I16" s="78">
        <v>200</v>
      </c>
      <c r="J16" s="79">
        <v>8120</v>
      </c>
      <c r="K16" s="1033">
        <f>+A16-D16</f>
        <v>0</v>
      </c>
      <c r="L16" s="879">
        <f>(+B16-E16)/B16</f>
        <v>4.3502863531612902E-2</v>
      </c>
    </row>
    <row r="17" spans="1:12" ht="15" thickBot="1" x14ac:dyDescent="0.35">
      <c r="A17" s="893"/>
      <c r="B17" s="896"/>
      <c r="C17" s="896"/>
      <c r="D17" s="1036"/>
      <c r="E17" s="1036"/>
      <c r="F17" s="64" t="s">
        <v>372</v>
      </c>
      <c r="G17" s="64">
        <v>17341</v>
      </c>
      <c r="H17" s="42"/>
      <c r="I17" s="102">
        <v>58</v>
      </c>
      <c r="J17" s="103">
        <v>2360.1</v>
      </c>
      <c r="K17" s="1034"/>
      <c r="L17" s="880"/>
    </row>
    <row r="18" spans="1:12" ht="15" thickBot="1" x14ac:dyDescent="0.35">
      <c r="A18" s="19">
        <v>258</v>
      </c>
      <c r="B18" s="20">
        <v>11113</v>
      </c>
      <c r="C18" s="20" t="s">
        <v>373</v>
      </c>
      <c r="D18" s="27">
        <f t="shared" ref="D18:E22" si="9">+I18</f>
        <v>258</v>
      </c>
      <c r="E18" s="27">
        <f t="shared" si="9"/>
        <v>10694.599999999999</v>
      </c>
      <c r="F18" s="65" t="s">
        <v>374</v>
      </c>
      <c r="G18" s="65">
        <v>17361</v>
      </c>
      <c r="H18" s="45"/>
      <c r="I18" s="116">
        <f>192+66</f>
        <v>258</v>
      </c>
      <c r="J18" s="140">
        <f>7971.9+2722.7</f>
        <v>10694.599999999999</v>
      </c>
      <c r="K18" s="141">
        <f>+A18-D18</f>
        <v>0</v>
      </c>
      <c r="L18" s="53">
        <f t="shared" ref="L18:L21" si="10">(+B18-E18)/B18</f>
        <v>3.7649599568073559E-2</v>
      </c>
    </row>
    <row r="19" spans="1:12" ht="15" thickBot="1" x14ac:dyDescent="0.35">
      <c r="A19" s="19">
        <v>500</v>
      </c>
      <c r="B19" s="20">
        <v>21436.75</v>
      </c>
      <c r="C19" s="20" t="s">
        <v>457</v>
      </c>
      <c r="D19" s="27">
        <f t="shared" si="9"/>
        <v>499</v>
      </c>
      <c r="E19" s="27">
        <f t="shared" si="9"/>
        <v>20819.3</v>
      </c>
      <c r="F19" s="65" t="s">
        <v>458</v>
      </c>
      <c r="G19" s="65">
        <v>17371</v>
      </c>
      <c r="H19" s="45"/>
      <c r="I19" s="116">
        <v>499</v>
      </c>
      <c r="J19" s="140">
        <v>20819.3</v>
      </c>
      <c r="K19" s="141">
        <f>+A19-D19</f>
        <v>1</v>
      </c>
      <c r="L19" s="31">
        <f>((+B19/A19)-(E19/D19))/(B19/A19)</f>
        <v>2.6857054166878055E-2</v>
      </c>
    </row>
    <row r="20" spans="1:12" ht="15" thickBot="1" x14ac:dyDescent="0.35">
      <c r="A20" s="19">
        <v>250</v>
      </c>
      <c r="B20" s="20">
        <v>10668</v>
      </c>
      <c r="C20" s="20" t="s">
        <v>637</v>
      </c>
      <c r="D20" s="27">
        <f>+I20</f>
        <v>250</v>
      </c>
      <c r="E20" s="27">
        <f t="shared" si="9"/>
        <v>10263.1</v>
      </c>
      <c r="F20" s="65" t="s">
        <v>638</v>
      </c>
      <c r="G20" s="65">
        <v>17441</v>
      </c>
      <c r="H20" s="45"/>
      <c r="I20" s="116">
        <v>250</v>
      </c>
      <c r="J20" s="140">
        <v>10263.1</v>
      </c>
      <c r="K20" s="141">
        <f t="shared" ref="K20:K22" si="11">+A20-D20</f>
        <v>0</v>
      </c>
      <c r="L20" s="53">
        <f t="shared" si="10"/>
        <v>3.795463067116607E-2</v>
      </c>
    </row>
    <row r="21" spans="1:12" ht="15" thickBot="1" x14ac:dyDescent="0.35">
      <c r="A21" s="19">
        <v>250</v>
      </c>
      <c r="B21" s="20">
        <v>12053.25</v>
      </c>
      <c r="C21" s="20" t="s">
        <v>709</v>
      </c>
      <c r="D21" s="27">
        <f t="shared" si="9"/>
        <v>250</v>
      </c>
      <c r="E21" s="27">
        <f t="shared" si="9"/>
        <v>11674.1</v>
      </c>
      <c r="F21" s="65" t="s">
        <v>710</v>
      </c>
      <c r="G21" s="65">
        <v>17471</v>
      </c>
      <c r="H21" s="50"/>
      <c r="I21" s="118">
        <v>250</v>
      </c>
      <c r="J21" s="139">
        <v>11674.1</v>
      </c>
      <c r="K21" s="141">
        <f t="shared" si="11"/>
        <v>0</v>
      </c>
      <c r="L21" s="53">
        <f t="shared" si="10"/>
        <v>3.1456246240640459E-2</v>
      </c>
    </row>
    <row r="22" spans="1:12" ht="15" thickBot="1" x14ac:dyDescent="0.35">
      <c r="A22" s="19">
        <v>500</v>
      </c>
      <c r="B22" s="20">
        <v>25853.5</v>
      </c>
      <c r="C22" s="20" t="s">
        <v>639</v>
      </c>
      <c r="D22" s="27">
        <f t="shared" si="9"/>
        <v>502</v>
      </c>
      <c r="E22" s="27">
        <f t="shared" si="9"/>
        <v>24928.2</v>
      </c>
      <c r="F22" s="65" t="s">
        <v>640</v>
      </c>
      <c r="G22" s="169">
        <v>17481</v>
      </c>
      <c r="H22" s="50"/>
      <c r="I22" s="118">
        <v>502</v>
      </c>
      <c r="J22" s="139">
        <v>24928.2</v>
      </c>
      <c r="K22" s="141">
        <f t="shared" si="11"/>
        <v>-2</v>
      </c>
      <c r="L22" s="31">
        <f>((+B22/A22)-(E22/D22))/(B22/A22)</f>
        <v>3.9631598733192941E-2</v>
      </c>
    </row>
    <row r="23" spans="1:12" x14ac:dyDescent="0.3">
      <c r="A23" s="891">
        <v>267</v>
      </c>
      <c r="B23" s="894">
        <v>14314.5</v>
      </c>
      <c r="C23" s="894" t="s">
        <v>703</v>
      </c>
      <c r="D23" s="905">
        <f>+I23+I24</f>
        <v>266</v>
      </c>
      <c r="E23" s="905">
        <f>+J23+J24</f>
        <v>13574.3</v>
      </c>
      <c r="F23" s="63" t="s">
        <v>704</v>
      </c>
      <c r="G23" s="63">
        <v>17501</v>
      </c>
      <c r="H23" s="39"/>
      <c r="I23" s="78">
        <v>150</v>
      </c>
      <c r="J23" s="79">
        <v>7539.1</v>
      </c>
      <c r="K23" s="1031">
        <f>+A23-D23</f>
        <v>1</v>
      </c>
      <c r="L23" s="879">
        <f>((+B23/A23)-(E23/D23))/(B23/A23)</f>
        <v>4.8144804009394755E-2</v>
      </c>
    </row>
    <row r="24" spans="1:12" ht="15" thickBot="1" x14ac:dyDescent="0.35">
      <c r="A24" s="893"/>
      <c r="B24" s="896"/>
      <c r="C24" s="896"/>
      <c r="D24" s="907"/>
      <c r="E24" s="907"/>
      <c r="F24" s="64" t="s">
        <v>704</v>
      </c>
      <c r="G24" s="64">
        <v>17501</v>
      </c>
      <c r="H24" s="42"/>
      <c r="I24" s="102">
        <v>116</v>
      </c>
      <c r="J24" s="103">
        <v>6035.2</v>
      </c>
      <c r="K24" s="1032"/>
      <c r="L24" s="880"/>
    </row>
    <row r="25" spans="1:12" ht="15" thickBot="1" x14ac:dyDescent="0.35">
      <c r="A25" s="19">
        <v>199</v>
      </c>
      <c r="B25" s="20">
        <v>10062.75</v>
      </c>
      <c r="C25" s="20" t="s">
        <v>705</v>
      </c>
      <c r="D25" s="27">
        <v>199</v>
      </c>
      <c r="E25" s="27">
        <v>9633.6</v>
      </c>
      <c r="F25" s="65" t="s">
        <v>706</v>
      </c>
      <c r="G25" s="65">
        <v>17511</v>
      </c>
      <c r="H25" s="45"/>
      <c r="I25" s="116">
        <v>59</v>
      </c>
      <c r="J25" s="117">
        <v>2861.9</v>
      </c>
      <c r="K25" s="141">
        <f t="shared" ref="K25:K27" si="12">+A25-D25</f>
        <v>0</v>
      </c>
      <c r="L25" s="53">
        <f t="shared" ref="L25:L27" si="13">(+B25-E25)/B25</f>
        <v>4.2647387642543007E-2</v>
      </c>
    </row>
    <row r="26" spans="1:12" ht="15" thickBot="1" x14ac:dyDescent="0.35">
      <c r="A26" s="19">
        <f>+D26</f>
        <v>41</v>
      </c>
      <c r="B26" s="20">
        <v>2079.5</v>
      </c>
      <c r="C26" s="20" t="s">
        <v>707</v>
      </c>
      <c r="D26" s="27">
        <f>+I26</f>
        <v>41</v>
      </c>
      <c r="E26" s="27">
        <f>+J26</f>
        <v>1989.4</v>
      </c>
      <c r="F26" s="65" t="s">
        <v>708</v>
      </c>
      <c r="G26" s="65">
        <v>17531</v>
      </c>
      <c r="H26" s="45"/>
      <c r="I26" s="116">
        <v>41</v>
      </c>
      <c r="J26" s="117">
        <v>1989.4</v>
      </c>
      <c r="K26" s="141">
        <f t="shared" si="12"/>
        <v>0</v>
      </c>
      <c r="L26" s="53">
        <f t="shared" si="13"/>
        <v>4.3327723010338978E-2</v>
      </c>
    </row>
    <row r="27" spans="1:12" ht="15" thickBot="1" x14ac:dyDescent="0.35">
      <c r="A27" s="19">
        <v>400</v>
      </c>
      <c r="B27" s="20">
        <v>19409.5</v>
      </c>
      <c r="C27" s="20" t="s">
        <v>842</v>
      </c>
      <c r="D27" s="27">
        <v>400</v>
      </c>
      <c r="E27" s="27">
        <v>19284.3</v>
      </c>
      <c r="F27" s="65" t="s">
        <v>843</v>
      </c>
      <c r="G27" s="169">
        <v>17551</v>
      </c>
      <c r="H27" s="50"/>
      <c r="I27" s="118"/>
      <c r="J27" s="139"/>
      <c r="K27" s="141">
        <f t="shared" si="12"/>
        <v>0</v>
      </c>
      <c r="L27" s="53">
        <f t="shared" si="13"/>
        <v>6.4504495221412569E-3</v>
      </c>
    </row>
    <row r="28" spans="1:12" ht="15" thickBot="1" x14ac:dyDescent="0.35">
      <c r="A28" s="181">
        <v>386</v>
      </c>
      <c r="B28" s="15">
        <v>18545.75</v>
      </c>
      <c r="C28" s="15" t="s">
        <v>908</v>
      </c>
      <c r="D28" s="15">
        <f>+I28</f>
        <v>386</v>
      </c>
      <c r="E28" s="15">
        <f>+J28</f>
        <v>18197.900000000001</v>
      </c>
      <c r="F28" s="50" t="s">
        <v>909</v>
      </c>
      <c r="G28" s="50">
        <v>17561</v>
      </c>
      <c r="H28" s="50"/>
      <c r="I28" s="118">
        <v>386</v>
      </c>
      <c r="J28" s="119">
        <v>18197.900000000001</v>
      </c>
      <c r="K28" s="141">
        <f t="shared" ref="K28:K29" si="14">+A28-D28</f>
        <v>0</v>
      </c>
      <c r="L28" s="53">
        <f t="shared" ref="L28:L29" si="15">(+B28-E28)/B28</f>
        <v>1.8756318833155768E-2</v>
      </c>
    </row>
    <row r="29" spans="1:12" x14ac:dyDescent="0.3">
      <c r="A29" s="871">
        <v>300</v>
      </c>
      <c r="B29" s="873">
        <v>14129.5</v>
      </c>
      <c r="C29" s="873" t="s">
        <v>910</v>
      </c>
      <c r="D29" s="873">
        <f>+I29+I30</f>
        <v>300</v>
      </c>
      <c r="E29" s="873">
        <f>+J29+J30</f>
        <v>13920</v>
      </c>
      <c r="F29" s="39" t="s">
        <v>911</v>
      </c>
      <c r="G29" s="39">
        <v>17621</v>
      </c>
      <c r="H29" s="39"/>
      <c r="I29" s="78">
        <v>100</v>
      </c>
      <c r="J29" s="79">
        <v>4562</v>
      </c>
      <c r="K29" s="1033">
        <f t="shared" si="14"/>
        <v>0</v>
      </c>
      <c r="L29" s="879">
        <f t="shared" si="15"/>
        <v>1.4827134718142893E-2</v>
      </c>
    </row>
    <row r="30" spans="1:12" ht="15" thickBot="1" x14ac:dyDescent="0.35">
      <c r="A30" s="872"/>
      <c r="B30" s="874"/>
      <c r="C30" s="874"/>
      <c r="D30" s="874"/>
      <c r="E30" s="874"/>
      <c r="F30" s="42" t="s">
        <v>911</v>
      </c>
      <c r="G30" s="42">
        <v>17621</v>
      </c>
      <c r="H30" s="42"/>
      <c r="I30" s="102">
        <v>200</v>
      </c>
      <c r="J30" s="103">
        <v>9358</v>
      </c>
      <c r="K30" s="1034"/>
      <c r="L30" s="880"/>
    </row>
    <row r="31" spans="1:12" ht="15" thickBot="1" x14ac:dyDescent="0.35">
      <c r="A31" s="174">
        <v>300</v>
      </c>
      <c r="B31" s="12">
        <v>14377.5</v>
      </c>
      <c r="C31" s="12" t="s">
        <v>989</v>
      </c>
      <c r="D31" s="12">
        <f t="shared" ref="D31:E32" si="16">+I31</f>
        <v>301</v>
      </c>
      <c r="E31" s="12">
        <f t="shared" si="16"/>
        <v>14256.7</v>
      </c>
      <c r="F31" s="39" t="s">
        <v>990</v>
      </c>
      <c r="G31" s="39">
        <v>17631</v>
      </c>
      <c r="H31" s="39"/>
      <c r="I31" s="78">
        <v>301</v>
      </c>
      <c r="J31" s="79">
        <v>14256.7</v>
      </c>
      <c r="K31" s="141">
        <f t="shared" ref="K31:K32" si="17">+A31-D31</f>
        <v>-1</v>
      </c>
      <c r="L31" s="31">
        <f>((+B31/A31)-(E31/D31))/(B31/A31)</f>
        <v>1.1696362498851774E-2</v>
      </c>
    </row>
    <row r="32" spans="1:12" ht="15" thickBot="1" x14ac:dyDescent="0.35">
      <c r="A32" s="175">
        <v>206</v>
      </c>
      <c r="B32" s="8">
        <v>9919</v>
      </c>
      <c r="C32" s="8" t="s">
        <v>991</v>
      </c>
      <c r="D32" s="8">
        <f t="shared" si="16"/>
        <v>206</v>
      </c>
      <c r="E32" s="8">
        <f t="shared" si="16"/>
        <v>9553.7999999999993</v>
      </c>
      <c r="F32" s="45" t="s">
        <v>992</v>
      </c>
      <c r="G32" s="45">
        <v>17661</v>
      </c>
      <c r="H32" s="45"/>
      <c r="I32" s="116">
        <v>206</v>
      </c>
      <c r="J32" s="117">
        <v>9553.7999999999993</v>
      </c>
      <c r="K32" s="141">
        <f t="shared" si="17"/>
        <v>0</v>
      </c>
      <c r="L32" s="53">
        <f t="shared" ref="L32" si="18">(+B32-E32)/B32</f>
        <v>3.6818227643915791E-2</v>
      </c>
    </row>
    <row r="33" spans="1:12" x14ac:dyDescent="0.3">
      <c r="A33" s="871">
        <v>494</v>
      </c>
      <c r="B33" s="873">
        <v>19890</v>
      </c>
      <c r="C33" s="873" t="s">
        <v>993</v>
      </c>
      <c r="D33" s="873">
        <f>+I33+I34</f>
        <v>494</v>
      </c>
      <c r="E33" s="873">
        <f>+J33+J34</f>
        <v>19753.3</v>
      </c>
      <c r="F33" s="39" t="s">
        <v>994</v>
      </c>
      <c r="G33" s="39">
        <v>17701</v>
      </c>
      <c r="H33" s="39"/>
      <c r="I33" s="78">
        <v>401</v>
      </c>
      <c r="J33" s="79">
        <v>16063.3</v>
      </c>
      <c r="K33" s="1033">
        <f>+A33-D33</f>
        <v>0</v>
      </c>
      <c r="L33" s="879">
        <f>(+B33-E33)/B33</f>
        <v>6.8728004022122037E-3</v>
      </c>
    </row>
    <row r="34" spans="1:12" ht="15" thickBot="1" x14ac:dyDescent="0.35">
      <c r="A34" s="872"/>
      <c r="B34" s="874"/>
      <c r="C34" s="874"/>
      <c r="D34" s="874"/>
      <c r="E34" s="874"/>
      <c r="F34" s="42" t="s">
        <v>994</v>
      </c>
      <c r="G34" s="42">
        <v>17701</v>
      </c>
      <c r="H34" s="42"/>
      <c r="I34" s="102">
        <v>93</v>
      </c>
      <c r="J34" s="103">
        <v>3690</v>
      </c>
      <c r="K34" s="1034"/>
      <c r="L34" s="880"/>
    </row>
    <row r="35" spans="1:12" x14ac:dyDescent="0.3">
      <c r="A35" s="882">
        <v>866</v>
      </c>
      <c r="B35" s="982">
        <v>40476.75</v>
      </c>
      <c r="C35" s="982" t="s">
        <v>1069</v>
      </c>
      <c r="D35" s="873">
        <f>+I35+I36+I37</f>
        <v>866</v>
      </c>
      <c r="E35" s="873">
        <f>+J35+J36+J37</f>
        <v>39974.9</v>
      </c>
      <c r="F35" s="39" t="s">
        <v>1070</v>
      </c>
      <c r="G35" s="39">
        <v>17741</v>
      </c>
      <c r="H35" s="39"/>
      <c r="I35" s="78">
        <v>300</v>
      </c>
      <c r="J35" s="79">
        <v>13651.1</v>
      </c>
      <c r="K35" s="1033">
        <f t="shared" ref="K35" si="19">+A35-D35</f>
        <v>0</v>
      </c>
      <c r="L35" s="879">
        <f t="shared" ref="L35" si="20">(+B35-E35)/B35</f>
        <v>1.2398475668130434E-2</v>
      </c>
    </row>
    <row r="36" spans="1:12" x14ac:dyDescent="0.3">
      <c r="A36" s="883"/>
      <c r="B36" s="1005"/>
      <c r="C36" s="1005"/>
      <c r="D36" s="881"/>
      <c r="E36" s="881"/>
      <c r="F36" s="50" t="s">
        <v>1070</v>
      </c>
      <c r="G36" s="50">
        <v>17741</v>
      </c>
      <c r="H36" s="50"/>
      <c r="I36" s="118">
        <v>451</v>
      </c>
      <c r="J36" s="119">
        <v>20871.7</v>
      </c>
      <c r="K36" s="1039"/>
      <c r="L36" s="885"/>
    </row>
    <row r="37" spans="1:12" ht="15" thickBot="1" x14ac:dyDescent="0.35">
      <c r="A37" s="884"/>
      <c r="B37" s="983"/>
      <c r="C37" s="983"/>
      <c r="D37" s="874"/>
      <c r="E37" s="874"/>
      <c r="F37" s="42" t="s">
        <v>1070</v>
      </c>
      <c r="G37" s="42">
        <v>17741</v>
      </c>
      <c r="H37" s="42"/>
      <c r="I37" s="102">
        <v>115</v>
      </c>
      <c r="J37" s="103">
        <v>5452.1</v>
      </c>
      <c r="K37" s="1034"/>
      <c r="L37" s="880"/>
    </row>
    <row r="38" spans="1:12" ht="15" thickBot="1" x14ac:dyDescent="0.35">
      <c r="A38" s="175">
        <v>169</v>
      </c>
      <c r="B38" s="8">
        <v>7939.5</v>
      </c>
      <c r="C38" s="8" t="s">
        <v>1071</v>
      </c>
      <c r="D38" s="8">
        <f>+I38</f>
        <v>173</v>
      </c>
      <c r="E38" s="8">
        <f>+J38</f>
        <v>8046.7000000000007</v>
      </c>
      <c r="F38" s="45" t="s">
        <v>1072</v>
      </c>
      <c r="G38" s="45">
        <v>17761</v>
      </c>
      <c r="H38" s="45"/>
      <c r="I38" s="116">
        <v>173</v>
      </c>
      <c r="J38" s="117">
        <v>8046.7000000000007</v>
      </c>
      <c r="K38" s="141">
        <f t="shared" ref="K38:K45" si="21">+A38-D38</f>
        <v>-4</v>
      </c>
      <c r="L38" s="31">
        <f>((+B38/A38)-(E38/D38))/(B38/A38)</f>
        <v>9.9314650862173115E-3</v>
      </c>
    </row>
    <row r="39" spans="1:12" ht="15" thickBot="1" x14ac:dyDescent="0.35">
      <c r="A39" s="174">
        <v>69</v>
      </c>
      <c r="B39" s="12">
        <v>3166.25</v>
      </c>
      <c r="C39" s="12" t="s">
        <v>1136</v>
      </c>
      <c r="D39" s="12">
        <f t="shared" ref="D39:E39" si="22">+I39</f>
        <v>69</v>
      </c>
      <c r="E39" s="12">
        <f t="shared" si="22"/>
        <v>3116.4</v>
      </c>
      <c r="F39" s="39" t="s">
        <v>1137</v>
      </c>
      <c r="G39" s="39">
        <v>17781</v>
      </c>
      <c r="H39" s="39"/>
      <c r="I39" s="78">
        <v>69</v>
      </c>
      <c r="J39" s="79">
        <v>3116.4</v>
      </c>
      <c r="K39" s="141">
        <f t="shared" si="21"/>
        <v>0</v>
      </c>
      <c r="L39" s="53">
        <f t="shared" ref="L39:L40" si="23">(+B39-E39)/B39</f>
        <v>1.5744176865376994E-2</v>
      </c>
    </row>
    <row r="40" spans="1:12" ht="15" thickBot="1" x14ac:dyDescent="0.35">
      <c r="A40" s="175">
        <v>609</v>
      </c>
      <c r="B40" s="8">
        <v>28312</v>
      </c>
      <c r="C40" s="8" t="s">
        <v>1138</v>
      </c>
      <c r="D40" s="8">
        <v>609</v>
      </c>
      <c r="E40" s="8">
        <v>28255.4</v>
      </c>
      <c r="F40" s="45" t="s">
        <v>1139</v>
      </c>
      <c r="G40" s="45">
        <v>17791</v>
      </c>
      <c r="H40" s="45"/>
      <c r="I40" s="116">
        <v>351</v>
      </c>
      <c r="J40" s="117">
        <v>16371</v>
      </c>
      <c r="K40" s="141">
        <f t="shared" si="21"/>
        <v>0</v>
      </c>
      <c r="L40" s="53">
        <f t="shared" si="23"/>
        <v>1.9991523029103753E-3</v>
      </c>
    </row>
    <row r="41" spans="1:12" x14ac:dyDescent="0.3">
      <c r="A41" s="871">
        <v>597</v>
      </c>
      <c r="B41" s="873">
        <v>32012.75</v>
      </c>
      <c r="C41" s="873" t="s">
        <v>1320</v>
      </c>
      <c r="D41" s="873">
        <f>+I41+I42</f>
        <v>597</v>
      </c>
      <c r="E41" s="873">
        <f>+J41+J42</f>
        <v>29994.899999999998</v>
      </c>
      <c r="F41" s="39" t="s">
        <v>1321</v>
      </c>
      <c r="G41" s="39">
        <v>17821</v>
      </c>
      <c r="H41" s="39"/>
      <c r="I41" s="78">
        <v>177</v>
      </c>
      <c r="J41" s="79">
        <v>9302.5</v>
      </c>
      <c r="K41" s="1031">
        <f t="shared" si="21"/>
        <v>0</v>
      </c>
      <c r="L41" s="879">
        <f t="shared" ref="L41" si="24">(+B41-E41)/B41</f>
        <v>6.3032697909426783E-2</v>
      </c>
    </row>
    <row r="42" spans="1:12" ht="15" thickBot="1" x14ac:dyDescent="0.35">
      <c r="A42" s="872"/>
      <c r="B42" s="874"/>
      <c r="C42" s="874"/>
      <c r="D42" s="874"/>
      <c r="E42" s="874"/>
      <c r="F42" s="42" t="s">
        <v>1321</v>
      </c>
      <c r="G42" s="42">
        <v>17821</v>
      </c>
      <c r="H42" s="42"/>
      <c r="I42" s="102">
        <v>420</v>
      </c>
      <c r="J42" s="103">
        <v>20692.399999999998</v>
      </c>
      <c r="K42" s="1032"/>
      <c r="L42" s="880"/>
    </row>
    <row r="43" spans="1:12" ht="15" thickBot="1" x14ac:dyDescent="0.35">
      <c r="A43" s="175">
        <v>342</v>
      </c>
      <c r="B43" s="8">
        <v>16011.75</v>
      </c>
      <c r="C43" s="8" t="s">
        <v>1322</v>
      </c>
      <c r="D43" s="8">
        <v>341</v>
      </c>
      <c r="E43" s="8">
        <v>14889.5</v>
      </c>
      <c r="F43" s="45" t="s">
        <v>1323</v>
      </c>
      <c r="G43" s="45">
        <v>17871</v>
      </c>
      <c r="H43" s="45"/>
      <c r="I43" s="116">
        <v>222</v>
      </c>
      <c r="J43" s="117">
        <v>9921</v>
      </c>
      <c r="K43" s="141">
        <f t="shared" si="21"/>
        <v>1</v>
      </c>
      <c r="L43" s="31">
        <f>((+B43/A43)-(E43/D43))/(B43/A43)</f>
        <v>6.7362141997351896E-2</v>
      </c>
    </row>
    <row r="44" spans="1:12" ht="15" thickBot="1" x14ac:dyDescent="0.35">
      <c r="A44" s="175">
        <v>135</v>
      </c>
      <c r="B44" s="8">
        <v>5592.25</v>
      </c>
      <c r="C44" s="8" t="s">
        <v>1324</v>
      </c>
      <c r="D44" s="8">
        <f>+I44</f>
        <v>135</v>
      </c>
      <c r="E44" s="8">
        <f>+J44</f>
        <v>5611.8</v>
      </c>
      <c r="F44" s="45" t="s">
        <v>1325</v>
      </c>
      <c r="G44" s="45">
        <v>17881</v>
      </c>
      <c r="H44" s="45"/>
      <c r="I44" s="116">
        <v>135</v>
      </c>
      <c r="J44" s="117">
        <v>5611.8</v>
      </c>
      <c r="K44" s="141">
        <f t="shared" si="21"/>
        <v>0</v>
      </c>
      <c r="L44" s="53">
        <f t="shared" ref="L44" si="25">(+B44-E44)/B44</f>
        <v>-3.4959095176360466E-3</v>
      </c>
    </row>
    <row r="45" spans="1:12" x14ac:dyDescent="0.3">
      <c r="A45" s="871">
        <v>571</v>
      </c>
      <c r="B45" s="873">
        <v>29782</v>
      </c>
      <c r="C45" s="873" t="s">
        <v>1620</v>
      </c>
      <c r="D45" s="873">
        <v>572</v>
      </c>
      <c r="E45" s="873">
        <v>28005.5</v>
      </c>
      <c r="F45" s="39" t="s">
        <v>1621</v>
      </c>
      <c r="G45" s="39">
        <v>17891</v>
      </c>
      <c r="H45" s="39"/>
      <c r="I45" s="78">
        <v>165</v>
      </c>
      <c r="J45" s="79">
        <v>8128.8</v>
      </c>
      <c r="K45" s="1031">
        <f t="shared" si="21"/>
        <v>-1</v>
      </c>
      <c r="L45" s="879">
        <f>((+B45/A45)-(E45/D45))/(B45/A45)</f>
        <v>6.1294092550388299E-2</v>
      </c>
    </row>
    <row r="46" spans="1:12" ht="15" thickBot="1" x14ac:dyDescent="0.35">
      <c r="A46" s="872"/>
      <c r="B46" s="874"/>
      <c r="C46" s="874"/>
      <c r="D46" s="874"/>
      <c r="E46" s="874"/>
      <c r="F46" s="42" t="s">
        <v>1621</v>
      </c>
      <c r="G46" s="42">
        <v>17981</v>
      </c>
      <c r="H46" s="42"/>
      <c r="I46" s="102">
        <v>201</v>
      </c>
      <c r="J46" s="103">
        <v>9591.7999999999993</v>
      </c>
      <c r="K46" s="1032"/>
      <c r="L46" s="880"/>
    </row>
    <row r="47" spans="1:12" ht="15" thickBot="1" x14ac:dyDescent="0.35">
      <c r="A47" s="175">
        <v>300</v>
      </c>
      <c r="B47" s="8">
        <v>14707.75</v>
      </c>
      <c r="C47" s="8" t="s">
        <v>1715</v>
      </c>
      <c r="D47" s="8">
        <v>294</v>
      </c>
      <c r="E47" s="8">
        <v>13864.7</v>
      </c>
      <c r="F47" s="45" t="s">
        <v>1716</v>
      </c>
      <c r="G47" s="45">
        <v>17981</v>
      </c>
      <c r="H47" s="45"/>
      <c r="I47" s="116">
        <v>222</v>
      </c>
      <c r="J47" s="117">
        <v>9921</v>
      </c>
      <c r="K47" s="141">
        <f t="shared" ref="K47:K49" si="26">+A47-D47</f>
        <v>6</v>
      </c>
      <c r="L47" s="31">
        <f>((+B47/A47)-(E47/D47))/(B47/A47)</f>
        <v>3.8081755453792006E-2</v>
      </c>
    </row>
    <row r="48" spans="1:12" ht="15" thickBot="1" x14ac:dyDescent="0.35">
      <c r="A48" s="199">
        <v>127</v>
      </c>
      <c r="B48" s="10">
        <v>5196.1499999999996</v>
      </c>
      <c r="C48" s="10" t="s">
        <v>1932</v>
      </c>
      <c r="D48" s="10">
        <f>+I48</f>
        <v>69</v>
      </c>
      <c r="E48" s="10">
        <f>+J48</f>
        <v>2926.1</v>
      </c>
      <c r="F48" s="42" t="s">
        <v>1933</v>
      </c>
      <c r="G48" s="42">
        <v>18021</v>
      </c>
      <c r="H48" s="42"/>
      <c r="I48" s="102">
        <v>69</v>
      </c>
      <c r="J48" s="103">
        <v>2926.1</v>
      </c>
      <c r="K48" s="141">
        <f t="shared" ref="K48" si="27">+A48-D48</f>
        <v>58</v>
      </c>
      <c r="L48" s="31">
        <f>((+B48/A48)-(E48/D48))/(B48/A48)</f>
        <v>-3.6482836302853587E-2</v>
      </c>
    </row>
    <row r="49" spans="1:12" x14ac:dyDescent="0.3">
      <c r="A49" s="871">
        <v>232</v>
      </c>
      <c r="B49" s="873">
        <v>10448.25</v>
      </c>
      <c r="C49" s="873" t="s">
        <v>1812</v>
      </c>
      <c r="D49" s="873">
        <f>+I49+I50</f>
        <v>232</v>
      </c>
      <c r="E49" s="873">
        <f>+J49+J50</f>
        <v>10198</v>
      </c>
      <c r="F49" s="39" t="s">
        <v>1813</v>
      </c>
      <c r="G49" s="39">
        <v>18041</v>
      </c>
      <c r="H49" s="39"/>
      <c r="I49" s="78">
        <v>200</v>
      </c>
      <c r="J49" s="79">
        <v>8744</v>
      </c>
      <c r="K49" s="1031">
        <f t="shared" si="26"/>
        <v>0</v>
      </c>
      <c r="L49" s="879">
        <f t="shared" ref="L49" si="28">(+B49-E49)/B49</f>
        <v>2.395137941760582E-2</v>
      </c>
    </row>
    <row r="50" spans="1:12" ht="15" thickBot="1" x14ac:dyDescent="0.35">
      <c r="A50" s="872"/>
      <c r="B50" s="874"/>
      <c r="C50" s="874"/>
      <c r="D50" s="874"/>
      <c r="E50" s="874"/>
      <c r="F50" s="42" t="s">
        <v>1813</v>
      </c>
      <c r="G50" s="42">
        <v>18041</v>
      </c>
      <c r="H50" s="42"/>
      <c r="I50" s="102">
        <v>32</v>
      </c>
      <c r="J50" s="103">
        <v>1454</v>
      </c>
      <c r="K50" s="1032"/>
      <c r="L50" s="880"/>
    </row>
    <row r="51" spans="1:12" x14ac:dyDescent="0.3">
      <c r="A51" s="871">
        <v>322</v>
      </c>
      <c r="B51" s="873">
        <v>16353.75</v>
      </c>
      <c r="C51" s="873" t="s">
        <v>1814</v>
      </c>
      <c r="D51" s="873">
        <f>+I51+I52</f>
        <v>322</v>
      </c>
      <c r="E51" s="873">
        <f>+J51+J52</f>
        <v>14751.300000000001</v>
      </c>
      <c r="F51" s="39" t="s">
        <v>1815</v>
      </c>
      <c r="G51" s="39">
        <v>18061</v>
      </c>
      <c r="H51" s="39"/>
      <c r="I51" s="78">
        <v>200</v>
      </c>
      <c r="J51" s="79">
        <v>9054.7000000000007</v>
      </c>
      <c r="K51" s="1031">
        <f t="shared" ref="K51:K53" si="29">+A51-D51</f>
        <v>0</v>
      </c>
      <c r="L51" s="879">
        <f t="shared" ref="L51" si="30">(+B51-E51)/B51</f>
        <v>9.7986700298096696E-2</v>
      </c>
    </row>
    <row r="52" spans="1:12" ht="15" thickBot="1" x14ac:dyDescent="0.35">
      <c r="A52" s="872"/>
      <c r="B52" s="874"/>
      <c r="C52" s="874"/>
      <c r="D52" s="874"/>
      <c r="E52" s="874"/>
      <c r="F52" s="42" t="s">
        <v>1815</v>
      </c>
      <c r="G52" s="42">
        <v>18061</v>
      </c>
      <c r="H52" s="42"/>
      <c r="I52" s="102">
        <v>122</v>
      </c>
      <c r="J52" s="103">
        <v>5696.6</v>
      </c>
      <c r="K52" s="1032"/>
      <c r="L52" s="880"/>
    </row>
    <row r="53" spans="1:12" x14ac:dyDescent="0.3">
      <c r="A53" s="871">
        <v>300</v>
      </c>
      <c r="B53" s="873">
        <v>14897.25</v>
      </c>
      <c r="C53" s="873" t="s">
        <v>1934</v>
      </c>
      <c r="D53" s="873">
        <f>+I53+I54</f>
        <v>301</v>
      </c>
      <c r="E53" s="873">
        <f>+J53+J54</f>
        <v>14260.7</v>
      </c>
      <c r="F53" s="39" t="s">
        <v>1935</v>
      </c>
      <c r="G53" s="39">
        <v>18091</v>
      </c>
      <c r="H53" s="39"/>
      <c r="I53" s="78">
        <v>200</v>
      </c>
      <c r="J53" s="79">
        <v>9558</v>
      </c>
      <c r="K53" s="1031">
        <f t="shared" si="29"/>
        <v>-1</v>
      </c>
      <c r="L53" s="879">
        <f>((+B53/A53)-(E53/D53))/(B53/A53)</f>
        <v>4.5909663922118885E-2</v>
      </c>
    </row>
    <row r="54" spans="1:12" ht="15" thickBot="1" x14ac:dyDescent="0.35">
      <c r="A54" s="872"/>
      <c r="B54" s="874"/>
      <c r="C54" s="874"/>
      <c r="D54" s="874"/>
      <c r="E54" s="874"/>
      <c r="F54" s="42" t="s">
        <v>1936</v>
      </c>
      <c r="G54" s="42">
        <v>18091</v>
      </c>
      <c r="H54" s="42"/>
      <c r="I54" s="102">
        <v>101</v>
      </c>
      <c r="J54" s="103">
        <v>4702.7</v>
      </c>
      <c r="K54" s="1032"/>
      <c r="L54" s="880"/>
    </row>
    <row r="55" spans="1:12" ht="15" thickBot="1" x14ac:dyDescent="0.35">
      <c r="A55" s="175">
        <v>110</v>
      </c>
      <c r="B55" s="8">
        <v>4244.5</v>
      </c>
      <c r="C55" s="8" t="s">
        <v>1937</v>
      </c>
      <c r="D55" s="8">
        <f>+I55</f>
        <v>110</v>
      </c>
      <c r="E55" s="8">
        <f>+J55</f>
        <v>4341.5</v>
      </c>
      <c r="F55" s="45" t="s">
        <v>1938</v>
      </c>
      <c r="G55" s="45">
        <v>18101</v>
      </c>
      <c r="H55" s="45"/>
      <c r="I55" s="116">
        <v>110</v>
      </c>
      <c r="J55" s="117">
        <v>4341.5</v>
      </c>
      <c r="K55" s="141">
        <f t="shared" ref="K55:K56" si="31">+A55-D55</f>
        <v>0</v>
      </c>
      <c r="L55" s="53">
        <f t="shared" ref="L55" si="32">(+B55-E55)/B55</f>
        <v>-2.2853104016963128E-2</v>
      </c>
    </row>
    <row r="56" spans="1:12" x14ac:dyDescent="0.3">
      <c r="A56" s="871">
        <v>637</v>
      </c>
      <c r="B56" s="873">
        <v>31258.25</v>
      </c>
      <c r="C56" s="873" t="s">
        <v>1979</v>
      </c>
      <c r="D56" s="873">
        <v>638</v>
      </c>
      <c r="E56" s="873">
        <v>29975.9</v>
      </c>
      <c r="F56" s="39" t="s">
        <v>1980</v>
      </c>
      <c r="G56" s="39">
        <v>18131</v>
      </c>
      <c r="H56" s="39"/>
      <c r="I56" s="78">
        <v>200</v>
      </c>
      <c r="J56" s="79">
        <v>9180.7999999999993</v>
      </c>
      <c r="K56" s="1031">
        <f t="shared" si="31"/>
        <v>-1</v>
      </c>
      <c r="L56" s="879">
        <f>((+B56/A56)-(E56/D56))/(B56/A56)</f>
        <v>4.2527466165860069E-2</v>
      </c>
    </row>
    <row r="57" spans="1:12" ht="15" thickBot="1" x14ac:dyDescent="0.35">
      <c r="A57" s="872"/>
      <c r="B57" s="874"/>
      <c r="C57" s="874"/>
      <c r="D57" s="874"/>
      <c r="E57" s="874"/>
      <c r="F57" s="42" t="s">
        <v>1980</v>
      </c>
      <c r="G57" s="42">
        <v>18131</v>
      </c>
      <c r="H57" s="42"/>
      <c r="I57" s="102">
        <v>200</v>
      </c>
      <c r="J57" s="103">
        <v>9393.1</v>
      </c>
      <c r="K57" s="1032"/>
      <c r="L57" s="880"/>
    </row>
    <row r="58" spans="1:12" x14ac:dyDescent="0.3">
      <c r="A58" s="871">
        <v>388</v>
      </c>
      <c r="B58" s="873">
        <v>16540.75</v>
      </c>
      <c r="C58" s="873" t="s">
        <v>2034</v>
      </c>
      <c r="D58" s="873">
        <f>+I58+I59+I60</f>
        <v>388</v>
      </c>
      <c r="E58" s="873">
        <f>+J58+J59+J60</f>
        <v>16184.4</v>
      </c>
      <c r="F58" s="39" t="s">
        <v>2035</v>
      </c>
      <c r="G58" s="39">
        <v>18141</v>
      </c>
      <c r="H58" s="39"/>
      <c r="I58" s="78">
        <v>200</v>
      </c>
      <c r="J58" s="79">
        <v>8318.9</v>
      </c>
      <c r="K58" s="877">
        <f t="shared" ref="K58" si="33">+A58-D58</f>
        <v>0</v>
      </c>
      <c r="L58" s="879">
        <f t="shared" ref="L58" si="34">(+B58-E58)/B58</f>
        <v>2.1543763130450574E-2</v>
      </c>
    </row>
    <row r="59" spans="1:12" x14ac:dyDescent="0.3">
      <c r="A59" s="875"/>
      <c r="B59" s="881"/>
      <c r="C59" s="881"/>
      <c r="D59" s="881"/>
      <c r="E59" s="881"/>
      <c r="F59" s="50" t="s">
        <v>2035</v>
      </c>
      <c r="G59" s="50">
        <v>18141</v>
      </c>
      <c r="H59" s="50"/>
      <c r="I59" s="118">
        <v>138</v>
      </c>
      <c r="J59" s="119">
        <v>5741.4</v>
      </c>
      <c r="K59" s="886"/>
      <c r="L59" s="885"/>
    </row>
    <row r="60" spans="1:12" ht="15" thickBot="1" x14ac:dyDescent="0.35">
      <c r="A60" s="872"/>
      <c r="B60" s="874"/>
      <c r="C60" s="874"/>
      <c r="D60" s="874"/>
      <c r="E60" s="874"/>
      <c r="F60" s="42" t="s">
        <v>2035</v>
      </c>
      <c r="G60" s="42">
        <v>18141</v>
      </c>
      <c r="H60" s="42"/>
      <c r="I60" s="102">
        <v>50</v>
      </c>
      <c r="J60" s="103">
        <v>2124.1</v>
      </c>
      <c r="K60" s="878"/>
      <c r="L60" s="880"/>
    </row>
    <row r="61" spans="1:12" ht="15" thickBot="1" x14ac:dyDescent="0.35">
      <c r="A61" s="175">
        <v>103</v>
      </c>
      <c r="B61" s="8">
        <v>4625.75</v>
      </c>
      <c r="C61" s="8" t="s">
        <v>2074</v>
      </c>
      <c r="D61" s="8">
        <f>+I61</f>
        <v>103</v>
      </c>
      <c r="E61" s="8">
        <f>+J61</f>
        <v>4508.7</v>
      </c>
      <c r="F61" s="45" t="s">
        <v>2075</v>
      </c>
      <c r="G61" s="45">
        <v>18151</v>
      </c>
      <c r="H61" s="45"/>
      <c r="I61" s="116">
        <v>103</v>
      </c>
      <c r="J61" s="117">
        <v>4508.7</v>
      </c>
      <c r="K61" s="141">
        <f t="shared" ref="K61:K63" si="35">+A61-D61</f>
        <v>0</v>
      </c>
      <c r="L61" s="53">
        <f t="shared" ref="L61:L63" si="36">(+B61-E61)/B61</f>
        <v>2.5304004755985557E-2</v>
      </c>
    </row>
    <row r="62" spans="1:12" ht="15" thickBot="1" x14ac:dyDescent="0.35">
      <c r="A62" s="175">
        <v>139</v>
      </c>
      <c r="B62" s="8">
        <v>6436.5</v>
      </c>
      <c r="C62" s="8" t="s">
        <v>2036</v>
      </c>
      <c r="D62" s="8">
        <f>+I62</f>
        <v>139</v>
      </c>
      <c r="E62" s="8">
        <f>+J62</f>
        <v>6267.6</v>
      </c>
      <c r="F62" s="45" t="s">
        <v>2037</v>
      </c>
      <c r="G62" s="45">
        <v>18161</v>
      </c>
      <c r="H62" s="45"/>
      <c r="I62" s="116">
        <v>139</v>
      </c>
      <c r="J62" s="117">
        <v>6267.6</v>
      </c>
      <c r="K62" s="141">
        <f t="shared" si="35"/>
        <v>0</v>
      </c>
      <c r="L62" s="53">
        <f t="shared" si="36"/>
        <v>2.6240969470985729E-2</v>
      </c>
    </row>
    <row r="63" spans="1:12" x14ac:dyDescent="0.3">
      <c r="A63" s="871">
        <v>192</v>
      </c>
      <c r="B63" s="873">
        <v>8430.5</v>
      </c>
      <c r="C63" s="873" t="s">
        <v>2076</v>
      </c>
      <c r="D63" s="873">
        <f>+I63+I64</f>
        <v>192</v>
      </c>
      <c r="E63" s="873">
        <f>+J63+J64</f>
        <v>8226.9</v>
      </c>
      <c r="F63" s="39" t="s">
        <v>2077</v>
      </c>
      <c r="G63" s="39">
        <v>18171</v>
      </c>
      <c r="H63" s="39"/>
      <c r="I63" s="78">
        <v>139</v>
      </c>
      <c r="J63" s="79">
        <v>5911.4</v>
      </c>
      <c r="K63" s="1031">
        <f t="shared" si="35"/>
        <v>0</v>
      </c>
      <c r="L63" s="879">
        <f t="shared" si="36"/>
        <v>2.415040626297377E-2</v>
      </c>
    </row>
    <row r="64" spans="1:12" ht="15" thickBot="1" x14ac:dyDescent="0.35">
      <c r="A64" s="872"/>
      <c r="B64" s="874"/>
      <c r="C64" s="874"/>
      <c r="D64" s="874"/>
      <c r="E64" s="874"/>
      <c r="F64" s="42" t="s">
        <v>2077</v>
      </c>
      <c r="G64" s="42">
        <v>18171</v>
      </c>
      <c r="H64" s="42"/>
      <c r="I64" s="102">
        <v>53</v>
      </c>
      <c r="J64" s="103">
        <v>2315.5</v>
      </c>
      <c r="K64" s="1032"/>
      <c r="L64" s="880"/>
    </row>
    <row r="65" spans="1:12" ht="15" thickBot="1" x14ac:dyDescent="0.35">
      <c r="A65" s="255">
        <v>277</v>
      </c>
      <c r="B65" s="256">
        <v>12197</v>
      </c>
      <c r="C65" s="256" t="s">
        <v>2224</v>
      </c>
      <c r="D65" s="8">
        <f>+I65</f>
        <v>277</v>
      </c>
      <c r="E65" s="8">
        <f>+J65</f>
        <v>11852.4</v>
      </c>
      <c r="F65" s="45" t="s">
        <v>2225</v>
      </c>
      <c r="G65" s="45">
        <v>18191</v>
      </c>
      <c r="H65" s="45"/>
      <c r="I65" s="116">
        <v>277</v>
      </c>
      <c r="J65" s="117">
        <v>11852.4</v>
      </c>
      <c r="K65" s="141">
        <f t="shared" ref="K65:K72" si="37">+A65-D65</f>
        <v>0</v>
      </c>
      <c r="L65" s="53">
        <f t="shared" ref="L65:L71" si="38">(+B65-E65)/B65</f>
        <v>2.82528490612446E-2</v>
      </c>
    </row>
    <row r="66" spans="1:12" ht="15" thickBot="1" x14ac:dyDescent="0.35">
      <c r="A66" s="255">
        <v>300</v>
      </c>
      <c r="B66" s="256">
        <v>14962</v>
      </c>
      <c r="C66" s="256" t="s">
        <v>2348</v>
      </c>
      <c r="D66" s="8">
        <f t="shared" ref="D66:E71" si="39">+I66</f>
        <v>300</v>
      </c>
      <c r="E66" s="8">
        <f t="shared" si="39"/>
        <v>14553.5</v>
      </c>
      <c r="F66" s="45" t="s">
        <v>2349</v>
      </c>
      <c r="G66" s="45">
        <v>18211</v>
      </c>
      <c r="H66" s="45"/>
      <c r="I66" s="116">
        <v>300</v>
      </c>
      <c r="J66" s="117">
        <v>14553.5</v>
      </c>
      <c r="K66" s="141">
        <f t="shared" si="37"/>
        <v>0</v>
      </c>
      <c r="L66" s="53">
        <f t="shared" si="38"/>
        <v>2.7302499665820077E-2</v>
      </c>
    </row>
    <row r="67" spans="1:12" ht="15" thickBot="1" x14ac:dyDescent="0.35">
      <c r="A67" s="175">
        <v>129</v>
      </c>
      <c r="B67" s="8">
        <v>4388</v>
      </c>
      <c r="C67" s="8" t="s">
        <v>2350</v>
      </c>
      <c r="D67" s="8">
        <f t="shared" si="39"/>
        <v>128</v>
      </c>
      <c r="E67" s="8">
        <f t="shared" si="39"/>
        <v>4260.1000000000004</v>
      </c>
      <c r="F67" s="45" t="s">
        <v>2351</v>
      </c>
      <c r="G67" s="45">
        <v>18241</v>
      </c>
      <c r="H67" s="45"/>
      <c r="I67" s="116">
        <v>128</v>
      </c>
      <c r="J67" s="117">
        <v>4260.1000000000004</v>
      </c>
      <c r="K67" s="141">
        <f t="shared" si="37"/>
        <v>1</v>
      </c>
      <c r="L67" s="31">
        <f>((+B67/A67)-(E67/D67))/(B67/A67)</f>
        <v>2.1562891693254146E-2</v>
      </c>
    </row>
    <row r="68" spans="1:12" ht="15" thickBot="1" x14ac:dyDescent="0.35">
      <c r="A68" s="175">
        <v>147</v>
      </c>
      <c r="B68" s="8">
        <v>4998</v>
      </c>
      <c r="C68" s="8" t="s">
        <v>2352</v>
      </c>
      <c r="D68" s="8">
        <f t="shared" si="39"/>
        <v>147</v>
      </c>
      <c r="E68" s="8">
        <f t="shared" si="39"/>
        <v>4945.6000000000004</v>
      </c>
      <c r="F68" s="45" t="s">
        <v>2353</v>
      </c>
      <c r="G68" s="45">
        <v>18251</v>
      </c>
      <c r="H68" s="45"/>
      <c r="I68" s="116">
        <v>147</v>
      </c>
      <c r="J68" s="117">
        <v>4945.6000000000004</v>
      </c>
      <c r="K68" s="141">
        <f t="shared" si="37"/>
        <v>0</v>
      </c>
      <c r="L68" s="53">
        <f t="shared" si="38"/>
        <v>1.0484193677470915E-2</v>
      </c>
    </row>
    <row r="69" spans="1:12" ht="15" thickBot="1" x14ac:dyDescent="0.35">
      <c r="A69" s="175">
        <v>199</v>
      </c>
      <c r="B69" s="8">
        <v>6708.75</v>
      </c>
      <c r="C69" s="8" t="s">
        <v>2354</v>
      </c>
      <c r="D69" s="8">
        <f t="shared" si="39"/>
        <v>199</v>
      </c>
      <c r="E69" s="8">
        <f t="shared" si="39"/>
        <v>6577</v>
      </c>
      <c r="F69" s="45" t="s">
        <v>2355</v>
      </c>
      <c r="G69" s="45">
        <v>18271</v>
      </c>
      <c r="H69" s="45"/>
      <c r="I69" s="116">
        <v>199</v>
      </c>
      <c r="J69" s="117">
        <v>6577</v>
      </c>
      <c r="K69" s="141">
        <f t="shared" si="37"/>
        <v>0</v>
      </c>
      <c r="L69" s="53">
        <f t="shared" si="38"/>
        <v>1.9638531768213154E-2</v>
      </c>
    </row>
    <row r="70" spans="1:12" ht="15" thickBot="1" x14ac:dyDescent="0.35">
      <c r="A70" s="175">
        <v>72</v>
      </c>
      <c r="B70" s="8">
        <v>2432.5</v>
      </c>
      <c r="C70" s="8" t="s">
        <v>2356</v>
      </c>
      <c r="D70" s="8">
        <f t="shared" si="39"/>
        <v>72</v>
      </c>
      <c r="E70" s="8">
        <f t="shared" si="39"/>
        <v>2372.4</v>
      </c>
      <c r="F70" s="45" t="s">
        <v>2357</v>
      </c>
      <c r="G70" s="45">
        <v>18291</v>
      </c>
      <c r="H70" s="45"/>
      <c r="I70" s="116">
        <v>72</v>
      </c>
      <c r="J70" s="117">
        <v>2372.4</v>
      </c>
      <c r="K70" s="141">
        <f t="shared" si="37"/>
        <v>0</v>
      </c>
      <c r="L70" s="53">
        <f t="shared" si="38"/>
        <v>2.470709146968136E-2</v>
      </c>
    </row>
    <row r="71" spans="1:12" ht="15" thickBot="1" x14ac:dyDescent="0.35">
      <c r="A71" s="174">
        <v>59</v>
      </c>
      <c r="B71" s="12">
        <v>1986.5</v>
      </c>
      <c r="C71" s="12" t="s">
        <v>2358</v>
      </c>
      <c r="D71" s="12">
        <f t="shared" si="39"/>
        <v>59</v>
      </c>
      <c r="E71" s="12">
        <f t="shared" si="39"/>
        <v>1959.4</v>
      </c>
      <c r="F71" s="39" t="s">
        <v>2359</v>
      </c>
      <c r="G71" s="39">
        <v>18311</v>
      </c>
      <c r="H71" s="39"/>
      <c r="I71" s="78">
        <v>59</v>
      </c>
      <c r="J71" s="79">
        <v>1959.4</v>
      </c>
      <c r="K71" s="141">
        <f t="shared" si="37"/>
        <v>0</v>
      </c>
      <c r="L71" s="53">
        <f t="shared" si="38"/>
        <v>1.3642084067455278E-2</v>
      </c>
    </row>
    <row r="72" spans="1:12" x14ac:dyDescent="0.3">
      <c r="A72" s="871">
        <v>377</v>
      </c>
      <c r="B72" s="873">
        <v>15447.5</v>
      </c>
      <c r="C72" s="873" t="s">
        <v>2360</v>
      </c>
      <c r="D72" s="873">
        <v>377</v>
      </c>
      <c r="E72" s="873">
        <v>15634.8</v>
      </c>
      <c r="F72" s="39" t="s">
        <v>2361</v>
      </c>
      <c r="G72" s="39">
        <v>18321</v>
      </c>
      <c r="H72" s="39"/>
      <c r="I72" s="78">
        <v>69</v>
      </c>
      <c r="J72" s="79">
        <v>2837.2</v>
      </c>
      <c r="K72" s="877">
        <f t="shared" si="37"/>
        <v>0</v>
      </c>
      <c r="L72" s="879">
        <f>((+B72/A72)-(E72/D72))/(B72/A72)</f>
        <v>-1.2124939310568034E-2</v>
      </c>
    </row>
    <row r="73" spans="1:12" x14ac:dyDescent="0.3">
      <c r="A73" s="875"/>
      <c r="B73" s="881"/>
      <c r="C73" s="881"/>
      <c r="D73" s="881"/>
      <c r="E73" s="881"/>
      <c r="F73" s="50" t="s">
        <v>2361</v>
      </c>
      <c r="G73" s="50">
        <v>18321</v>
      </c>
      <c r="H73" s="50"/>
      <c r="I73" s="118">
        <v>108</v>
      </c>
      <c r="J73" s="119">
        <v>4506.5</v>
      </c>
      <c r="K73" s="886"/>
      <c r="L73" s="885"/>
    </row>
    <row r="74" spans="1:12" ht="15" thickBot="1" x14ac:dyDescent="0.35">
      <c r="A74" s="872"/>
      <c r="B74" s="874"/>
      <c r="C74" s="874"/>
      <c r="D74" s="874"/>
      <c r="E74" s="874"/>
      <c r="F74" s="42" t="s">
        <v>2361</v>
      </c>
      <c r="G74" s="42">
        <v>18321</v>
      </c>
      <c r="H74" s="42"/>
      <c r="I74" s="102">
        <v>100</v>
      </c>
      <c r="J74" s="103">
        <v>4091.8</v>
      </c>
      <c r="K74" s="878"/>
      <c r="L74" s="880"/>
    </row>
    <row r="75" spans="1:12" x14ac:dyDescent="0.3">
      <c r="A75" s="871">
        <v>677</v>
      </c>
      <c r="B75" s="873">
        <v>27337.75</v>
      </c>
      <c r="C75" s="873" t="s">
        <v>2538</v>
      </c>
      <c r="D75" s="873">
        <v>677</v>
      </c>
      <c r="E75" s="873">
        <v>27513.3</v>
      </c>
      <c r="F75" s="39" t="s">
        <v>2539</v>
      </c>
      <c r="G75" s="39">
        <v>18341</v>
      </c>
      <c r="H75" s="39"/>
      <c r="I75" s="78">
        <v>200</v>
      </c>
      <c r="J75" s="79">
        <v>8018.2</v>
      </c>
      <c r="K75" s="1031">
        <f t="shared" ref="K75" si="40">+A75-D75</f>
        <v>0</v>
      </c>
      <c r="L75" s="879">
        <f t="shared" ref="L75" si="41">(+B75-E75)/B75</f>
        <v>-6.4215233514096541E-3</v>
      </c>
    </row>
    <row r="76" spans="1:12" ht="15" thickBot="1" x14ac:dyDescent="0.35">
      <c r="A76" s="872"/>
      <c r="B76" s="874"/>
      <c r="C76" s="874"/>
      <c r="D76" s="874"/>
      <c r="E76" s="874"/>
      <c r="F76" s="42" t="s">
        <v>2539</v>
      </c>
      <c r="G76" s="42">
        <v>18341</v>
      </c>
      <c r="H76" s="42"/>
      <c r="I76" s="102">
        <v>97</v>
      </c>
      <c r="J76" s="103">
        <v>3922.9</v>
      </c>
      <c r="K76" s="1032"/>
      <c r="L76" s="880"/>
    </row>
    <row r="77" spans="1:12" x14ac:dyDescent="0.3">
      <c r="A77" s="871">
        <v>293</v>
      </c>
      <c r="B77" s="873">
        <v>15257</v>
      </c>
      <c r="C77" s="873" t="s">
        <v>2687</v>
      </c>
      <c r="D77" s="873">
        <f>+I77+I78</f>
        <v>293</v>
      </c>
      <c r="E77" s="873">
        <f>+J77+J78</f>
        <v>14394.5</v>
      </c>
      <c r="F77" s="39" t="s">
        <v>2688</v>
      </c>
      <c r="G77" s="39">
        <v>18381</v>
      </c>
      <c r="H77" s="39"/>
      <c r="I77" s="78">
        <v>200</v>
      </c>
      <c r="J77" s="79">
        <v>9684.9</v>
      </c>
      <c r="K77" s="1031">
        <f t="shared" ref="K77" si="42">+A77-D77</f>
        <v>0</v>
      </c>
      <c r="L77" s="879">
        <f t="shared" ref="L77" si="43">(+B77-E77)/B77</f>
        <v>5.6531428196893233E-2</v>
      </c>
    </row>
    <row r="78" spans="1:12" ht="15" thickBot="1" x14ac:dyDescent="0.35">
      <c r="A78" s="872"/>
      <c r="B78" s="874"/>
      <c r="C78" s="874"/>
      <c r="D78" s="874"/>
      <c r="E78" s="874"/>
      <c r="F78" s="42" t="s">
        <v>2688</v>
      </c>
      <c r="G78" s="42">
        <v>18381</v>
      </c>
      <c r="H78" s="42"/>
      <c r="I78" s="102">
        <v>93</v>
      </c>
      <c r="J78" s="103">
        <v>4709.6000000000004</v>
      </c>
      <c r="K78" s="1032"/>
      <c r="L78" s="880"/>
    </row>
    <row r="79" spans="1:12" ht="15" thickBot="1" x14ac:dyDescent="0.35">
      <c r="A79" s="175">
        <v>339</v>
      </c>
      <c r="B79" s="8">
        <v>15744</v>
      </c>
      <c r="C79" s="8" t="s">
        <v>2958</v>
      </c>
      <c r="D79" s="8">
        <f>+I79</f>
        <v>339</v>
      </c>
      <c r="E79" s="8">
        <f>+J79</f>
        <v>15321.8</v>
      </c>
      <c r="F79" s="45" t="s">
        <v>2959</v>
      </c>
      <c r="G79" s="45">
        <v>18421</v>
      </c>
      <c r="H79" s="45"/>
      <c r="I79" s="116">
        <v>339</v>
      </c>
      <c r="J79" s="117">
        <v>15321.8</v>
      </c>
      <c r="K79" s="141">
        <f t="shared" ref="K79" si="44">+A79-D79</f>
        <v>0</v>
      </c>
      <c r="L79" s="31">
        <f>((+B79/A79)-(E79/D79))/(B79/A79)</f>
        <v>2.6816565040650435E-2</v>
      </c>
    </row>
    <row r="80" spans="1:12" x14ac:dyDescent="0.3">
      <c r="A80" s="871">
        <v>321</v>
      </c>
      <c r="B80" s="873">
        <v>16458.75</v>
      </c>
      <c r="C80" s="873" t="s">
        <v>2832</v>
      </c>
      <c r="D80" s="1040">
        <f>+I80+I81</f>
        <v>321</v>
      </c>
      <c r="E80" s="1040">
        <f>+J80+J81</f>
        <v>15614.300000000001</v>
      </c>
      <c r="F80" s="39" t="s">
        <v>2833</v>
      </c>
      <c r="G80" s="39">
        <v>18461</v>
      </c>
      <c r="H80" s="39"/>
      <c r="I80" s="78">
        <v>200</v>
      </c>
      <c r="J80" s="79">
        <v>9673.7000000000007</v>
      </c>
      <c r="K80" s="1031">
        <f t="shared" ref="K80" si="45">+A80-D80</f>
        <v>0</v>
      </c>
      <c r="L80" s="879">
        <f t="shared" ref="L80" si="46">(+B80-E80)/B80</f>
        <v>5.1307055517581766E-2</v>
      </c>
    </row>
    <row r="81" spans="1:12" ht="15" thickBot="1" x14ac:dyDescent="0.35">
      <c r="A81" s="872"/>
      <c r="B81" s="874"/>
      <c r="C81" s="874"/>
      <c r="D81" s="874"/>
      <c r="E81" s="874"/>
      <c r="F81" s="42" t="s">
        <v>2833</v>
      </c>
      <c r="G81" s="42">
        <v>18461</v>
      </c>
      <c r="H81" s="42"/>
      <c r="I81" s="102">
        <v>121</v>
      </c>
      <c r="J81" s="103">
        <v>5940.6</v>
      </c>
      <c r="K81" s="1032"/>
      <c r="L81" s="880"/>
    </row>
    <row r="82" spans="1:12" x14ac:dyDescent="0.3">
      <c r="A82" s="871">
        <v>286</v>
      </c>
      <c r="B82" s="873">
        <v>14508</v>
      </c>
      <c r="C82" s="873" t="s">
        <v>2834</v>
      </c>
      <c r="D82" s="873">
        <f>+I82+I83</f>
        <v>286</v>
      </c>
      <c r="E82" s="873">
        <f>+J82+J83</f>
        <v>13576.5</v>
      </c>
      <c r="F82" s="50" t="s">
        <v>2835</v>
      </c>
      <c r="G82" s="50">
        <v>18521</v>
      </c>
      <c r="H82" s="50"/>
      <c r="I82" s="118">
        <v>198</v>
      </c>
      <c r="J82" s="119">
        <v>9539.9</v>
      </c>
      <c r="K82" s="1031">
        <f t="shared" ref="K82" si="47">+A82-D82</f>
        <v>0</v>
      </c>
      <c r="L82" s="879">
        <f t="shared" ref="L82" si="48">(+B82-E82)/B82</f>
        <v>6.4205955334987588E-2</v>
      </c>
    </row>
    <row r="83" spans="1:12" ht="15" thickBot="1" x14ac:dyDescent="0.35">
      <c r="A83" s="872"/>
      <c r="B83" s="874"/>
      <c r="C83" s="881"/>
      <c r="D83" s="881"/>
      <c r="E83" s="881"/>
      <c r="F83" s="50" t="s">
        <v>2835</v>
      </c>
      <c r="G83" s="50">
        <v>18521</v>
      </c>
      <c r="H83" s="50"/>
      <c r="I83" s="118">
        <v>88</v>
      </c>
      <c r="J83" s="119">
        <v>4036.6</v>
      </c>
      <c r="K83" s="1032"/>
      <c r="L83" s="880"/>
    </row>
    <row r="84" spans="1:12" ht="15" thickBot="1" x14ac:dyDescent="0.35">
      <c r="A84" s="175">
        <v>281</v>
      </c>
      <c r="B84" s="8">
        <v>13867.75</v>
      </c>
      <c r="C84" s="8" t="s">
        <v>2836</v>
      </c>
      <c r="D84" s="8">
        <v>281</v>
      </c>
      <c r="E84" s="8">
        <v>13514</v>
      </c>
      <c r="F84" s="45" t="s">
        <v>2837</v>
      </c>
      <c r="G84" s="45">
        <v>18531</v>
      </c>
      <c r="H84" s="45"/>
      <c r="I84" s="116">
        <v>214</v>
      </c>
      <c r="J84" s="117">
        <v>10277</v>
      </c>
      <c r="K84" s="141">
        <f t="shared" ref="K84" si="49">+A84-D84</f>
        <v>0</v>
      </c>
      <c r="L84" s="31">
        <f>((+B84/A84)-(E84/D84))/(B84/A84)</f>
        <v>2.5508824430783714E-2</v>
      </c>
    </row>
    <row r="85" spans="1:12" ht="15" thickBot="1" x14ac:dyDescent="0.35">
      <c r="A85" s="175">
        <v>296</v>
      </c>
      <c r="B85" s="8">
        <v>14020</v>
      </c>
      <c r="C85" s="8" t="s">
        <v>2956</v>
      </c>
      <c r="D85" s="8">
        <f>+I85</f>
        <v>296</v>
      </c>
      <c r="E85" s="8">
        <f>+J85</f>
        <v>13576.099999999999</v>
      </c>
      <c r="F85" s="45" t="s">
        <v>2957</v>
      </c>
      <c r="G85" s="45">
        <v>18581</v>
      </c>
      <c r="H85" s="45"/>
      <c r="I85" s="116">
        <v>296</v>
      </c>
      <c r="J85" s="117">
        <v>13576.099999999999</v>
      </c>
      <c r="K85" s="141">
        <f t="shared" ref="K85:K90" si="50">+A85-D85</f>
        <v>0</v>
      </c>
      <c r="L85" s="31">
        <f>((+B85/A85)-(E85/D85))/(B85/A85)</f>
        <v>3.1661911554921644E-2</v>
      </c>
    </row>
    <row r="86" spans="1:12" ht="15" thickBot="1" x14ac:dyDescent="0.35">
      <c r="A86" s="175">
        <v>315</v>
      </c>
      <c r="B86" s="8">
        <v>15486.25</v>
      </c>
      <c r="C86" s="8" t="s">
        <v>3104</v>
      </c>
      <c r="D86" s="8">
        <f t="shared" ref="D86:E87" si="51">+I86</f>
        <v>315</v>
      </c>
      <c r="E86" s="8">
        <f t="shared" si="51"/>
        <v>14953.9</v>
      </c>
      <c r="F86" s="45" t="s">
        <v>3105</v>
      </c>
      <c r="G86" s="45">
        <v>18591</v>
      </c>
      <c r="H86" s="45"/>
      <c r="I86" s="116">
        <v>315</v>
      </c>
      <c r="J86" s="117">
        <v>14953.9</v>
      </c>
      <c r="K86" s="141">
        <f t="shared" si="50"/>
        <v>0</v>
      </c>
      <c r="L86" s="31">
        <f t="shared" ref="L86:L90" si="52">((+B86/A86)-(E86/D86))/(B86/A86)</f>
        <v>3.4375655823714539E-2</v>
      </c>
    </row>
    <row r="87" spans="1:12" ht="15" thickBot="1" x14ac:dyDescent="0.35">
      <c r="A87" s="175">
        <v>347</v>
      </c>
      <c r="B87" s="8">
        <v>16799</v>
      </c>
      <c r="C87" s="8" t="s">
        <v>3106</v>
      </c>
      <c r="D87" s="8">
        <f t="shared" si="51"/>
        <v>347</v>
      </c>
      <c r="E87" s="8">
        <f t="shared" si="51"/>
        <v>16594.8</v>
      </c>
      <c r="F87" s="45" t="s">
        <v>3107</v>
      </c>
      <c r="G87" s="45">
        <v>18621</v>
      </c>
      <c r="H87" s="45"/>
      <c r="I87" s="116">
        <v>347</v>
      </c>
      <c r="J87" s="117">
        <v>16594.8</v>
      </c>
      <c r="K87" s="141">
        <f t="shared" si="50"/>
        <v>0</v>
      </c>
      <c r="L87" s="31">
        <f t="shared" si="52"/>
        <v>1.2155485445562351E-2</v>
      </c>
    </row>
    <row r="88" spans="1:12" x14ac:dyDescent="0.3">
      <c r="A88" s="871">
        <v>464</v>
      </c>
      <c r="B88" s="873">
        <v>21818.29</v>
      </c>
      <c r="C88" s="873" t="s">
        <v>3108</v>
      </c>
      <c r="D88" s="873">
        <f>+I88+I89</f>
        <v>464</v>
      </c>
      <c r="E88" s="873">
        <f>+J88+J89</f>
        <v>20982.5</v>
      </c>
      <c r="F88" s="39" t="s">
        <v>3109</v>
      </c>
      <c r="G88" s="39">
        <v>18691</v>
      </c>
      <c r="H88" s="39"/>
      <c r="I88" s="78">
        <v>400</v>
      </c>
      <c r="J88" s="79">
        <v>18141.3</v>
      </c>
      <c r="K88" s="1031">
        <f t="shared" si="50"/>
        <v>0</v>
      </c>
      <c r="L88" s="879">
        <f t="shared" si="52"/>
        <v>3.8306851728526922E-2</v>
      </c>
    </row>
    <row r="89" spans="1:12" ht="15" thickBot="1" x14ac:dyDescent="0.35">
      <c r="A89" s="875"/>
      <c r="B89" s="881"/>
      <c r="C89" s="881"/>
      <c r="D89" s="881"/>
      <c r="E89" s="881"/>
      <c r="F89" s="50" t="s">
        <v>3109</v>
      </c>
      <c r="G89" s="50">
        <v>18691</v>
      </c>
      <c r="H89" s="50"/>
      <c r="I89" s="118">
        <v>64</v>
      </c>
      <c r="J89" s="119">
        <v>2841.2</v>
      </c>
      <c r="K89" s="1032"/>
      <c r="L89" s="880"/>
    </row>
    <row r="90" spans="1:12" ht="15" thickBot="1" x14ac:dyDescent="0.35">
      <c r="A90" s="175">
        <v>641</v>
      </c>
      <c r="B90" s="8">
        <v>32072.5</v>
      </c>
      <c r="C90" s="8" t="s">
        <v>3110</v>
      </c>
      <c r="D90" s="8">
        <v>641</v>
      </c>
      <c r="E90" s="8">
        <v>31852.7</v>
      </c>
      <c r="F90" s="45" t="s">
        <v>3111</v>
      </c>
      <c r="G90" s="45">
        <v>18731</v>
      </c>
      <c r="H90" s="45"/>
      <c r="I90" s="116">
        <v>400</v>
      </c>
      <c r="J90" s="140">
        <v>19899.900000000001</v>
      </c>
      <c r="K90" s="141">
        <f t="shared" si="50"/>
        <v>0</v>
      </c>
      <c r="L90" s="31">
        <f t="shared" si="52"/>
        <v>6.8532231662639907E-3</v>
      </c>
    </row>
    <row r="91" spans="1:12" x14ac:dyDescent="0.3">
      <c r="A91" s="871">
        <v>275</v>
      </c>
      <c r="B91" s="873">
        <v>13449</v>
      </c>
      <c r="C91" s="873" t="s">
        <v>3354</v>
      </c>
      <c r="D91" s="873">
        <f>+I91+I92</f>
        <v>275</v>
      </c>
      <c r="E91" s="873">
        <f>+J91+J92</f>
        <v>12715.900000000001</v>
      </c>
      <c r="F91" s="39" t="s">
        <v>3355</v>
      </c>
      <c r="G91" s="39">
        <v>18801</v>
      </c>
      <c r="H91" s="39"/>
      <c r="I91" s="78">
        <v>200</v>
      </c>
      <c r="J91" s="79">
        <v>9364.6</v>
      </c>
      <c r="K91" s="1031">
        <f t="shared" ref="K91" si="53">+A91-D91</f>
        <v>0</v>
      </c>
      <c r="L91" s="879">
        <f t="shared" ref="L91" si="54">((+B91/A91)-(E91/D91))/(B91/A91)</f>
        <v>5.4509628968696405E-2</v>
      </c>
    </row>
    <row r="92" spans="1:12" ht="15" thickBot="1" x14ac:dyDescent="0.35">
      <c r="A92" s="872"/>
      <c r="B92" s="874"/>
      <c r="C92" s="874"/>
      <c r="D92" s="874"/>
      <c r="E92" s="874"/>
      <c r="F92" s="42" t="s">
        <v>3355</v>
      </c>
      <c r="G92" s="42">
        <v>18801</v>
      </c>
      <c r="H92" s="42"/>
      <c r="I92" s="102">
        <v>75</v>
      </c>
      <c r="J92" s="103">
        <v>3351.3</v>
      </c>
      <c r="K92" s="1032"/>
      <c r="L92" s="880"/>
    </row>
    <row r="93" spans="1:12" ht="15" thickBot="1" x14ac:dyDescent="0.35">
      <c r="A93" s="175">
        <v>98</v>
      </c>
      <c r="B93" s="8">
        <v>3347.5</v>
      </c>
      <c r="C93" s="8" t="s">
        <v>3356</v>
      </c>
      <c r="D93" s="8">
        <f>+I93</f>
        <v>98</v>
      </c>
      <c r="E93" s="8">
        <f>+J93</f>
        <v>3238.1</v>
      </c>
      <c r="F93" s="45" t="s">
        <v>3357</v>
      </c>
      <c r="G93" s="45">
        <v>18811</v>
      </c>
      <c r="H93" s="45"/>
      <c r="I93" s="116">
        <v>98</v>
      </c>
      <c r="J93" s="117">
        <v>3238.1</v>
      </c>
      <c r="K93" s="141">
        <f t="shared" ref="K93:K95" si="55">+A93-D93</f>
        <v>0</v>
      </c>
      <c r="L93" s="31">
        <f t="shared" ref="L93:L95" si="56">((+B93/A93)-(E93/D93))/(B93/A93)</f>
        <v>3.2681105302464625E-2</v>
      </c>
    </row>
    <row r="94" spans="1:12" ht="15" thickBot="1" x14ac:dyDescent="0.35">
      <c r="A94" s="175">
        <v>15</v>
      </c>
      <c r="B94" s="8">
        <v>675</v>
      </c>
      <c r="C94" s="8" t="s">
        <v>3479</v>
      </c>
      <c r="D94" s="8">
        <v>15</v>
      </c>
      <c r="E94" s="8">
        <v>749.6</v>
      </c>
      <c r="F94" s="45" t="s">
        <v>3480</v>
      </c>
      <c r="G94" s="45">
        <v>18821</v>
      </c>
      <c r="H94" s="45"/>
      <c r="I94" s="116"/>
      <c r="J94" s="117"/>
      <c r="K94" s="141">
        <f t="shared" si="55"/>
        <v>0</v>
      </c>
      <c r="L94" s="31">
        <f t="shared" si="56"/>
        <v>-0.11051851851851859</v>
      </c>
    </row>
    <row r="95" spans="1:12" ht="15" thickBot="1" x14ac:dyDescent="0.35">
      <c r="A95" s="175">
        <v>149</v>
      </c>
      <c r="B95" s="8">
        <v>6777</v>
      </c>
      <c r="C95" s="8" t="s">
        <v>3358</v>
      </c>
      <c r="D95" s="8">
        <f>+I95+110</f>
        <v>149</v>
      </c>
      <c r="E95" s="317">
        <f>+J95+4801.2</f>
        <v>6488.1</v>
      </c>
      <c r="F95" s="45" t="s">
        <v>3359</v>
      </c>
      <c r="G95" s="45">
        <v>18851</v>
      </c>
      <c r="H95" s="45"/>
      <c r="I95" s="116">
        <v>39</v>
      </c>
      <c r="J95" s="117">
        <v>1686.9</v>
      </c>
      <c r="K95" s="141">
        <f t="shared" si="55"/>
        <v>0</v>
      </c>
      <c r="L95" s="31">
        <f t="shared" si="56"/>
        <v>4.2629482071713125E-2</v>
      </c>
    </row>
    <row r="96" spans="1:12" ht="15" thickBot="1" x14ac:dyDescent="0.35">
      <c r="A96" s="313">
        <v>335</v>
      </c>
      <c r="B96" s="27">
        <v>13622.5</v>
      </c>
      <c r="C96" s="27" t="s">
        <v>3481</v>
      </c>
      <c r="D96" s="8">
        <f t="shared" ref="D96:E100" si="57">+I96</f>
        <v>335</v>
      </c>
      <c r="E96" s="8">
        <f t="shared" si="57"/>
        <v>15244.2</v>
      </c>
      <c r="F96" s="45" t="s">
        <v>3482</v>
      </c>
      <c r="G96" s="45">
        <v>18861</v>
      </c>
      <c r="H96" s="45"/>
      <c r="I96" s="116">
        <v>335</v>
      </c>
      <c r="J96" s="117">
        <v>15244.2</v>
      </c>
      <c r="K96" s="141">
        <f t="shared" ref="K96:K98" si="58">+A96-D96</f>
        <v>0</v>
      </c>
      <c r="L96" s="31">
        <f t="shared" ref="L96:L98" si="59">((+B96/A96)-(E96/D96))/(B96/A96)</f>
        <v>-0.1190456964580657</v>
      </c>
    </row>
    <row r="97" spans="1:12" ht="15" thickBot="1" x14ac:dyDescent="0.35">
      <c r="A97" s="175">
        <v>350</v>
      </c>
      <c r="B97" s="8">
        <v>17094.75</v>
      </c>
      <c r="C97" s="8" t="s">
        <v>3483</v>
      </c>
      <c r="D97" s="8">
        <f t="shared" si="57"/>
        <v>350</v>
      </c>
      <c r="E97" s="8">
        <f t="shared" si="57"/>
        <v>16012.599999999999</v>
      </c>
      <c r="F97" s="45" t="s">
        <v>3484</v>
      </c>
      <c r="G97" s="45">
        <v>18881</v>
      </c>
      <c r="H97" s="45"/>
      <c r="I97" s="116">
        <v>350</v>
      </c>
      <c r="J97" s="117">
        <v>16012.599999999999</v>
      </c>
      <c r="K97" s="141">
        <f t="shared" si="58"/>
        <v>0</v>
      </c>
      <c r="L97" s="31">
        <f t="shared" si="59"/>
        <v>6.3303060881264875E-2</v>
      </c>
    </row>
    <row r="98" spans="1:12" ht="15" thickBot="1" x14ac:dyDescent="0.35">
      <c r="A98" s="175">
        <v>495</v>
      </c>
      <c r="B98" s="8">
        <v>27078</v>
      </c>
      <c r="C98" s="8" t="s">
        <v>3485</v>
      </c>
      <c r="D98" s="8">
        <f t="shared" si="57"/>
        <v>492</v>
      </c>
      <c r="E98" s="8">
        <f t="shared" si="57"/>
        <v>25206.2</v>
      </c>
      <c r="F98" s="45" t="s">
        <v>3486</v>
      </c>
      <c r="G98" s="45">
        <v>18891</v>
      </c>
      <c r="H98" s="45"/>
      <c r="I98" s="116">
        <v>492</v>
      </c>
      <c r="J98" s="117">
        <v>25206.2</v>
      </c>
      <c r="K98" s="141">
        <f t="shared" si="58"/>
        <v>3</v>
      </c>
      <c r="L98" s="31">
        <f t="shared" si="59"/>
        <v>6.3450168348348643E-2</v>
      </c>
    </row>
    <row r="99" spans="1:12" ht="15" thickBot="1" x14ac:dyDescent="0.35">
      <c r="A99" s="175">
        <v>501</v>
      </c>
      <c r="B99" s="8">
        <v>22182.25</v>
      </c>
      <c r="C99" s="8" t="s">
        <v>3803</v>
      </c>
      <c r="D99" s="8">
        <f t="shared" si="57"/>
        <v>501</v>
      </c>
      <c r="E99" s="8">
        <f t="shared" si="57"/>
        <v>21610.199999999997</v>
      </c>
      <c r="F99" s="45" t="s">
        <v>3804</v>
      </c>
      <c r="G99" s="45">
        <v>18941</v>
      </c>
      <c r="H99" s="45"/>
      <c r="I99" s="116">
        <v>501</v>
      </c>
      <c r="J99" s="117">
        <v>21610.199999999997</v>
      </c>
      <c r="K99" s="141">
        <f t="shared" ref="K99" si="60">+A99-D99</f>
        <v>0</v>
      </c>
      <c r="L99" s="31">
        <f t="shared" ref="L99" si="61">((+B99/A99)-(E99/D99))/(B99/A99)</f>
        <v>2.5788637311363997E-2</v>
      </c>
    </row>
    <row r="100" spans="1:12" ht="15" thickBot="1" x14ac:dyDescent="0.35">
      <c r="A100" s="175">
        <v>300</v>
      </c>
      <c r="B100" s="8">
        <v>13137.75</v>
      </c>
      <c r="C100" s="8" t="s">
        <v>4065</v>
      </c>
      <c r="D100" s="8">
        <f t="shared" si="57"/>
        <v>300</v>
      </c>
      <c r="E100" s="8">
        <f t="shared" si="57"/>
        <v>12899.6</v>
      </c>
      <c r="F100" s="45" t="s">
        <v>4066</v>
      </c>
      <c r="G100" s="45">
        <v>19011</v>
      </c>
      <c r="H100" s="45"/>
      <c r="I100" s="116">
        <v>300</v>
      </c>
      <c r="J100" s="117">
        <v>12899.6</v>
      </c>
      <c r="K100" s="141">
        <f t="shared" ref="K100" si="62">+A100-D100</f>
        <v>0</v>
      </c>
      <c r="L100" s="31">
        <f t="shared" ref="L100" si="63">((+B100/A100)-(E100/D100))/(B100/A100)</f>
        <v>1.8127152670738868E-2</v>
      </c>
    </row>
    <row r="101" spans="1:12" x14ac:dyDescent="0.3">
      <c r="A101" s="871">
        <v>457</v>
      </c>
      <c r="B101" s="873">
        <v>19952.900000000001</v>
      </c>
      <c r="C101" s="873" t="s">
        <v>4067</v>
      </c>
      <c r="D101" s="873">
        <f>+I101+I102</f>
        <v>457</v>
      </c>
      <c r="E101" s="873">
        <f>+J101+J102</f>
        <v>19112.599999999999</v>
      </c>
      <c r="F101" s="39" t="s">
        <v>4068</v>
      </c>
      <c r="G101" s="39">
        <v>19041</v>
      </c>
      <c r="H101" s="39"/>
      <c r="I101" s="78">
        <v>400</v>
      </c>
      <c r="J101" s="79">
        <v>16596.599999999999</v>
      </c>
      <c r="K101" s="1031">
        <f t="shared" ref="K101" si="64">+A101-D101</f>
        <v>0</v>
      </c>
      <c r="L101" s="879">
        <f t="shared" ref="L101" si="65">((+B101/A101)-(E101/D101))/(B101/A101)</f>
        <v>4.2114178891289052E-2</v>
      </c>
    </row>
    <row r="102" spans="1:12" ht="15" thickBot="1" x14ac:dyDescent="0.35">
      <c r="A102" s="875"/>
      <c r="B102" s="881"/>
      <c r="C102" s="881"/>
      <c r="D102" s="881"/>
      <c r="E102" s="881"/>
      <c r="F102" s="50" t="s">
        <v>4068</v>
      </c>
      <c r="G102" s="50">
        <v>19041</v>
      </c>
      <c r="H102" s="50"/>
      <c r="I102" s="118">
        <v>57</v>
      </c>
      <c r="J102" s="119">
        <v>2516</v>
      </c>
      <c r="K102" s="1032"/>
      <c r="L102" s="880"/>
    </row>
    <row r="103" spans="1:12" x14ac:dyDescent="0.3">
      <c r="A103" s="871">
        <v>480</v>
      </c>
      <c r="B103" s="873">
        <v>24026.3</v>
      </c>
      <c r="C103" s="873" t="s">
        <v>4069</v>
      </c>
      <c r="D103" s="873">
        <f>+I103+I104</f>
        <v>480</v>
      </c>
      <c r="E103" s="873">
        <f>+J103+J104</f>
        <v>22955.399999999998</v>
      </c>
      <c r="F103" s="39" t="s">
        <v>4070</v>
      </c>
      <c r="G103" s="39">
        <v>19081</v>
      </c>
      <c r="H103" s="39"/>
      <c r="I103" s="78">
        <v>300</v>
      </c>
      <c r="J103" s="79">
        <v>14454.099999999999</v>
      </c>
      <c r="K103" s="1031">
        <f t="shared" ref="K103" si="66">+A103-D103</f>
        <v>0</v>
      </c>
      <c r="L103" s="879">
        <f t="shared" ref="L103" si="67">((+B103/A103)-(E103/D103))/(B103/A103)</f>
        <v>4.4571989861110592E-2</v>
      </c>
    </row>
    <row r="104" spans="1:12" ht="15" thickBot="1" x14ac:dyDescent="0.35">
      <c r="A104" s="872"/>
      <c r="B104" s="874"/>
      <c r="C104" s="874"/>
      <c r="D104" s="874"/>
      <c r="E104" s="874"/>
      <c r="F104" s="42" t="s">
        <v>4070</v>
      </c>
      <c r="G104" s="42">
        <v>19081</v>
      </c>
      <c r="H104" s="42"/>
      <c r="I104" s="102">
        <v>180</v>
      </c>
      <c r="J104" s="103">
        <v>8501.2999999999993</v>
      </c>
      <c r="K104" s="1032"/>
      <c r="L104" s="880"/>
    </row>
    <row r="105" spans="1:12" ht="15" thickBot="1" x14ac:dyDescent="0.35">
      <c r="A105" s="175">
        <v>388</v>
      </c>
      <c r="B105" s="8">
        <v>19410.099999999999</v>
      </c>
      <c r="C105" s="8" t="s">
        <v>4071</v>
      </c>
      <c r="D105" s="8">
        <f t="shared" ref="D105:E105" si="68">+I105</f>
        <v>389</v>
      </c>
      <c r="E105" s="8">
        <f t="shared" si="68"/>
        <v>18775.7</v>
      </c>
      <c r="F105" s="45" t="s">
        <v>4072</v>
      </c>
      <c r="G105" s="45">
        <v>19111</v>
      </c>
      <c r="H105" s="45"/>
      <c r="I105" s="116">
        <v>389</v>
      </c>
      <c r="J105" s="117">
        <v>18775.7</v>
      </c>
      <c r="K105" s="141">
        <f t="shared" ref="K105:K106" si="69">+A105-D105</f>
        <v>-1</v>
      </c>
      <c r="L105" s="31">
        <f t="shared" ref="L105:L106" si="70">((+B105/A105)-(E105/D105))/(B105/A105)</f>
        <v>3.5170688506337401E-2</v>
      </c>
    </row>
    <row r="106" spans="1:12" ht="15" thickBot="1" x14ac:dyDescent="0.35">
      <c r="A106" s="175">
        <v>1010</v>
      </c>
      <c r="B106" s="8">
        <v>45000.25</v>
      </c>
      <c r="C106" s="8" t="s">
        <v>4073</v>
      </c>
      <c r="D106" s="8">
        <v>1010</v>
      </c>
      <c r="E106" s="8">
        <v>44486.1</v>
      </c>
      <c r="F106" s="45" t="s">
        <v>4290</v>
      </c>
      <c r="G106" s="45">
        <v>19161</v>
      </c>
      <c r="H106" s="45"/>
      <c r="I106" s="116">
        <v>600</v>
      </c>
      <c r="J106" s="117">
        <v>26235.9</v>
      </c>
      <c r="K106" s="141">
        <f t="shared" si="69"/>
        <v>0</v>
      </c>
      <c r="L106" s="31">
        <f t="shared" si="70"/>
        <v>1.1425492080599625E-2</v>
      </c>
    </row>
    <row r="107" spans="1:12" ht="15" thickBot="1" x14ac:dyDescent="0.35">
      <c r="A107" s="174">
        <v>300</v>
      </c>
      <c r="B107" s="12">
        <v>13832.25</v>
      </c>
      <c r="C107" s="12" t="s">
        <v>4291</v>
      </c>
      <c r="D107" s="12">
        <f>+I107</f>
        <v>300</v>
      </c>
      <c r="E107" s="318">
        <f>+J107</f>
        <v>13494.3</v>
      </c>
      <c r="F107" s="39" t="s">
        <v>4292</v>
      </c>
      <c r="G107" s="39">
        <v>19171</v>
      </c>
      <c r="H107" s="39"/>
      <c r="I107" s="78">
        <v>300</v>
      </c>
      <c r="J107" s="79">
        <v>13494.3</v>
      </c>
      <c r="K107" s="141">
        <f t="shared" ref="K107:K108" si="71">+A107-D107</f>
        <v>0</v>
      </c>
      <c r="L107" s="31">
        <f t="shared" ref="L107:L108" si="72">((+B107/A107)-(E107/D107))/(B107/A107)</f>
        <v>2.4432033833975103E-2</v>
      </c>
    </row>
    <row r="108" spans="1:12" ht="15" thickBot="1" x14ac:dyDescent="0.35">
      <c r="A108" s="175">
        <v>332</v>
      </c>
      <c r="B108" s="8">
        <v>14966.75</v>
      </c>
      <c r="C108" s="8" t="s">
        <v>4293</v>
      </c>
      <c r="D108" s="8">
        <v>332</v>
      </c>
      <c r="E108" s="317">
        <v>14407.3</v>
      </c>
      <c r="F108" s="45" t="s">
        <v>4294</v>
      </c>
      <c r="G108" s="45">
        <v>19181</v>
      </c>
      <c r="H108" s="45"/>
      <c r="I108" s="116">
        <v>100</v>
      </c>
      <c r="J108" s="117">
        <v>4268.7</v>
      </c>
      <c r="K108" s="141">
        <f t="shared" si="71"/>
        <v>0</v>
      </c>
      <c r="L108" s="31">
        <f t="shared" si="72"/>
        <v>3.7379524612892012E-2</v>
      </c>
    </row>
    <row r="109" spans="1:12" ht="15" thickBot="1" x14ac:dyDescent="0.35">
      <c r="A109" s="175">
        <v>300</v>
      </c>
      <c r="B109" s="8">
        <v>13949.5</v>
      </c>
      <c r="C109" s="8" t="s">
        <v>4475</v>
      </c>
      <c r="D109" s="8">
        <v>300</v>
      </c>
      <c r="E109" s="317">
        <v>13726.8</v>
      </c>
      <c r="F109" s="45" t="s">
        <v>4476</v>
      </c>
      <c r="G109" s="45">
        <v>19201</v>
      </c>
      <c r="H109" s="45"/>
      <c r="I109" s="116">
        <v>100</v>
      </c>
      <c r="J109" s="117">
        <v>4585.6000000000004</v>
      </c>
      <c r="K109" s="141">
        <f t="shared" ref="K109" si="73">+A109-D109</f>
        <v>0</v>
      </c>
      <c r="L109" s="31">
        <f t="shared" ref="L109" si="74">((+B109/A109)-(E109/D109))/(B109/A109)</f>
        <v>1.5964729918635102E-2</v>
      </c>
    </row>
    <row r="110" spans="1:12" ht="15" thickBot="1" x14ac:dyDescent="0.35">
      <c r="A110" s="199">
        <v>289</v>
      </c>
      <c r="B110" s="10">
        <v>12135</v>
      </c>
      <c r="C110" s="10" t="s">
        <v>4563</v>
      </c>
      <c r="D110" s="10">
        <v>289</v>
      </c>
      <c r="E110" s="10">
        <v>11878.2</v>
      </c>
      <c r="F110" s="42" t="s">
        <v>4564</v>
      </c>
      <c r="G110" s="42">
        <v>19241</v>
      </c>
      <c r="H110" s="42"/>
      <c r="I110" s="102">
        <v>168</v>
      </c>
      <c r="J110" s="103">
        <v>6979.8</v>
      </c>
      <c r="K110" s="141">
        <f t="shared" ref="K110:K111" si="75">+A110-D110</f>
        <v>0</v>
      </c>
      <c r="L110" s="31">
        <f t="shared" ref="L110:L111" si="76">((+B110/A110)-(E110/D110))/(B110/A110)</f>
        <v>2.116192830655126E-2</v>
      </c>
    </row>
    <row r="111" spans="1:12" x14ac:dyDescent="0.3">
      <c r="A111" s="871">
        <v>513</v>
      </c>
      <c r="B111" s="873">
        <v>24115</v>
      </c>
      <c r="C111" s="873" t="s">
        <v>4655</v>
      </c>
      <c r="D111" s="873">
        <f>+I111+I112</f>
        <v>514</v>
      </c>
      <c r="E111" s="873">
        <f>+J111+J112</f>
        <v>23812.6</v>
      </c>
      <c r="F111" s="39" t="s">
        <v>4656</v>
      </c>
      <c r="G111" s="39">
        <v>19271</v>
      </c>
      <c r="H111" s="39"/>
      <c r="I111" s="78">
        <v>200</v>
      </c>
      <c r="J111" s="79">
        <v>9296.9</v>
      </c>
      <c r="K111" s="1031">
        <f t="shared" si="75"/>
        <v>-1</v>
      </c>
      <c r="L111" s="879">
        <f t="shared" si="76"/>
        <v>1.4461041491362387E-2</v>
      </c>
    </row>
    <row r="112" spans="1:12" ht="15" thickBot="1" x14ac:dyDescent="0.35">
      <c r="A112" s="872"/>
      <c r="B112" s="874"/>
      <c r="C112" s="874"/>
      <c r="D112" s="874"/>
      <c r="E112" s="874"/>
      <c r="F112" s="42" t="s">
        <v>4656</v>
      </c>
      <c r="G112" s="42">
        <v>19271</v>
      </c>
      <c r="H112" s="42"/>
      <c r="I112" s="102">
        <v>314</v>
      </c>
      <c r="J112" s="103">
        <v>14515.7</v>
      </c>
      <c r="K112" s="1032"/>
      <c r="L112" s="880"/>
    </row>
    <row r="113" spans="1:12" ht="15" thickBot="1" x14ac:dyDescent="0.35">
      <c r="A113" s="190">
        <v>590</v>
      </c>
      <c r="B113" s="8">
        <v>26858</v>
      </c>
      <c r="C113" s="8" t="s">
        <v>4657</v>
      </c>
      <c r="D113" s="8">
        <v>590</v>
      </c>
      <c r="E113" s="8">
        <v>26709.599999999999</v>
      </c>
      <c r="F113" s="45" t="s">
        <v>4658</v>
      </c>
      <c r="G113" s="45">
        <v>19301</v>
      </c>
      <c r="H113" s="45"/>
      <c r="I113" s="116">
        <v>200</v>
      </c>
      <c r="J113" s="140">
        <v>8921</v>
      </c>
      <c r="K113" s="141">
        <f t="shared" ref="K113" si="77">+A113-D113</f>
        <v>0</v>
      </c>
      <c r="L113" s="31">
        <f t="shared" ref="L113" si="78">((+B113/A113)-(E113/D113))/(B113/A113)</f>
        <v>5.52535557375831E-3</v>
      </c>
    </row>
    <row r="114" spans="1:12" ht="15" thickBot="1" x14ac:dyDescent="0.35">
      <c r="A114" s="175">
        <v>600</v>
      </c>
      <c r="B114" s="8">
        <v>27919.75</v>
      </c>
      <c r="C114" s="8" t="s">
        <v>4731</v>
      </c>
      <c r="D114" s="8">
        <v>600</v>
      </c>
      <c r="E114" s="8">
        <v>27683.200000000001</v>
      </c>
      <c r="F114" s="45" t="s">
        <v>4732</v>
      </c>
      <c r="G114" s="46">
        <v>19331</v>
      </c>
      <c r="H114" s="50"/>
      <c r="I114" s="118">
        <v>130</v>
      </c>
      <c r="J114" s="139">
        <v>5814.7</v>
      </c>
      <c r="K114" s="141">
        <f t="shared" ref="K114" si="79">+A114-D114</f>
        <v>0</v>
      </c>
      <c r="L114" s="31">
        <f t="shared" ref="L114" si="80">((+B114/A114)-(E114/D114))/(B114/A114)</f>
        <v>8.4724970674880593E-3</v>
      </c>
    </row>
    <row r="115" spans="1:12" ht="15" thickBot="1" x14ac:dyDescent="0.35">
      <c r="A115" s="175">
        <v>606</v>
      </c>
      <c r="B115" s="8">
        <v>27425.75</v>
      </c>
      <c r="C115" s="8" t="s">
        <v>4917</v>
      </c>
      <c r="D115" s="8">
        <v>606</v>
      </c>
      <c r="E115" s="8">
        <v>27245.5</v>
      </c>
      <c r="F115" s="45" t="s">
        <v>4919</v>
      </c>
      <c r="G115" s="46">
        <v>19381</v>
      </c>
      <c r="H115" s="50"/>
      <c r="I115" s="118">
        <v>130</v>
      </c>
      <c r="J115" s="139">
        <v>5814.7</v>
      </c>
      <c r="K115" s="141">
        <f t="shared" ref="K115:K116" si="81">+A115-D115</f>
        <v>0</v>
      </c>
      <c r="L115" s="31">
        <f t="shared" ref="L115:L116" si="82">((+B115/A115)-(E115/D115))/(B115/A115)</f>
        <v>6.5722906392715998E-3</v>
      </c>
    </row>
    <row r="116" spans="1:12" ht="15" thickBot="1" x14ac:dyDescent="0.35">
      <c r="A116" s="175">
        <v>275</v>
      </c>
      <c r="B116" s="8">
        <v>11397.75</v>
      </c>
      <c r="C116" s="8" t="s">
        <v>4918</v>
      </c>
      <c r="D116" s="8">
        <v>275</v>
      </c>
      <c r="E116" s="8">
        <v>11215.3</v>
      </c>
      <c r="F116" s="45" t="s">
        <v>4920</v>
      </c>
      <c r="G116" s="46">
        <v>19411</v>
      </c>
      <c r="H116" s="50"/>
      <c r="I116" s="118">
        <v>130</v>
      </c>
      <c r="J116" s="139">
        <v>5814.7</v>
      </c>
      <c r="K116" s="141">
        <f t="shared" si="81"/>
        <v>0</v>
      </c>
      <c r="L116" s="31">
        <f t="shared" si="82"/>
        <v>1.6007545348862798E-2</v>
      </c>
    </row>
    <row r="117" spans="1:12" ht="15" thickBot="1" x14ac:dyDescent="0.35">
      <c r="A117" s="174">
        <v>180</v>
      </c>
      <c r="B117" s="12">
        <v>8135.75</v>
      </c>
      <c r="C117" s="12" t="s">
        <v>5095</v>
      </c>
      <c r="D117" s="12">
        <f>+I117</f>
        <v>180</v>
      </c>
      <c r="E117" s="12">
        <f>+J117</f>
        <v>8102.2</v>
      </c>
      <c r="F117" s="39" t="s">
        <v>5096</v>
      </c>
      <c r="G117" s="39">
        <v>19441</v>
      </c>
      <c r="H117" s="39"/>
      <c r="I117" s="78">
        <v>180</v>
      </c>
      <c r="J117" s="79">
        <v>8102.2</v>
      </c>
      <c r="K117" s="141">
        <f t="shared" ref="K117:K118" si="83">+A117-D117</f>
        <v>0</v>
      </c>
      <c r="L117" s="31">
        <f t="shared" ref="L117" si="84">((+B117/A117)-(E117/D117))/(B117/A117)</f>
        <v>4.1237746980918302E-3</v>
      </c>
    </row>
    <row r="118" spans="1:12" x14ac:dyDescent="0.3">
      <c r="A118" s="871">
        <v>250</v>
      </c>
      <c r="B118" s="873">
        <v>10481</v>
      </c>
      <c r="C118" s="873" t="s">
        <v>5097</v>
      </c>
      <c r="D118" s="873">
        <v>250</v>
      </c>
      <c r="E118" s="873">
        <v>10561.9</v>
      </c>
      <c r="F118" s="39" t="s">
        <v>5098</v>
      </c>
      <c r="G118" s="39">
        <v>19481</v>
      </c>
      <c r="H118" s="39"/>
      <c r="I118" s="78">
        <v>20</v>
      </c>
      <c r="J118" s="79">
        <v>842.2</v>
      </c>
      <c r="K118" s="877">
        <f t="shared" si="83"/>
        <v>0</v>
      </c>
      <c r="L118" s="879">
        <f>((+B118/A118)-(E118/D118))/(B118/A118)</f>
        <v>-7.7187291288998905E-3</v>
      </c>
    </row>
    <row r="119" spans="1:12" x14ac:dyDescent="0.3">
      <c r="A119" s="875"/>
      <c r="B119" s="881"/>
      <c r="C119" s="881"/>
      <c r="D119" s="881"/>
      <c r="E119" s="881"/>
      <c r="F119" s="50" t="s">
        <v>5098</v>
      </c>
      <c r="G119" s="50">
        <v>19481</v>
      </c>
      <c r="H119" s="50"/>
      <c r="I119" s="118">
        <v>90</v>
      </c>
      <c r="J119" s="119">
        <v>3782.6</v>
      </c>
      <c r="K119" s="886"/>
      <c r="L119" s="885"/>
    </row>
    <row r="120" spans="1:12" ht="15" thickBot="1" x14ac:dyDescent="0.35">
      <c r="A120" s="872"/>
      <c r="B120" s="874"/>
      <c r="C120" s="874"/>
      <c r="D120" s="874"/>
      <c r="E120" s="874"/>
      <c r="F120" s="42" t="s">
        <v>5098</v>
      </c>
      <c r="G120" s="42">
        <v>19481</v>
      </c>
      <c r="H120" s="42"/>
      <c r="I120" s="102">
        <v>100</v>
      </c>
      <c r="J120" s="103">
        <v>4239.8999999999996</v>
      </c>
      <c r="K120" s="878"/>
      <c r="L120" s="880"/>
    </row>
    <row r="121" spans="1:12" x14ac:dyDescent="0.3">
      <c r="A121" s="871">
        <v>246</v>
      </c>
      <c r="B121" s="873">
        <v>10951.25</v>
      </c>
      <c r="C121" s="873" t="s">
        <v>5230</v>
      </c>
      <c r="D121" s="873">
        <f>+I121+I122</f>
        <v>246</v>
      </c>
      <c r="E121" s="873">
        <f>+J121+J122</f>
        <v>11214.3</v>
      </c>
      <c r="F121" s="392" t="s">
        <v>5330</v>
      </c>
      <c r="G121" s="392">
        <v>19511</v>
      </c>
      <c r="H121" s="378"/>
      <c r="I121" s="78">
        <v>160</v>
      </c>
      <c r="J121" s="79">
        <v>7298.8</v>
      </c>
      <c r="K121" s="1031">
        <f t="shared" ref="K121" si="85">+A121-D121</f>
        <v>0</v>
      </c>
      <c r="L121" s="879">
        <f t="shared" ref="L121" si="86">((+B121/A121)-(E121/D121))/(B121/A121)</f>
        <v>-2.4020089030932563E-2</v>
      </c>
    </row>
    <row r="122" spans="1:12" ht="15" thickBot="1" x14ac:dyDescent="0.35">
      <c r="A122" s="872"/>
      <c r="B122" s="874"/>
      <c r="C122" s="874"/>
      <c r="D122" s="874"/>
      <c r="E122" s="874"/>
      <c r="F122" s="393" t="s">
        <v>5330</v>
      </c>
      <c r="G122" s="393">
        <v>19511</v>
      </c>
      <c r="H122" s="379"/>
      <c r="I122" s="102">
        <v>86</v>
      </c>
      <c r="J122" s="103">
        <v>3915.5</v>
      </c>
      <c r="K122" s="1032"/>
      <c r="L122" s="880"/>
    </row>
    <row r="123" spans="1:12" ht="15" thickBot="1" x14ac:dyDescent="0.35">
      <c r="A123" s="175">
        <v>144</v>
      </c>
      <c r="B123" s="8">
        <v>5299.5</v>
      </c>
      <c r="C123" s="8" t="s">
        <v>5231</v>
      </c>
      <c r="D123" s="8">
        <f>+I123</f>
        <v>144</v>
      </c>
      <c r="E123" s="8">
        <f>+J123</f>
        <v>5336.4000000000005</v>
      </c>
      <c r="F123" s="45" t="s">
        <v>5232</v>
      </c>
      <c r="G123" s="45">
        <v>10541</v>
      </c>
      <c r="H123" s="45"/>
      <c r="I123" s="116">
        <v>144</v>
      </c>
      <c r="J123" s="117">
        <v>5336.4000000000005</v>
      </c>
      <c r="K123" s="141">
        <f t="shared" ref="K123:K124" si="87">+A123-D123</f>
        <v>0</v>
      </c>
      <c r="L123" s="31">
        <f t="shared" ref="L123:L124" si="88">((+B123/A123)-(E123/D123))/(B123/A123)</f>
        <v>-6.9629210302859139E-3</v>
      </c>
    </row>
    <row r="124" spans="1:12" ht="15" thickBot="1" x14ac:dyDescent="0.35">
      <c r="A124" s="175">
        <v>292</v>
      </c>
      <c r="B124" s="8">
        <v>12952</v>
      </c>
      <c r="C124" s="8" t="s">
        <v>5233</v>
      </c>
      <c r="D124" s="8">
        <v>292</v>
      </c>
      <c r="E124" s="8">
        <v>13340</v>
      </c>
      <c r="F124" s="45" t="s">
        <v>5234</v>
      </c>
      <c r="G124" s="45">
        <v>10551</v>
      </c>
      <c r="H124" s="45"/>
      <c r="I124" s="116">
        <v>170</v>
      </c>
      <c r="J124" s="117">
        <v>7783.7000000000007</v>
      </c>
      <c r="K124" s="141">
        <f t="shared" si="87"/>
        <v>0</v>
      </c>
      <c r="L124" s="31">
        <f t="shared" si="88"/>
        <v>-2.9956763434218766E-2</v>
      </c>
    </row>
    <row r="125" spans="1:12" ht="15" thickBot="1" x14ac:dyDescent="0.35">
      <c r="A125" s="175">
        <v>237</v>
      </c>
      <c r="B125" s="8">
        <v>10314.5</v>
      </c>
      <c r="C125" s="8" t="s">
        <v>5331</v>
      </c>
      <c r="D125" s="8">
        <f t="shared" ref="D125:E126" si="89">+I125</f>
        <v>227</v>
      </c>
      <c r="E125" s="8">
        <f t="shared" si="89"/>
        <v>10219.9</v>
      </c>
      <c r="F125" s="45" t="s">
        <v>5332</v>
      </c>
      <c r="G125" s="45">
        <v>19571</v>
      </c>
      <c r="H125" s="45"/>
      <c r="I125" s="116">
        <v>227</v>
      </c>
      <c r="J125" s="117">
        <v>10219.9</v>
      </c>
      <c r="K125" s="141">
        <f t="shared" ref="K125:K127" si="90">+A125-D125</f>
        <v>10</v>
      </c>
      <c r="L125" s="31">
        <f t="shared" ref="L125:L127" si="91">((+B125/A125)-(E125/D125))/(B125/A125)</f>
        <v>-3.4477275585906852E-2</v>
      </c>
    </row>
    <row r="126" spans="1:12" ht="15" thickBot="1" x14ac:dyDescent="0.35">
      <c r="A126" s="175">
        <v>500</v>
      </c>
      <c r="B126" s="8">
        <v>20256.5</v>
      </c>
      <c r="C126" s="8" t="s">
        <v>5333</v>
      </c>
      <c r="D126" s="8">
        <f t="shared" si="89"/>
        <v>500</v>
      </c>
      <c r="E126" s="8">
        <f t="shared" si="89"/>
        <v>20728.7</v>
      </c>
      <c r="F126" s="45" t="s">
        <v>5334</v>
      </c>
      <c r="G126" s="45">
        <v>19611</v>
      </c>
      <c r="H126" s="45"/>
      <c r="I126" s="116">
        <v>500</v>
      </c>
      <c r="J126" s="117">
        <v>20728.7</v>
      </c>
      <c r="K126" s="141">
        <f t="shared" si="90"/>
        <v>0</v>
      </c>
      <c r="L126" s="31">
        <f t="shared" si="91"/>
        <v>-2.331103596376476E-2</v>
      </c>
    </row>
    <row r="127" spans="1:12" ht="15" thickBot="1" x14ac:dyDescent="0.35">
      <c r="A127" s="175">
        <v>318</v>
      </c>
      <c r="B127" s="253">
        <v>15447</v>
      </c>
      <c r="C127" s="8" t="s">
        <v>5335</v>
      </c>
      <c r="D127" s="8">
        <v>259</v>
      </c>
      <c r="E127" s="8">
        <v>11036.5</v>
      </c>
      <c r="F127" s="45" t="s">
        <v>5336</v>
      </c>
      <c r="G127" s="45">
        <v>19691</v>
      </c>
      <c r="H127" s="45"/>
      <c r="I127" s="116">
        <v>200</v>
      </c>
      <c r="J127" s="117">
        <v>8431.4</v>
      </c>
      <c r="K127" s="141">
        <f t="shared" si="90"/>
        <v>59</v>
      </c>
      <c r="L127" s="31">
        <f t="shared" si="91"/>
        <v>0.12276777512745661</v>
      </c>
    </row>
    <row r="128" spans="1:12" ht="15" thickBot="1" x14ac:dyDescent="0.35">
      <c r="A128" s="175">
        <f>377-220</f>
        <v>157</v>
      </c>
      <c r="B128" s="8">
        <v>7085.5</v>
      </c>
      <c r="C128" s="8" t="s">
        <v>5464</v>
      </c>
      <c r="D128" s="8">
        <f>+I128</f>
        <v>157</v>
      </c>
      <c r="E128" s="8">
        <f>+J128</f>
        <v>7063.8</v>
      </c>
      <c r="F128" s="45" t="s">
        <v>5465</v>
      </c>
      <c r="G128" s="45">
        <v>19711</v>
      </c>
      <c r="H128" s="45"/>
      <c r="I128" s="116">
        <v>157</v>
      </c>
      <c r="J128" s="117">
        <v>7063.8</v>
      </c>
      <c r="K128" s="141">
        <f t="shared" ref="K128:K130" si="92">+A128-D128</f>
        <v>0</v>
      </c>
      <c r="L128" s="31">
        <f t="shared" ref="L128:L130" si="93">((+B128/A128)-(E128/D128))/(B128/A128)</f>
        <v>3.0625926187284104E-3</v>
      </c>
    </row>
    <row r="129" spans="1:12" ht="15" thickBot="1" x14ac:dyDescent="0.35">
      <c r="A129" s="175">
        <v>582</v>
      </c>
      <c r="B129" s="8">
        <v>26367.75</v>
      </c>
      <c r="C129" s="8" t="s">
        <v>5466</v>
      </c>
      <c r="D129" s="8">
        <v>582</v>
      </c>
      <c r="E129" s="8">
        <v>27367.7</v>
      </c>
      <c r="F129" s="45" t="s">
        <v>5467</v>
      </c>
      <c r="G129" s="46">
        <v>19731</v>
      </c>
      <c r="H129" s="50"/>
      <c r="I129" s="118">
        <v>400</v>
      </c>
      <c r="J129" s="139">
        <v>18763.5</v>
      </c>
      <c r="K129" s="141">
        <f t="shared" si="92"/>
        <v>0</v>
      </c>
      <c r="L129" s="31">
        <f t="shared" si="93"/>
        <v>-3.7923220600923513E-2</v>
      </c>
    </row>
    <row r="130" spans="1:12" x14ac:dyDescent="0.3">
      <c r="A130" s="871">
        <v>495</v>
      </c>
      <c r="B130" s="873">
        <v>21476.25</v>
      </c>
      <c r="C130" s="873" t="s">
        <v>5574</v>
      </c>
      <c r="D130" s="873">
        <v>495</v>
      </c>
      <c r="E130" s="873">
        <v>22121.5</v>
      </c>
      <c r="F130" s="435" t="s">
        <v>5575</v>
      </c>
      <c r="G130" s="435">
        <v>19751</v>
      </c>
      <c r="H130" s="435"/>
      <c r="I130" s="78">
        <v>150</v>
      </c>
      <c r="J130" s="79">
        <v>6699.5</v>
      </c>
      <c r="K130" s="1031">
        <f t="shared" si="92"/>
        <v>0</v>
      </c>
      <c r="L130" s="879">
        <f t="shared" si="93"/>
        <v>-3.0044816948955378E-2</v>
      </c>
    </row>
    <row r="131" spans="1:12" ht="15" thickBot="1" x14ac:dyDescent="0.35">
      <c r="A131" s="872"/>
      <c r="B131" s="874"/>
      <c r="C131" s="874"/>
      <c r="D131" s="874"/>
      <c r="E131" s="874"/>
      <c r="F131" s="436" t="s">
        <v>5575</v>
      </c>
      <c r="G131" s="436">
        <v>19751</v>
      </c>
      <c r="H131" s="436"/>
      <c r="I131" s="102">
        <v>200</v>
      </c>
      <c r="J131" s="103">
        <v>9117.7000000000007</v>
      </c>
      <c r="K131" s="1032"/>
      <c r="L131" s="880"/>
    </row>
    <row r="132" spans="1:12" ht="15" thickBot="1" x14ac:dyDescent="0.35">
      <c r="A132" s="175">
        <v>241</v>
      </c>
      <c r="B132" s="8">
        <v>10649.25</v>
      </c>
      <c r="C132" s="8" t="s">
        <v>5647</v>
      </c>
      <c r="D132" s="8">
        <f>+I132</f>
        <v>241</v>
      </c>
      <c r="E132" s="8">
        <f>+J132</f>
        <v>10740.9</v>
      </c>
      <c r="F132" s="45" t="s">
        <v>5648</v>
      </c>
      <c r="G132" s="45">
        <v>19751</v>
      </c>
      <c r="H132" s="45"/>
      <c r="I132" s="116">
        <v>241</v>
      </c>
      <c r="J132" s="117">
        <v>10740.9</v>
      </c>
      <c r="K132" s="141">
        <f t="shared" ref="K132:K134" si="94">+A132-D132</f>
        <v>0</v>
      </c>
      <c r="L132" s="31">
        <f t="shared" ref="L132:L133" si="95">((+B132/A132)-(E132/D132))/(B132/A132)</f>
        <v>-8.6062398760476787E-3</v>
      </c>
    </row>
    <row r="133" spans="1:12" ht="15" thickBot="1" x14ac:dyDescent="0.35">
      <c r="A133" s="175">
        <v>161</v>
      </c>
      <c r="B133" s="8">
        <v>6232.4</v>
      </c>
      <c r="C133" s="8" t="s">
        <v>5649</v>
      </c>
      <c r="D133" s="8">
        <f>+I133</f>
        <v>161</v>
      </c>
      <c r="E133" s="8">
        <f>+J133</f>
        <v>6360.8</v>
      </c>
      <c r="F133" s="45" t="s">
        <v>5650</v>
      </c>
      <c r="G133" s="45">
        <v>19771</v>
      </c>
      <c r="H133" s="45"/>
      <c r="I133" s="116">
        <v>161</v>
      </c>
      <c r="J133" s="117">
        <v>6360.8</v>
      </c>
      <c r="K133" s="141">
        <f t="shared" si="94"/>
        <v>0</v>
      </c>
      <c r="L133" s="31">
        <f t="shared" si="95"/>
        <v>-2.060201527501461E-2</v>
      </c>
    </row>
    <row r="134" spans="1:12" x14ac:dyDescent="0.3">
      <c r="A134" s="871">
        <v>583</v>
      </c>
      <c r="B134" s="873">
        <v>26246</v>
      </c>
      <c r="C134" s="873" t="s">
        <v>5651</v>
      </c>
      <c r="D134" s="873">
        <f>+I134+I135+I136</f>
        <v>582</v>
      </c>
      <c r="E134" s="873">
        <f>+J134+J135+J136</f>
        <v>27050.300000000003</v>
      </c>
      <c r="F134" s="448" t="s">
        <v>5652</v>
      </c>
      <c r="G134" s="448">
        <v>19791</v>
      </c>
      <c r="H134" s="448"/>
      <c r="I134" s="78">
        <v>50</v>
      </c>
      <c r="J134" s="79">
        <v>2368.1</v>
      </c>
      <c r="K134" s="877">
        <f t="shared" si="94"/>
        <v>1</v>
      </c>
      <c r="L134" s="879">
        <f>((+B134/A134)-(E134/D134))/(B134/A134)</f>
        <v>-3.2415536793955729E-2</v>
      </c>
    </row>
    <row r="135" spans="1:12" x14ac:dyDescent="0.3">
      <c r="A135" s="875"/>
      <c r="B135" s="881"/>
      <c r="C135" s="881"/>
      <c r="D135" s="881"/>
      <c r="E135" s="881"/>
      <c r="F135" s="50" t="s">
        <v>5652</v>
      </c>
      <c r="G135" s="50">
        <v>19791</v>
      </c>
      <c r="H135" s="50"/>
      <c r="I135" s="118">
        <v>316</v>
      </c>
      <c r="J135" s="119">
        <v>14651.6</v>
      </c>
      <c r="K135" s="886"/>
      <c r="L135" s="885"/>
    </row>
    <row r="136" spans="1:12" ht="15" thickBot="1" x14ac:dyDescent="0.35">
      <c r="A136" s="872"/>
      <c r="B136" s="874"/>
      <c r="C136" s="874"/>
      <c r="D136" s="874"/>
      <c r="E136" s="874"/>
      <c r="F136" s="449" t="s">
        <v>5652</v>
      </c>
      <c r="G136" s="449">
        <v>19791</v>
      </c>
      <c r="H136" s="449"/>
      <c r="I136" s="102">
        <v>216</v>
      </c>
      <c r="J136" s="103">
        <v>10030.6</v>
      </c>
      <c r="K136" s="878"/>
      <c r="L136" s="880"/>
    </row>
    <row r="137" spans="1:12" x14ac:dyDescent="0.3">
      <c r="A137" s="871">
        <v>445</v>
      </c>
      <c r="B137" s="873">
        <v>17974.25</v>
      </c>
      <c r="C137" s="873" t="s">
        <v>5782</v>
      </c>
      <c r="D137" s="873">
        <f>+I137+I138+I139</f>
        <v>445</v>
      </c>
      <c r="E137" s="873">
        <f>+J137+J138+J139</f>
        <v>18362.7</v>
      </c>
      <c r="F137" s="465" t="s">
        <v>5783</v>
      </c>
      <c r="G137" s="465">
        <v>19831</v>
      </c>
      <c r="H137" s="465"/>
      <c r="I137" s="78">
        <v>200</v>
      </c>
      <c r="J137" s="79">
        <v>8258.9</v>
      </c>
      <c r="K137" s="877">
        <f t="shared" ref="K137" si="96">+A137-D137</f>
        <v>0</v>
      </c>
      <c r="L137" s="879">
        <f>((+B137/A137)-(E137/D137))/(B137/A137)</f>
        <v>-2.1611471966841597E-2</v>
      </c>
    </row>
    <row r="138" spans="1:12" x14ac:dyDescent="0.3">
      <c r="A138" s="875"/>
      <c r="B138" s="881"/>
      <c r="C138" s="881"/>
      <c r="D138" s="881"/>
      <c r="E138" s="881"/>
      <c r="F138" s="50" t="s">
        <v>5783</v>
      </c>
      <c r="G138" s="50">
        <v>19831</v>
      </c>
      <c r="H138" s="50"/>
      <c r="I138" s="118">
        <v>210</v>
      </c>
      <c r="J138" s="119">
        <v>8622.1</v>
      </c>
      <c r="K138" s="886"/>
      <c r="L138" s="885"/>
    </row>
    <row r="139" spans="1:12" ht="15" thickBot="1" x14ac:dyDescent="0.35">
      <c r="A139" s="875"/>
      <c r="B139" s="881"/>
      <c r="C139" s="881"/>
      <c r="D139" s="881"/>
      <c r="E139" s="881"/>
      <c r="F139" s="50" t="s">
        <v>5783</v>
      </c>
      <c r="G139" s="50">
        <v>19831</v>
      </c>
      <c r="H139" s="50"/>
      <c r="I139" s="118">
        <v>35</v>
      </c>
      <c r="J139" s="119">
        <v>1481.7</v>
      </c>
      <c r="K139" s="878"/>
      <c r="L139" s="880"/>
    </row>
    <row r="140" spans="1:12" x14ac:dyDescent="0.3">
      <c r="A140" s="871">
        <v>468</v>
      </c>
      <c r="B140" s="873">
        <v>20889.25</v>
      </c>
      <c r="C140" s="873" t="s">
        <v>5784</v>
      </c>
      <c r="D140" s="873">
        <f>+I140+I141</f>
        <v>468</v>
      </c>
      <c r="E140" s="873">
        <f>+J140+J141</f>
        <v>21381.5</v>
      </c>
      <c r="F140" s="465" t="s">
        <v>5785</v>
      </c>
      <c r="G140" s="465">
        <v>19841</v>
      </c>
      <c r="H140" s="465"/>
      <c r="I140" s="78">
        <v>268</v>
      </c>
      <c r="J140" s="79">
        <v>12022</v>
      </c>
      <c r="K140" s="1031">
        <f t="shared" ref="K140" si="97">+A140-D140</f>
        <v>0</v>
      </c>
      <c r="L140" s="879">
        <f t="shared" ref="L140" si="98">((+B140/A140)-(E140/D140))/(B140/A140)</f>
        <v>-2.356475220508154E-2</v>
      </c>
    </row>
    <row r="141" spans="1:12" ht="15" thickBot="1" x14ac:dyDescent="0.35">
      <c r="A141" s="872"/>
      <c r="B141" s="874"/>
      <c r="C141" s="874"/>
      <c r="D141" s="874"/>
      <c r="E141" s="874"/>
      <c r="F141" s="466" t="s">
        <v>5785</v>
      </c>
      <c r="G141" s="466">
        <v>19841</v>
      </c>
      <c r="H141" s="466"/>
      <c r="I141" s="102">
        <v>200</v>
      </c>
      <c r="J141" s="103">
        <v>9359.5</v>
      </c>
      <c r="K141" s="1032"/>
      <c r="L141" s="880"/>
    </row>
    <row r="142" spans="1:12" ht="15" thickBot="1" x14ac:dyDescent="0.35">
      <c r="A142" s="460">
        <v>94</v>
      </c>
      <c r="B142" s="461">
        <v>3738.6</v>
      </c>
      <c r="C142" s="461" t="s">
        <v>5786</v>
      </c>
      <c r="D142" s="461">
        <f>+I142</f>
        <v>94</v>
      </c>
      <c r="E142" s="461">
        <f>+J142</f>
        <v>3728.2</v>
      </c>
      <c r="F142" s="466" t="s">
        <v>5787</v>
      </c>
      <c r="G142" s="466">
        <v>19891</v>
      </c>
      <c r="H142" s="466"/>
      <c r="I142" s="102">
        <v>94</v>
      </c>
      <c r="J142" s="103">
        <v>3728.2</v>
      </c>
      <c r="K142" s="141">
        <f t="shared" ref="K142" si="99">+A142-D142</f>
        <v>0</v>
      </c>
      <c r="L142" s="31">
        <f t="shared" ref="L142" si="100">((+B142/A142)-(E142/D142))/(B142/A142)</f>
        <v>2.7817899748569302E-3</v>
      </c>
    </row>
    <row r="143" spans="1:12" ht="15" thickBot="1" x14ac:dyDescent="0.35">
      <c r="A143" s="175">
        <v>452</v>
      </c>
      <c r="B143" s="8">
        <v>20503.75</v>
      </c>
      <c r="C143" s="8" t="s">
        <v>5833</v>
      </c>
      <c r="D143" s="8">
        <f>200+252</f>
        <v>452</v>
      </c>
      <c r="E143" s="8">
        <f>9430.6+11642.9</f>
        <v>21073.5</v>
      </c>
      <c r="F143" s="45" t="s">
        <v>5834</v>
      </c>
      <c r="G143" s="46">
        <v>19901</v>
      </c>
      <c r="H143" s="364"/>
      <c r="I143" s="474"/>
      <c r="J143" s="475"/>
      <c r="K143" s="141">
        <f t="shared" ref="K143" si="101">+A143-D143</f>
        <v>0</v>
      </c>
      <c r="L143" s="31">
        <f t="shared" ref="L143" si="102">((+B143/A143)-(E143/D143))/(B143/A143)</f>
        <v>-2.7787599829299573E-2</v>
      </c>
    </row>
    <row r="144" spans="1:12" ht="15" thickBot="1" x14ac:dyDescent="0.35">
      <c r="A144" s="175">
        <v>434</v>
      </c>
      <c r="B144" s="8">
        <v>19888</v>
      </c>
      <c r="C144" s="8" t="s">
        <v>5919</v>
      </c>
      <c r="D144" s="8">
        <f>+I144</f>
        <v>434</v>
      </c>
      <c r="E144" s="8">
        <f>+J144</f>
        <v>20417.3</v>
      </c>
      <c r="F144" s="45" t="s">
        <v>5920</v>
      </c>
      <c r="G144" s="45">
        <v>19931</v>
      </c>
      <c r="H144" s="45"/>
      <c r="I144" s="116">
        <v>434</v>
      </c>
      <c r="J144" s="117">
        <v>20417.3</v>
      </c>
      <c r="K144" s="141">
        <f t="shared" ref="K144:K145" si="103">+A144-D144</f>
        <v>0</v>
      </c>
      <c r="L144" s="31">
        <f t="shared" ref="L144:L145" si="104">((+B144/A144)-(E144/D144))/(B144/A144)</f>
        <v>-2.6614038616251057E-2</v>
      </c>
    </row>
    <row r="145" spans="1:12" ht="15" thickBot="1" x14ac:dyDescent="0.35">
      <c r="A145" s="175">
        <v>846</v>
      </c>
      <c r="B145" s="8">
        <v>38607.75</v>
      </c>
      <c r="C145" s="8" t="s">
        <v>5921</v>
      </c>
      <c r="D145" s="8">
        <v>386</v>
      </c>
      <c r="E145" s="8">
        <v>17889.3</v>
      </c>
      <c r="F145" s="45" t="s">
        <v>5922</v>
      </c>
      <c r="G145" s="45">
        <v>19941</v>
      </c>
      <c r="H145" s="45"/>
      <c r="I145" s="116">
        <v>286</v>
      </c>
      <c r="J145" s="117">
        <v>13378.3</v>
      </c>
      <c r="K145" s="141">
        <f t="shared" si="103"/>
        <v>460</v>
      </c>
      <c r="L145" s="31">
        <f t="shared" si="104"/>
        <v>-1.5551409296832588E-2</v>
      </c>
    </row>
    <row r="146" spans="1:12" x14ac:dyDescent="0.3">
      <c r="A146" s="15"/>
      <c r="B146" s="15"/>
      <c r="C146" s="15"/>
      <c r="D146" s="15"/>
      <c r="E146" s="15"/>
      <c r="F146" s="50"/>
      <c r="G146" s="50"/>
      <c r="H146" s="50"/>
      <c r="I146" s="118"/>
      <c r="J146" s="139"/>
    </row>
    <row r="147" spans="1:12" x14ac:dyDescent="0.3">
      <c r="A147" s="124">
        <f>SUM(A6:A146)</f>
        <v>34601</v>
      </c>
      <c r="B147" s="124">
        <f>SUM(B6:B146)</f>
        <v>1582985.2600000002</v>
      </c>
      <c r="D147" s="124">
        <f>SUM(D6:D146)</f>
        <v>34013</v>
      </c>
      <c r="E147" s="124">
        <f>SUM(E6:E146)</f>
        <v>1526164.0999999999</v>
      </c>
    </row>
  </sheetData>
  <mergeCells count="215">
    <mergeCell ref="A91:A92"/>
    <mergeCell ref="B91:B92"/>
    <mergeCell ref="C91:C92"/>
    <mergeCell ref="D91:D92"/>
    <mergeCell ref="E91:E92"/>
    <mergeCell ref="K91:K92"/>
    <mergeCell ref="L91:L92"/>
    <mergeCell ref="A88:A89"/>
    <mergeCell ref="B88:B89"/>
    <mergeCell ref="C88:C89"/>
    <mergeCell ref="D88:D89"/>
    <mergeCell ref="E88:E89"/>
    <mergeCell ref="K88:K89"/>
    <mergeCell ref="L88:L89"/>
    <mergeCell ref="L53:L54"/>
    <mergeCell ref="C53:C54"/>
    <mergeCell ref="D53:D54"/>
    <mergeCell ref="E53:E54"/>
    <mergeCell ref="K82:K83"/>
    <mergeCell ref="L82:L83"/>
    <mergeCell ref="L56:L57"/>
    <mergeCell ref="L72:L74"/>
    <mergeCell ref="K58:K60"/>
    <mergeCell ref="L58:L60"/>
    <mergeCell ref="C77:C78"/>
    <mergeCell ref="D77:D78"/>
    <mergeCell ref="E77:E78"/>
    <mergeCell ref="K77:K78"/>
    <mergeCell ref="L77:L78"/>
    <mergeCell ref="K80:K81"/>
    <mergeCell ref="L80:L81"/>
    <mergeCell ref="A80:A81"/>
    <mergeCell ref="B80:B81"/>
    <mergeCell ref="C80:C81"/>
    <mergeCell ref="D80:D81"/>
    <mergeCell ref="E80:E81"/>
    <mergeCell ref="A82:A83"/>
    <mergeCell ref="K75:K76"/>
    <mergeCell ref="L75:L76"/>
    <mergeCell ref="B82:B83"/>
    <mergeCell ref="C82:C83"/>
    <mergeCell ref="D82:D83"/>
    <mergeCell ref="E82:E83"/>
    <mergeCell ref="A75:A76"/>
    <mergeCell ref="B75:B76"/>
    <mergeCell ref="C75:C76"/>
    <mergeCell ref="D75:D76"/>
    <mergeCell ref="E75:E76"/>
    <mergeCell ref="A77:A78"/>
    <mergeCell ref="B77:B78"/>
    <mergeCell ref="A56:A57"/>
    <mergeCell ref="A72:A74"/>
    <mergeCell ref="B72:B74"/>
    <mergeCell ref="C72:C74"/>
    <mergeCell ref="D72:D74"/>
    <mergeCell ref="E72:E74"/>
    <mergeCell ref="K72:K74"/>
    <mergeCell ref="B41:B42"/>
    <mergeCell ref="D41:D42"/>
    <mergeCell ref="E41:E42"/>
    <mergeCell ref="K41:K42"/>
    <mergeCell ref="C41:C42"/>
    <mergeCell ref="K49:K50"/>
    <mergeCell ref="B56:B57"/>
    <mergeCell ref="C56:C57"/>
    <mergeCell ref="D56:D57"/>
    <mergeCell ref="E56:E57"/>
    <mergeCell ref="K56:K57"/>
    <mergeCell ref="A51:A52"/>
    <mergeCell ref="B51:B52"/>
    <mergeCell ref="C51:C52"/>
    <mergeCell ref="D51:D52"/>
    <mergeCell ref="E51:E52"/>
    <mergeCell ref="K53:K54"/>
    <mergeCell ref="K51:K52"/>
    <mergeCell ref="L51:L52"/>
    <mergeCell ref="K33:K34"/>
    <mergeCell ref="L33:L34"/>
    <mergeCell ref="A33:A34"/>
    <mergeCell ref="B33:B34"/>
    <mergeCell ref="C33:C34"/>
    <mergeCell ref="D33:D34"/>
    <mergeCell ref="E33:E34"/>
    <mergeCell ref="A53:A54"/>
    <mergeCell ref="B53:B54"/>
    <mergeCell ref="K35:K37"/>
    <mergeCell ref="L35:L37"/>
    <mergeCell ref="A35:A37"/>
    <mergeCell ref="B35:B37"/>
    <mergeCell ref="C35:C37"/>
    <mergeCell ref="D35:D37"/>
    <mergeCell ref="E35:E37"/>
    <mergeCell ref="L41:L42"/>
    <mergeCell ref="A41:A42"/>
    <mergeCell ref="A49:A50"/>
    <mergeCell ref="B49:B50"/>
    <mergeCell ref="C49:C50"/>
    <mergeCell ref="D49:D50"/>
    <mergeCell ref="E49:E50"/>
    <mergeCell ref="K45:K46"/>
    <mergeCell ref="L45:L46"/>
    <mergeCell ref="A45:A46"/>
    <mergeCell ref="B45:B46"/>
    <mergeCell ref="C45:C46"/>
    <mergeCell ref="D45:D46"/>
    <mergeCell ref="E45:E46"/>
    <mergeCell ref="L49:L50"/>
    <mergeCell ref="K3:K4"/>
    <mergeCell ref="L3:L4"/>
    <mergeCell ref="J3:J4"/>
    <mergeCell ref="L12:L14"/>
    <mergeCell ref="K12:K14"/>
    <mergeCell ref="G3:G4"/>
    <mergeCell ref="A3:C3"/>
    <mergeCell ref="A12:A14"/>
    <mergeCell ref="B12:B14"/>
    <mergeCell ref="C12:C14"/>
    <mergeCell ref="D12:D14"/>
    <mergeCell ref="E12:E14"/>
    <mergeCell ref="L16:L17"/>
    <mergeCell ref="K16:K17"/>
    <mergeCell ref="A16:A17"/>
    <mergeCell ref="B16:B17"/>
    <mergeCell ref="C16:C17"/>
    <mergeCell ref="D16:D17"/>
    <mergeCell ref="E16:E17"/>
    <mergeCell ref="K29:K30"/>
    <mergeCell ref="L29:L30"/>
    <mergeCell ref="A29:A30"/>
    <mergeCell ref="B29:B30"/>
    <mergeCell ref="C29:C30"/>
    <mergeCell ref="D29:D30"/>
    <mergeCell ref="E29:E30"/>
    <mergeCell ref="K23:K24"/>
    <mergeCell ref="L23:L24"/>
    <mergeCell ref="A23:A24"/>
    <mergeCell ref="B23:B24"/>
    <mergeCell ref="C23:C24"/>
    <mergeCell ref="D23:D24"/>
    <mergeCell ref="E23:E24"/>
    <mergeCell ref="A58:A60"/>
    <mergeCell ref="B58:B60"/>
    <mergeCell ref="C58:C60"/>
    <mergeCell ref="D58:D60"/>
    <mergeCell ref="E58:E60"/>
    <mergeCell ref="K63:K64"/>
    <mergeCell ref="L63:L64"/>
    <mergeCell ref="A63:A64"/>
    <mergeCell ref="B63:B64"/>
    <mergeCell ref="C63:C64"/>
    <mergeCell ref="D63:D64"/>
    <mergeCell ref="E63:E64"/>
    <mergeCell ref="A111:A112"/>
    <mergeCell ref="B111:B112"/>
    <mergeCell ref="C111:C112"/>
    <mergeCell ref="D111:D112"/>
    <mergeCell ref="E111:E112"/>
    <mergeCell ref="K111:K112"/>
    <mergeCell ref="L111:L112"/>
    <mergeCell ref="A101:A102"/>
    <mergeCell ref="B101:B102"/>
    <mergeCell ref="C101:C102"/>
    <mergeCell ref="D101:D102"/>
    <mergeCell ref="E101:E102"/>
    <mergeCell ref="D103:D104"/>
    <mergeCell ref="E103:E104"/>
    <mergeCell ref="K101:K102"/>
    <mergeCell ref="L101:L102"/>
    <mergeCell ref="K103:K104"/>
    <mergeCell ref="L103:L104"/>
    <mergeCell ref="A103:A104"/>
    <mergeCell ref="B103:B104"/>
    <mergeCell ref="C103:C104"/>
    <mergeCell ref="A118:A120"/>
    <mergeCell ref="B118:B120"/>
    <mergeCell ref="C118:C120"/>
    <mergeCell ref="D118:D120"/>
    <mergeCell ref="E118:E120"/>
    <mergeCell ref="K118:K120"/>
    <mergeCell ref="L118:L120"/>
    <mergeCell ref="A121:A122"/>
    <mergeCell ref="B121:B122"/>
    <mergeCell ref="C121:C122"/>
    <mergeCell ref="D121:D122"/>
    <mergeCell ref="E121:E122"/>
    <mergeCell ref="K121:K122"/>
    <mergeCell ref="L121:L122"/>
    <mergeCell ref="A134:A136"/>
    <mergeCell ref="B134:B136"/>
    <mergeCell ref="C134:C136"/>
    <mergeCell ref="D134:D136"/>
    <mergeCell ref="E134:E136"/>
    <mergeCell ref="K134:K136"/>
    <mergeCell ref="L134:L136"/>
    <mergeCell ref="A130:A131"/>
    <mergeCell ref="B130:B131"/>
    <mergeCell ref="C130:C131"/>
    <mergeCell ref="D130:D131"/>
    <mergeCell ref="E130:E131"/>
    <mergeCell ref="K130:K131"/>
    <mergeCell ref="L130:L131"/>
    <mergeCell ref="K137:K139"/>
    <mergeCell ref="L137:L139"/>
    <mergeCell ref="K140:K141"/>
    <mergeCell ref="L140:L141"/>
    <mergeCell ref="A137:A139"/>
    <mergeCell ref="B137:B139"/>
    <mergeCell ref="C137:C139"/>
    <mergeCell ref="D137:D139"/>
    <mergeCell ref="E137:E139"/>
    <mergeCell ref="A140:A141"/>
    <mergeCell ref="B140:B141"/>
    <mergeCell ref="C140:C141"/>
    <mergeCell ref="D140:D141"/>
    <mergeCell ref="E140:E14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99"/>
  <sheetViews>
    <sheetView topLeftCell="A70" zoomScale="80" zoomScaleNormal="80" workbookViewId="0">
      <selection activeCell="M105" sqref="M105"/>
    </sheetView>
  </sheetViews>
  <sheetFormatPr baseColWidth="10" defaultColWidth="8.88671875" defaultRowHeight="14.4" x14ac:dyDescent="0.3"/>
  <cols>
    <col min="2" max="2" width="10" customWidth="1"/>
    <col min="3" max="3" width="10.88671875" customWidth="1"/>
    <col min="4" max="4" width="11.88671875" customWidth="1"/>
    <col min="5" max="5" width="10" customWidth="1"/>
    <col min="8" max="8" width="13.109375" hidden="1" customWidth="1"/>
    <col min="9" max="9" width="6.33203125" hidden="1" customWidth="1"/>
    <col min="10" max="10" width="9.88671875" hidden="1" customWidth="1"/>
    <col min="12" max="12" width="11.6640625" customWidth="1"/>
  </cols>
  <sheetData>
    <row r="1" spans="1:12" ht="23.4" x14ac:dyDescent="0.3">
      <c r="A1" s="1" t="s">
        <v>265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1"/>
      <c r="K2" s="1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94" t="s">
        <v>4</v>
      </c>
      <c r="D4" s="70" t="s">
        <v>7</v>
      </c>
      <c r="E4" s="71" t="s">
        <v>6</v>
      </c>
      <c r="F4" s="72" t="s">
        <v>8</v>
      </c>
      <c r="G4" s="923"/>
      <c r="H4" s="7" t="s">
        <v>9</v>
      </c>
      <c r="I4" s="6" t="s">
        <v>5</v>
      </c>
      <c r="J4" s="6" t="s">
        <v>10</v>
      </c>
      <c r="K4" s="916"/>
      <c r="L4" s="985"/>
    </row>
    <row r="5" spans="1:12" x14ac:dyDescent="0.3">
      <c r="A5" s="891">
        <v>608</v>
      </c>
      <c r="B5" s="894">
        <v>26529.37</v>
      </c>
      <c r="C5" s="894" t="s">
        <v>266</v>
      </c>
      <c r="D5" s="905">
        <f>+I5+I6+I7</f>
        <v>608</v>
      </c>
      <c r="E5" s="905">
        <f>+J5+J6+J7</f>
        <v>25750.5</v>
      </c>
      <c r="F5" s="29" t="s">
        <v>267</v>
      </c>
      <c r="G5" s="29">
        <v>17101</v>
      </c>
      <c r="H5" s="12"/>
      <c r="I5" s="12">
        <v>200</v>
      </c>
      <c r="J5" s="13">
        <v>8607.2000000000007</v>
      </c>
      <c r="K5" s="877">
        <f>+A5-D5</f>
        <v>0</v>
      </c>
      <c r="L5" s="879">
        <f t="shared" ref="L5" si="0">(+B5-E5)/B5</f>
        <v>2.9358782360832503E-2</v>
      </c>
    </row>
    <row r="6" spans="1:12" x14ac:dyDescent="0.3">
      <c r="A6" s="892"/>
      <c r="B6" s="895"/>
      <c r="C6" s="895"/>
      <c r="D6" s="906"/>
      <c r="E6" s="906"/>
      <c r="F6" s="30" t="s">
        <v>267</v>
      </c>
      <c r="G6" s="30">
        <v>17101</v>
      </c>
      <c r="H6" s="15"/>
      <c r="I6" s="15">
        <v>200</v>
      </c>
      <c r="J6" s="16">
        <v>8441.9</v>
      </c>
      <c r="K6" s="886"/>
      <c r="L6" s="885"/>
    </row>
    <row r="7" spans="1:12" ht="15" thickBot="1" x14ac:dyDescent="0.35">
      <c r="A7" s="893"/>
      <c r="B7" s="896"/>
      <c r="C7" s="896"/>
      <c r="D7" s="907"/>
      <c r="E7" s="907"/>
      <c r="F7" s="28" t="s">
        <v>267</v>
      </c>
      <c r="G7" s="28">
        <v>17101</v>
      </c>
      <c r="H7" s="10"/>
      <c r="I7" s="10">
        <f>100+108</f>
        <v>208</v>
      </c>
      <c r="J7" s="11">
        <f>4171.8+4529.6</f>
        <v>8701.4000000000015</v>
      </c>
      <c r="K7" s="878"/>
      <c r="L7" s="880"/>
    </row>
    <row r="8" spans="1:12" x14ac:dyDescent="0.3">
      <c r="A8" s="1041">
        <v>388</v>
      </c>
      <c r="B8" s="1043">
        <v>18020</v>
      </c>
      <c r="C8" s="1043" t="s">
        <v>2140</v>
      </c>
      <c r="D8" s="873">
        <f>+I8+I9</f>
        <v>388</v>
      </c>
      <c r="E8" s="873">
        <f>+J8+J9</f>
        <v>17831.5</v>
      </c>
      <c r="F8" s="39" t="s">
        <v>2141</v>
      </c>
      <c r="G8" s="39">
        <v>17221</v>
      </c>
      <c r="H8" s="40"/>
      <c r="I8" s="39">
        <v>198</v>
      </c>
      <c r="J8" s="41">
        <v>9148.2999999999993</v>
      </c>
      <c r="K8" s="1031">
        <f>+A8-D8</f>
        <v>0</v>
      </c>
      <c r="L8" s="879">
        <f t="shared" ref="L8" si="1">(+B8-E8)/B8</f>
        <v>1.0460599334073253E-2</v>
      </c>
    </row>
    <row r="9" spans="1:12" ht="15" thickBot="1" x14ac:dyDescent="0.35">
      <c r="A9" s="1042"/>
      <c r="B9" s="1044"/>
      <c r="C9" s="1044"/>
      <c r="D9" s="874"/>
      <c r="E9" s="874"/>
      <c r="F9" s="42" t="s">
        <v>2141</v>
      </c>
      <c r="G9" s="42">
        <v>17221</v>
      </c>
      <c r="H9" s="43"/>
      <c r="I9" s="42">
        <v>190</v>
      </c>
      <c r="J9" s="44">
        <v>8683.2000000000007</v>
      </c>
      <c r="K9" s="1032"/>
      <c r="L9" s="880"/>
    </row>
    <row r="10" spans="1:12" x14ac:dyDescent="0.3">
      <c r="A10" s="891">
        <v>488</v>
      </c>
      <c r="B10" s="894">
        <v>20642.5</v>
      </c>
      <c r="C10" s="894" t="s">
        <v>268</v>
      </c>
      <c r="D10" s="905">
        <f>+I10+I11+I12</f>
        <v>488</v>
      </c>
      <c r="E10" s="905">
        <f>+J10+J11+J12</f>
        <v>19815.8</v>
      </c>
      <c r="F10" s="29" t="s">
        <v>269</v>
      </c>
      <c r="G10" s="29">
        <v>17251</v>
      </c>
      <c r="H10" s="12"/>
      <c r="I10" s="12">
        <v>311</v>
      </c>
      <c r="J10" s="12">
        <v>12609.900000000001</v>
      </c>
      <c r="K10" s="877">
        <f>+A10-D10</f>
        <v>0</v>
      </c>
      <c r="L10" s="879">
        <f t="shared" ref="L10" si="2">(+B10-E10)/B10</f>
        <v>4.0048443744701498E-2</v>
      </c>
    </row>
    <row r="11" spans="1:12" x14ac:dyDescent="0.3">
      <c r="A11" s="892"/>
      <c r="B11" s="895"/>
      <c r="C11" s="895"/>
      <c r="D11" s="906"/>
      <c r="E11" s="906"/>
      <c r="F11" s="30" t="s">
        <v>269</v>
      </c>
      <c r="G11" s="30">
        <v>17251</v>
      </c>
      <c r="H11" s="15"/>
      <c r="I11" s="15">
        <v>100</v>
      </c>
      <c r="J11" s="125">
        <v>4060.3</v>
      </c>
      <c r="K11" s="886"/>
      <c r="L11" s="885"/>
    </row>
    <row r="12" spans="1:12" ht="15" thickBot="1" x14ac:dyDescent="0.35">
      <c r="A12" s="893"/>
      <c r="B12" s="896"/>
      <c r="C12" s="896"/>
      <c r="D12" s="907"/>
      <c r="E12" s="907"/>
      <c r="F12" s="28" t="s">
        <v>269</v>
      </c>
      <c r="G12" s="28">
        <v>17251</v>
      </c>
      <c r="H12" s="10"/>
      <c r="I12" s="10">
        <v>77</v>
      </c>
      <c r="J12" s="126">
        <v>3145.6</v>
      </c>
      <c r="K12" s="878"/>
      <c r="L12" s="885"/>
    </row>
    <row r="13" spans="1:12" ht="15" thickBot="1" x14ac:dyDescent="0.35">
      <c r="A13" s="249">
        <v>97</v>
      </c>
      <c r="B13" s="250">
        <v>4432.25</v>
      </c>
      <c r="C13" s="250" t="s">
        <v>1898</v>
      </c>
      <c r="D13" s="12">
        <f t="shared" ref="D13:E14" si="3">+I13</f>
        <v>98</v>
      </c>
      <c r="E13" s="12">
        <f t="shared" si="3"/>
        <v>4393</v>
      </c>
      <c r="F13" s="39" t="s">
        <v>1899</v>
      </c>
      <c r="G13" s="39">
        <v>17261</v>
      </c>
      <c r="H13" s="40"/>
      <c r="I13" s="39">
        <f>57+41</f>
        <v>98</v>
      </c>
      <c r="J13" s="41">
        <f>2605.7+1787.3</f>
        <v>4393</v>
      </c>
      <c r="K13" s="141">
        <f t="shared" ref="K13:K14" si="4">+A13-D13</f>
        <v>-1</v>
      </c>
      <c r="L13" s="31">
        <f t="shared" ref="L13:L14" si="5">((+B13/A13)-(E13/D13))/(B13/A13)</f>
        <v>1.896926631219931E-2</v>
      </c>
    </row>
    <row r="14" spans="1:12" ht="15" thickBot="1" x14ac:dyDescent="0.35">
      <c r="A14" s="249">
        <v>144</v>
      </c>
      <c r="B14" s="250">
        <v>6539.46</v>
      </c>
      <c r="C14" s="250" t="s">
        <v>1900</v>
      </c>
      <c r="D14" s="12">
        <f t="shared" si="3"/>
        <v>143</v>
      </c>
      <c r="E14" s="12">
        <f t="shared" si="3"/>
        <v>6292.6</v>
      </c>
      <c r="F14" s="39" t="s">
        <v>1901</v>
      </c>
      <c r="G14" s="39">
        <v>17271</v>
      </c>
      <c r="H14" s="40"/>
      <c r="I14" s="39">
        <v>143</v>
      </c>
      <c r="J14" s="41">
        <v>6292.6</v>
      </c>
      <c r="K14" s="141">
        <f t="shared" si="4"/>
        <v>1</v>
      </c>
      <c r="L14" s="31">
        <f t="shared" si="5"/>
        <v>3.1020268370141196E-2</v>
      </c>
    </row>
    <row r="15" spans="1:12" x14ac:dyDescent="0.3">
      <c r="A15" s="891">
        <v>485</v>
      </c>
      <c r="B15" s="894">
        <v>21565.5</v>
      </c>
      <c r="C15" s="894" t="s">
        <v>375</v>
      </c>
      <c r="D15" s="905">
        <f>+I15+I18+I16+I17</f>
        <v>485</v>
      </c>
      <c r="E15" s="905">
        <f>+J15+J18+J16+J17</f>
        <v>20747.600000000002</v>
      </c>
      <c r="F15" s="29" t="s">
        <v>376</v>
      </c>
      <c r="G15" s="29">
        <v>17351</v>
      </c>
      <c r="H15" s="12"/>
      <c r="I15" s="12">
        <v>125</v>
      </c>
      <c r="J15" s="137">
        <v>5131.8999999999996</v>
      </c>
      <c r="K15" s="877">
        <f>+A15-D15</f>
        <v>0</v>
      </c>
      <c r="L15" s="879">
        <f>((+B15/A15)-(E15/D15))/(B15/A15)</f>
        <v>3.7926317497855265E-2</v>
      </c>
    </row>
    <row r="16" spans="1:12" x14ac:dyDescent="0.3">
      <c r="A16" s="892"/>
      <c r="B16" s="895"/>
      <c r="C16" s="895"/>
      <c r="D16" s="906"/>
      <c r="E16" s="906"/>
      <c r="F16" s="30" t="s">
        <v>376</v>
      </c>
      <c r="G16" s="30">
        <v>17351</v>
      </c>
      <c r="H16" s="15"/>
      <c r="I16" s="15">
        <v>100</v>
      </c>
      <c r="J16" s="37">
        <v>4522.1000000000004</v>
      </c>
      <c r="K16" s="886"/>
      <c r="L16" s="885"/>
    </row>
    <row r="17" spans="1:12" x14ac:dyDescent="0.3">
      <c r="A17" s="892"/>
      <c r="B17" s="895"/>
      <c r="C17" s="895"/>
      <c r="D17" s="906"/>
      <c r="E17" s="906"/>
      <c r="F17" s="30" t="s">
        <v>376</v>
      </c>
      <c r="G17" s="30">
        <v>17351</v>
      </c>
      <c r="H17" s="15"/>
      <c r="I17" s="15">
        <v>135</v>
      </c>
      <c r="J17" s="37">
        <v>6170.3</v>
      </c>
      <c r="K17" s="886"/>
      <c r="L17" s="885"/>
    </row>
    <row r="18" spans="1:12" ht="15" thickBot="1" x14ac:dyDescent="0.35">
      <c r="A18" s="893"/>
      <c r="B18" s="896"/>
      <c r="C18" s="896"/>
      <c r="D18" s="907"/>
      <c r="E18" s="907"/>
      <c r="F18" s="28" t="s">
        <v>376</v>
      </c>
      <c r="G18" s="28">
        <v>17351</v>
      </c>
      <c r="H18" s="10"/>
      <c r="I18" s="10">
        <v>125</v>
      </c>
      <c r="J18" s="36">
        <v>4923.3</v>
      </c>
      <c r="K18" s="878"/>
      <c r="L18" s="880"/>
    </row>
    <row r="19" spans="1:12" ht="15" thickBot="1" x14ac:dyDescent="0.35">
      <c r="A19" s="19">
        <v>245</v>
      </c>
      <c r="B19" s="20">
        <v>10821.5</v>
      </c>
      <c r="C19" s="20" t="s">
        <v>541</v>
      </c>
      <c r="D19" s="27">
        <f>+I19</f>
        <v>250</v>
      </c>
      <c r="E19" s="27">
        <f>+J19</f>
        <v>10474.9</v>
      </c>
      <c r="F19" s="27" t="s">
        <v>542</v>
      </c>
      <c r="G19" s="27">
        <v>17411</v>
      </c>
      <c r="H19" s="8"/>
      <c r="I19" s="8">
        <v>250</v>
      </c>
      <c r="J19" s="161">
        <v>10474.9</v>
      </c>
      <c r="K19" s="141">
        <f>+A19-D19</f>
        <v>-5</v>
      </c>
      <c r="L19" s="31">
        <f>((+B19/A19)-(E19/D19))/(B19/A19)</f>
        <v>5.1388254863004273E-2</v>
      </c>
    </row>
    <row r="20" spans="1:12" x14ac:dyDescent="0.3">
      <c r="A20" s="891">
        <v>249</v>
      </c>
      <c r="B20" s="894">
        <v>11078.5</v>
      </c>
      <c r="C20" s="894" t="s">
        <v>641</v>
      </c>
      <c r="D20" s="905">
        <f>+I20+I21</f>
        <v>251</v>
      </c>
      <c r="E20" s="905">
        <f>+J20+J21</f>
        <v>10912.2</v>
      </c>
      <c r="F20" s="29" t="s">
        <v>642</v>
      </c>
      <c r="G20" s="29">
        <v>17451</v>
      </c>
      <c r="H20" s="12"/>
      <c r="I20" s="12">
        <v>101</v>
      </c>
      <c r="J20" s="13">
        <v>4376.1000000000004</v>
      </c>
      <c r="K20" s="1031">
        <f>+A20-D20</f>
        <v>-2</v>
      </c>
      <c r="L20" s="879">
        <f>((+B20/A20)-(E20/D20))/(B20/A20)</f>
        <v>2.2859574924115465E-2</v>
      </c>
    </row>
    <row r="21" spans="1:12" ht="15" thickBot="1" x14ac:dyDescent="0.35">
      <c r="A21" s="893"/>
      <c r="B21" s="896"/>
      <c r="C21" s="896"/>
      <c r="D21" s="907"/>
      <c r="E21" s="907"/>
      <c r="F21" s="28" t="s">
        <v>642</v>
      </c>
      <c r="G21" s="28">
        <v>17451</v>
      </c>
      <c r="H21" s="10"/>
      <c r="I21" s="10">
        <v>150</v>
      </c>
      <c r="J21" s="11">
        <v>6536.1</v>
      </c>
      <c r="K21" s="1032"/>
      <c r="L21" s="880"/>
    </row>
    <row r="22" spans="1:12" ht="15" thickBot="1" x14ac:dyDescent="0.35">
      <c r="A22" s="61">
        <v>410</v>
      </c>
      <c r="B22" s="62">
        <v>18602.75</v>
      </c>
      <c r="C22" s="62" t="s">
        <v>643</v>
      </c>
      <c r="D22" s="27">
        <f t="shared" ref="D22:E24" si="6">+I22</f>
        <v>410</v>
      </c>
      <c r="E22" s="27">
        <f t="shared" si="6"/>
        <v>18042.400000000001</v>
      </c>
      <c r="F22" s="27" t="s">
        <v>644</v>
      </c>
      <c r="G22" s="27">
        <v>17461</v>
      </c>
      <c r="H22" s="8"/>
      <c r="I22" s="8">
        <v>410</v>
      </c>
      <c r="J22" s="9">
        <v>18042.400000000001</v>
      </c>
      <c r="K22" s="141">
        <f t="shared" ref="K22:K25" si="7">+A22-D22</f>
        <v>0</v>
      </c>
      <c r="L22" s="53">
        <f t="shared" ref="L22:L24" si="8">(+B22-E22)/B22</f>
        <v>3.0121890580693637E-2</v>
      </c>
    </row>
    <row r="23" spans="1:12" ht="15" thickBot="1" x14ac:dyDescent="0.35">
      <c r="A23" s="61">
        <v>250</v>
      </c>
      <c r="B23" s="62">
        <v>10888.75</v>
      </c>
      <c r="C23" s="62" t="s">
        <v>645</v>
      </c>
      <c r="D23" s="27">
        <f t="shared" si="6"/>
        <v>250</v>
      </c>
      <c r="E23" s="27">
        <f t="shared" si="6"/>
        <v>10671.9</v>
      </c>
      <c r="F23" s="27" t="s">
        <v>646</v>
      </c>
      <c r="G23" s="27">
        <v>17491</v>
      </c>
      <c r="H23" s="8"/>
      <c r="I23" s="8">
        <v>250</v>
      </c>
      <c r="J23" s="9">
        <v>10671.9</v>
      </c>
      <c r="K23" s="141">
        <f t="shared" si="7"/>
        <v>0</v>
      </c>
      <c r="L23" s="53">
        <f t="shared" si="8"/>
        <v>1.9915049936861474E-2</v>
      </c>
    </row>
    <row r="24" spans="1:12" ht="15" thickBot="1" x14ac:dyDescent="0.35">
      <c r="A24" s="19">
        <v>415</v>
      </c>
      <c r="B24" s="20">
        <v>18070</v>
      </c>
      <c r="C24" s="20" t="s">
        <v>647</v>
      </c>
      <c r="D24" s="27">
        <f t="shared" si="6"/>
        <v>415</v>
      </c>
      <c r="E24" s="27">
        <f t="shared" si="6"/>
        <v>17325.3</v>
      </c>
      <c r="F24" s="27" t="s">
        <v>648</v>
      </c>
      <c r="G24" s="27">
        <v>17521</v>
      </c>
      <c r="H24" s="8"/>
      <c r="I24" s="8">
        <v>415</v>
      </c>
      <c r="J24" s="9">
        <v>17325.3</v>
      </c>
      <c r="K24" s="141">
        <f t="shared" si="7"/>
        <v>0</v>
      </c>
      <c r="L24" s="53">
        <f t="shared" si="8"/>
        <v>4.1211953514111825E-2</v>
      </c>
    </row>
    <row r="25" spans="1:12" ht="15" thickBot="1" x14ac:dyDescent="0.35">
      <c r="A25" s="19">
        <v>376</v>
      </c>
      <c r="B25" s="20">
        <v>17948.25</v>
      </c>
      <c r="C25" s="20" t="s">
        <v>844</v>
      </c>
      <c r="D25" s="27">
        <v>377</v>
      </c>
      <c r="E25" s="27">
        <v>17522.2</v>
      </c>
      <c r="F25" s="27" t="s">
        <v>846</v>
      </c>
      <c r="G25" s="27">
        <v>17541</v>
      </c>
      <c r="H25" s="8"/>
      <c r="I25" s="8"/>
      <c r="J25" s="8"/>
      <c r="K25" s="141">
        <f t="shared" si="7"/>
        <v>-1</v>
      </c>
      <c r="L25" s="31">
        <f t="shared" ref="L25" si="9">((+B25/A25)-(E25/D25))/(B25/A25)</f>
        <v>2.632724550220111E-2</v>
      </c>
    </row>
    <row r="26" spans="1:12" ht="15" thickBot="1" x14ac:dyDescent="0.35">
      <c r="A26" s="19">
        <v>250</v>
      </c>
      <c r="B26" s="20">
        <v>12235.5</v>
      </c>
      <c r="C26" s="20" t="s">
        <v>845</v>
      </c>
      <c r="D26" s="27">
        <v>250</v>
      </c>
      <c r="E26" s="27">
        <v>11798.6</v>
      </c>
      <c r="F26" s="27" t="s">
        <v>847</v>
      </c>
      <c r="G26" s="27">
        <v>17611</v>
      </c>
      <c r="H26" s="8"/>
      <c r="I26" s="8"/>
      <c r="J26" s="8"/>
      <c r="K26" s="141">
        <f t="shared" ref="K26:K33" si="10">+A26-D26</f>
        <v>0</v>
      </c>
      <c r="L26" s="53">
        <f t="shared" ref="L26:L31" si="11">(+B26-E26)/B26</f>
        <v>3.57075722283519E-2</v>
      </c>
    </row>
    <row r="27" spans="1:12" ht="15" thickBot="1" x14ac:dyDescent="0.35">
      <c r="A27" s="182">
        <v>339</v>
      </c>
      <c r="B27" s="183">
        <v>17560</v>
      </c>
      <c r="C27" s="183" t="s">
        <v>912</v>
      </c>
      <c r="D27" s="8">
        <v>339</v>
      </c>
      <c r="E27" s="8">
        <v>16695.7</v>
      </c>
      <c r="F27" s="8" t="s">
        <v>913</v>
      </c>
      <c r="G27" s="8">
        <v>17641</v>
      </c>
      <c r="H27" s="8"/>
      <c r="I27" s="8">
        <v>100</v>
      </c>
      <c r="J27" s="9">
        <v>5084.5</v>
      </c>
      <c r="K27" s="141">
        <f t="shared" si="10"/>
        <v>0</v>
      </c>
      <c r="L27" s="53">
        <f t="shared" si="11"/>
        <v>4.9219817767653717E-2</v>
      </c>
    </row>
    <row r="28" spans="1:12" ht="15" thickBot="1" x14ac:dyDescent="0.35">
      <c r="A28" s="175">
        <v>309</v>
      </c>
      <c r="B28" s="8">
        <v>16007.5</v>
      </c>
      <c r="C28" s="183" t="s">
        <v>995</v>
      </c>
      <c r="D28" s="8">
        <f>+I28</f>
        <v>309</v>
      </c>
      <c r="E28" s="8">
        <f>+J28</f>
        <v>15139.7</v>
      </c>
      <c r="F28" s="45" t="s">
        <v>996</v>
      </c>
      <c r="G28" s="45">
        <v>17671</v>
      </c>
      <c r="H28" s="14"/>
      <c r="I28" s="45">
        <f>200+109</f>
        <v>309</v>
      </c>
      <c r="J28" s="46">
        <f>9646.4+5493.3</f>
        <v>15139.7</v>
      </c>
      <c r="K28" s="141">
        <f t="shared" si="10"/>
        <v>0</v>
      </c>
      <c r="L28" s="53">
        <f t="shared" si="11"/>
        <v>5.4212088083710717E-2</v>
      </c>
    </row>
    <row r="29" spans="1:12" x14ac:dyDescent="0.3">
      <c r="A29" s="871">
        <v>189</v>
      </c>
      <c r="B29" s="873">
        <v>7547.5</v>
      </c>
      <c r="C29" s="873" t="s">
        <v>1140</v>
      </c>
      <c r="D29" s="873">
        <f>+I29+I30</f>
        <v>189</v>
      </c>
      <c r="E29" s="873">
        <f>+J29+J30</f>
        <v>7471.5</v>
      </c>
      <c r="F29" s="39" t="s">
        <v>1141</v>
      </c>
      <c r="G29" s="39">
        <v>17711</v>
      </c>
      <c r="H29" s="40"/>
      <c r="I29" s="39">
        <v>91</v>
      </c>
      <c r="J29" s="41">
        <v>3554.6</v>
      </c>
      <c r="K29" s="1033">
        <f t="shared" si="10"/>
        <v>0</v>
      </c>
      <c r="L29" s="879">
        <f t="shared" si="11"/>
        <v>1.0069559456773767E-2</v>
      </c>
    </row>
    <row r="30" spans="1:12" ht="15" thickBot="1" x14ac:dyDescent="0.35">
      <c r="A30" s="872"/>
      <c r="B30" s="874"/>
      <c r="C30" s="874"/>
      <c r="D30" s="874"/>
      <c r="E30" s="874"/>
      <c r="F30" s="42" t="s">
        <v>1141</v>
      </c>
      <c r="G30" s="42">
        <v>17711</v>
      </c>
      <c r="H30" s="43"/>
      <c r="I30" s="102">
        <v>98</v>
      </c>
      <c r="J30" s="103">
        <v>3916.9</v>
      </c>
      <c r="K30" s="1034"/>
      <c r="L30" s="880"/>
    </row>
    <row r="31" spans="1:12" x14ac:dyDescent="0.3">
      <c r="A31" s="881">
        <v>310</v>
      </c>
      <c r="B31" s="881">
        <v>14701.25</v>
      </c>
      <c r="C31" s="881" t="s">
        <v>1142</v>
      </c>
      <c r="D31" s="881">
        <f>+I31+I32</f>
        <v>310</v>
      </c>
      <c r="E31" s="881">
        <f>+J31+J32</f>
        <v>14352.3</v>
      </c>
      <c r="F31" s="50" t="s">
        <v>1143</v>
      </c>
      <c r="G31" s="50">
        <v>17731</v>
      </c>
      <c r="I31" s="50">
        <v>102</v>
      </c>
      <c r="J31" s="51">
        <v>4766.7</v>
      </c>
      <c r="K31" s="1033">
        <f t="shared" si="10"/>
        <v>0</v>
      </c>
      <c r="L31" s="879">
        <f t="shared" si="11"/>
        <v>2.3736076864212276E-2</v>
      </c>
    </row>
    <row r="32" spans="1:12" ht="15" thickBot="1" x14ac:dyDescent="0.35">
      <c r="A32" s="874"/>
      <c r="B32" s="874"/>
      <c r="C32" s="874"/>
      <c r="D32" s="874"/>
      <c r="E32" s="874"/>
      <c r="F32" s="42" t="s">
        <v>1143</v>
      </c>
      <c r="G32" s="42">
        <v>17731</v>
      </c>
      <c r="H32" s="43"/>
      <c r="I32" s="42">
        <v>208</v>
      </c>
      <c r="J32" s="44">
        <v>9585.6</v>
      </c>
      <c r="K32" s="1034"/>
      <c r="L32" s="880"/>
    </row>
    <row r="33" spans="1:12" x14ac:dyDescent="0.3">
      <c r="A33" s="871">
        <v>687</v>
      </c>
      <c r="B33" s="873">
        <v>33531.25</v>
      </c>
      <c r="C33" s="873" t="s">
        <v>1326</v>
      </c>
      <c r="D33" s="873">
        <v>687</v>
      </c>
      <c r="E33" s="873">
        <v>32580.799999999999</v>
      </c>
      <c r="F33" s="39" t="s">
        <v>1327</v>
      </c>
      <c r="G33" s="39">
        <v>17831</v>
      </c>
      <c r="H33" s="40"/>
      <c r="I33" s="39">
        <v>192</v>
      </c>
      <c r="J33" s="41">
        <v>9040</v>
      </c>
      <c r="K33" s="1033">
        <f t="shared" si="10"/>
        <v>0</v>
      </c>
      <c r="L33" s="879">
        <f t="shared" ref="L33" si="12">(+B33-E33)/B33</f>
        <v>2.8345200372786601E-2</v>
      </c>
    </row>
    <row r="34" spans="1:12" x14ac:dyDescent="0.3">
      <c r="A34" s="875"/>
      <c r="B34" s="881"/>
      <c r="C34" s="881"/>
      <c r="D34" s="881"/>
      <c r="E34" s="881"/>
      <c r="F34" s="50" t="s">
        <v>1327</v>
      </c>
      <c r="G34" s="50">
        <v>17831</v>
      </c>
      <c r="I34" s="50">
        <v>75</v>
      </c>
      <c r="J34" s="51">
        <v>3598.2</v>
      </c>
      <c r="K34" s="1039"/>
      <c r="L34" s="885"/>
    </row>
    <row r="35" spans="1:12" ht="15" thickBot="1" x14ac:dyDescent="0.35">
      <c r="A35" s="872"/>
      <c r="B35" s="874"/>
      <c r="C35" s="874"/>
      <c r="D35" s="874"/>
      <c r="E35" s="874"/>
      <c r="F35" s="42" t="s">
        <v>1327</v>
      </c>
      <c r="G35" s="42">
        <v>17831</v>
      </c>
      <c r="H35" s="43"/>
      <c r="I35" s="42">
        <v>225</v>
      </c>
      <c r="J35" s="44">
        <v>10605.7</v>
      </c>
      <c r="K35" s="1034"/>
      <c r="L35" s="880"/>
    </row>
    <row r="36" spans="1:12" ht="15" thickBot="1" x14ac:dyDescent="0.35">
      <c r="A36" s="174">
        <v>115</v>
      </c>
      <c r="B36" s="12">
        <v>4859.25</v>
      </c>
      <c r="C36" s="12" t="s">
        <v>1622</v>
      </c>
      <c r="D36" s="12">
        <f>+I36</f>
        <v>115</v>
      </c>
      <c r="E36" s="12">
        <f>+J36</f>
        <v>4664.6000000000004</v>
      </c>
      <c r="F36" s="39" t="s">
        <v>1623</v>
      </c>
      <c r="G36" s="39">
        <v>17901</v>
      </c>
      <c r="H36" s="40"/>
      <c r="I36" s="39">
        <v>115</v>
      </c>
      <c r="J36" s="41">
        <v>4664.6000000000004</v>
      </c>
      <c r="K36" s="247">
        <f t="shared" ref="K36:K44" si="13">+A36-D36</f>
        <v>0</v>
      </c>
      <c r="L36" s="53">
        <f t="shared" ref="L36" si="14">(+B36-E36)/B36</f>
        <v>4.0057622061017574E-2</v>
      </c>
    </row>
    <row r="37" spans="1:12" ht="15" thickBot="1" x14ac:dyDescent="0.35">
      <c r="A37" s="175">
        <v>300</v>
      </c>
      <c r="B37" s="8">
        <v>14555.25</v>
      </c>
      <c r="C37" s="8" t="s">
        <v>1624</v>
      </c>
      <c r="D37" s="8">
        <v>298</v>
      </c>
      <c r="E37" s="8">
        <v>13975.7</v>
      </c>
      <c r="F37" s="45" t="s">
        <v>1625</v>
      </c>
      <c r="G37" s="45">
        <v>17961</v>
      </c>
      <c r="H37" s="14"/>
      <c r="I37" s="45">
        <v>83</v>
      </c>
      <c r="J37" s="45">
        <v>3812.3</v>
      </c>
      <c r="K37" s="141">
        <f t="shared" si="13"/>
        <v>2</v>
      </c>
      <c r="L37" s="31">
        <f>((+B37/A37)-(E37/D37))/(B37/A37)</f>
        <v>3.3373068528860517E-2</v>
      </c>
    </row>
    <row r="38" spans="1:12" ht="15" thickBot="1" x14ac:dyDescent="0.35">
      <c r="A38" s="175">
        <v>85</v>
      </c>
      <c r="B38" s="8">
        <v>3405.75</v>
      </c>
      <c r="C38" s="8" t="s">
        <v>2038</v>
      </c>
      <c r="D38" s="8">
        <f>+I38</f>
        <v>81</v>
      </c>
      <c r="E38" s="8">
        <f>+J38</f>
        <v>3264</v>
      </c>
      <c r="F38" s="45" t="s">
        <v>2039</v>
      </c>
      <c r="G38" s="45">
        <v>18111</v>
      </c>
      <c r="H38" s="14"/>
      <c r="I38" s="45">
        <v>81</v>
      </c>
      <c r="J38" s="46">
        <v>3264</v>
      </c>
      <c r="K38" s="141">
        <f t="shared" si="13"/>
        <v>4</v>
      </c>
      <c r="L38" s="31">
        <f t="shared" ref="L38" si="15">((+B38/A38)-(E38/D38))/(B38/A38)</f>
        <v>-5.7065801028217253E-3</v>
      </c>
    </row>
    <row r="39" spans="1:12" ht="15" thickBot="1" x14ac:dyDescent="0.35">
      <c r="A39" s="175">
        <v>300</v>
      </c>
      <c r="B39" s="8">
        <v>14863</v>
      </c>
      <c r="C39" s="8" t="s">
        <v>2040</v>
      </c>
      <c r="D39" s="8">
        <v>300</v>
      </c>
      <c r="E39" s="8">
        <v>14491.2</v>
      </c>
      <c r="F39" s="45" t="s">
        <v>2041</v>
      </c>
      <c r="G39" s="46">
        <v>18181</v>
      </c>
      <c r="I39" s="50">
        <v>120</v>
      </c>
      <c r="J39" s="50">
        <v>5784</v>
      </c>
      <c r="K39" s="141">
        <f t="shared" si="13"/>
        <v>0</v>
      </c>
      <c r="L39" s="53">
        <f t="shared" ref="L39:L40" si="16">(+B39-E39)/B39</f>
        <v>2.5015138262800194E-2</v>
      </c>
    </row>
    <row r="40" spans="1:12" x14ac:dyDescent="0.3">
      <c r="A40" s="935">
        <v>237</v>
      </c>
      <c r="B40" s="908">
        <v>11810</v>
      </c>
      <c r="C40" s="908" t="s">
        <v>2226</v>
      </c>
      <c r="D40" s="873">
        <f>+I40+I41</f>
        <v>237</v>
      </c>
      <c r="E40" s="873">
        <f>+J40+J41</f>
        <v>11550.3</v>
      </c>
      <c r="F40" s="39" t="s">
        <v>2227</v>
      </c>
      <c r="G40" s="39">
        <v>18231</v>
      </c>
      <c r="H40" s="40"/>
      <c r="I40" s="39">
        <v>125</v>
      </c>
      <c r="J40" s="41">
        <v>6098.4</v>
      </c>
      <c r="K40" s="1033">
        <f t="shared" si="13"/>
        <v>0</v>
      </c>
      <c r="L40" s="879">
        <f t="shared" si="16"/>
        <v>2.1989839119390408E-2</v>
      </c>
    </row>
    <row r="41" spans="1:12" ht="15" thickBot="1" x14ac:dyDescent="0.35">
      <c r="A41" s="937"/>
      <c r="B41" s="910"/>
      <c r="C41" s="910"/>
      <c r="D41" s="874"/>
      <c r="E41" s="874"/>
      <c r="F41" s="42" t="s">
        <v>2227</v>
      </c>
      <c r="G41" s="42">
        <v>18231</v>
      </c>
      <c r="H41" s="43"/>
      <c r="I41" s="42">
        <v>112</v>
      </c>
      <c r="J41" s="44">
        <v>5451.9</v>
      </c>
      <c r="K41" s="1034"/>
      <c r="L41" s="880"/>
    </row>
    <row r="42" spans="1:12" x14ac:dyDescent="0.3">
      <c r="A42" s="871">
        <v>292</v>
      </c>
      <c r="B42" s="873">
        <v>14805.75</v>
      </c>
      <c r="C42" s="873" t="s">
        <v>2362</v>
      </c>
      <c r="D42" s="873">
        <f>+I42+I43</f>
        <v>291</v>
      </c>
      <c r="E42" s="873">
        <f>+J42+J43</f>
        <v>14059.1</v>
      </c>
      <c r="F42" s="39" t="s">
        <v>2363</v>
      </c>
      <c r="G42" s="39">
        <v>18281</v>
      </c>
      <c r="H42" s="40"/>
      <c r="I42" s="39">
        <v>200</v>
      </c>
      <c r="J42" s="41">
        <v>9486.7000000000007</v>
      </c>
      <c r="K42" s="1033">
        <f t="shared" si="13"/>
        <v>1</v>
      </c>
      <c r="L42" s="879">
        <f>((+B42/A42)-(E42/D42))/(B42/A42)</f>
        <v>4.71666036222924E-2</v>
      </c>
    </row>
    <row r="43" spans="1:12" ht="15" thickBot="1" x14ac:dyDescent="0.35">
      <c r="A43" s="875"/>
      <c r="B43" s="881"/>
      <c r="C43" s="881"/>
      <c r="D43" s="881"/>
      <c r="E43" s="881"/>
      <c r="F43" s="50" t="s">
        <v>2363</v>
      </c>
      <c r="G43" s="50">
        <v>18281</v>
      </c>
      <c r="I43" s="50">
        <v>91</v>
      </c>
      <c r="J43" s="51">
        <v>4572.3999999999996</v>
      </c>
      <c r="K43" s="1034"/>
      <c r="L43" s="880"/>
    </row>
    <row r="44" spans="1:12" x14ac:dyDescent="0.3">
      <c r="A44" s="871">
        <v>295</v>
      </c>
      <c r="B44" s="873">
        <v>15533.53</v>
      </c>
      <c r="C44" s="873" t="s">
        <v>2364</v>
      </c>
      <c r="D44" s="873">
        <f>+I44+I45</f>
        <v>295</v>
      </c>
      <c r="E44" s="873">
        <f>+J44+J45</f>
        <v>14623.300000000001</v>
      </c>
      <c r="F44" s="39" t="s">
        <v>2365</v>
      </c>
      <c r="G44" s="39">
        <v>18331</v>
      </c>
      <c r="H44" s="40"/>
      <c r="I44" s="39">
        <v>200</v>
      </c>
      <c r="J44" s="41">
        <v>9944.2000000000007</v>
      </c>
      <c r="K44" s="1033">
        <f t="shared" si="13"/>
        <v>0</v>
      </c>
      <c r="L44" s="879">
        <f t="shared" ref="L44" si="17">(+B44-E44)/B44</f>
        <v>5.8597755951158528E-2</v>
      </c>
    </row>
    <row r="45" spans="1:12" ht="15" thickBot="1" x14ac:dyDescent="0.35">
      <c r="A45" s="872"/>
      <c r="B45" s="874"/>
      <c r="C45" s="874"/>
      <c r="D45" s="874"/>
      <c r="E45" s="874"/>
      <c r="F45" s="42" t="s">
        <v>2365</v>
      </c>
      <c r="G45" s="42">
        <v>18331</v>
      </c>
      <c r="H45" s="43"/>
      <c r="I45" s="42">
        <v>95</v>
      </c>
      <c r="J45" s="44">
        <v>4679.1000000000004</v>
      </c>
      <c r="K45" s="1034"/>
      <c r="L45" s="880"/>
    </row>
    <row r="46" spans="1:12" x14ac:dyDescent="0.3">
      <c r="A46" s="871">
        <v>314</v>
      </c>
      <c r="B46" s="873">
        <v>15788.5</v>
      </c>
      <c r="C46" s="873" t="s">
        <v>2540</v>
      </c>
      <c r="D46" s="873">
        <f>+I46+I47</f>
        <v>314</v>
      </c>
      <c r="E46" s="873">
        <f>+J46+J47</f>
        <v>15158.7</v>
      </c>
      <c r="F46" s="39" t="s">
        <v>2541</v>
      </c>
      <c r="G46" s="39">
        <v>18371</v>
      </c>
      <c r="H46" s="40"/>
      <c r="I46" s="39">
        <v>200</v>
      </c>
      <c r="J46" s="41">
        <v>9496.7000000000007</v>
      </c>
      <c r="K46" s="1033">
        <f t="shared" ref="K46" si="18">+A46-D46</f>
        <v>0</v>
      </c>
      <c r="L46" s="879">
        <f t="shared" ref="L46" si="19">(+B46-E46)/B46</f>
        <v>3.9889793203914198E-2</v>
      </c>
    </row>
    <row r="47" spans="1:12" ht="15" thickBot="1" x14ac:dyDescent="0.35">
      <c r="A47" s="875"/>
      <c r="B47" s="881"/>
      <c r="C47" s="881"/>
      <c r="D47" s="881"/>
      <c r="E47" s="881"/>
      <c r="F47" s="50" t="s">
        <v>2541</v>
      </c>
      <c r="G47" s="50">
        <v>18371</v>
      </c>
      <c r="I47" s="50">
        <v>114</v>
      </c>
      <c r="J47" s="51">
        <v>5662</v>
      </c>
      <c r="K47" s="1034"/>
      <c r="L47" s="880"/>
    </row>
    <row r="48" spans="1:12" ht="15" thickBot="1" x14ac:dyDescent="0.35">
      <c r="A48" s="266">
        <v>131</v>
      </c>
      <c r="B48" s="268">
        <v>5815</v>
      </c>
      <c r="C48" s="268" t="s">
        <v>2542</v>
      </c>
      <c r="D48" s="266">
        <f>+I48</f>
        <v>131</v>
      </c>
      <c r="E48" s="271">
        <f>+J48</f>
        <v>5729.2</v>
      </c>
      <c r="F48" s="272" t="s">
        <v>2543</v>
      </c>
      <c r="G48" s="272">
        <v>18391</v>
      </c>
      <c r="H48" s="273"/>
      <c r="I48" s="272">
        <v>131</v>
      </c>
      <c r="J48" s="274">
        <v>5729.2</v>
      </c>
      <c r="K48" s="141">
        <f t="shared" ref="K48:K49" si="20">+A48-D48</f>
        <v>0</v>
      </c>
      <c r="L48" s="53">
        <f t="shared" ref="L48:L49" si="21">(+B48-E48)/B48</f>
        <v>1.475494411006022E-2</v>
      </c>
    </row>
    <row r="49" spans="1:12" x14ac:dyDescent="0.3">
      <c r="A49" s="871">
        <v>550</v>
      </c>
      <c r="B49" s="873">
        <v>25913.5</v>
      </c>
      <c r="C49" s="873" t="s">
        <v>2689</v>
      </c>
      <c r="D49" s="873">
        <f>+I49+I50</f>
        <v>550</v>
      </c>
      <c r="E49" s="873">
        <f>+J49+J50</f>
        <v>25485</v>
      </c>
      <c r="F49" s="39" t="s">
        <v>2690</v>
      </c>
      <c r="G49" s="39">
        <v>18431</v>
      </c>
      <c r="H49" s="40"/>
      <c r="I49" s="39">
        <v>250</v>
      </c>
      <c r="J49" s="41">
        <v>11561.2</v>
      </c>
      <c r="K49" s="1033">
        <f t="shared" si="20"/>
        <v>0</v>
      </c>
      <c r="L49" s="879">
        <f t="shared" si="21"/>
        <v>1.6535782507187374E-2</v>
      </c>
    </row>
    <row r="50" spans="1:12" ht="15" thickBot="1" x14ac:dyDescent="0.35">
      <c r="A50" s="872"/>
      <c r="B50" s="874"/>
      <c r="C50" s="874"/>
      <c r="D50" s="874"/>
      <c r="E50" s="874"/>
      <c r="F50" s="42" t="s">
        <v>2690</v>
      </c>
      <c r="G50" s="42">
        <v>18431</v>
      </c>
      <c r="H50" s="43"/>
      <c r="I50" s="42">
        <v>300</v>
      </c>
      <c r="J50" s="44">
        <v>13923.8</v>
      </c>
      <c r="K50" s="1034"/>
      <c r="L50" s="880"/>
    </row>
    <row r="51" spans="1:12" x14ac:dyDescent="0.3">
      <c r="A51" s="871">
        <v>342</v>
      </c>
      <c r="B51" s="873">
        <v>17766.5</v>
      </c>
      <c r="C51" s="873" t="s">
        <v>2691</v>
      </c>
      <c r="D51" s="873">
        <f>+I51+I52</f>
        <v>344</v>
      </c>
      <c r="E51" s="873">
        <f>+J51+J52</f>
        <v>16407</v>
      </c>
      <c r="F51" s="39" t="s">
        <v>2692</v>
      </c>
      <c r="G51" s="39">
        <v>18471</v>
      </c>
      <c r="H51" s="40"/>
      <c r="I51" s="39">
        <v>200</v>
      </c>
      <c r="J51" s="41">
        <v>9637.2999999999993</v>
      </c>
      <c r="K51" s="1033">
        <f t="shared" ref="K51" si="22">+A51-D51</f>
        <v>-2</v>
      </c>
      <c r="L51" s="879">
        <f>((+B51/A51)-(E51/D51))/(B51/A51)</f>
        <v>8.1889484979243019E-2</v>
      </c>
    </row>
    <row r="52" spans="1:12" ht="15" thickBot="1" x14ac:dyDescent="0.35">
      <c r="A52" s="872"/>
      <c r="B52" s="874"/>
      <c r="C52" s="874"/>
      <c r="D52" s="874"/>
      <c r="E52" s="874"/>
      <c r="F52" s="42" t="s">
        <v>2692</v>
      </c>
      <c r="G52" s="42">
        <v>18471</v>
      </c>
      <c r="H52" s="43"/>
      <c r="I52" s="42">
        <v>144</v>
      </c>
      <c r="J52" s="44">
        <v>6769.7</v>
      </c>
      <c r="K52" s="1034"/>
      <c r="L52" s="880"/>
    </row>
    <row r="53" spans="1:12" x14ac:dyDescent="0.3">
      <c r="A53" s="871">
        <v>326</v>
      </c>
      <c r="B53" s="873">
        <v>15354.25</v>
      </c>
      <c r="C53" s="873" t="s">
        <v>2838</v>
      </c>
      <c r="D53" s="873">
        <v>326</v>
      </c>
      <c r="E53" s="873">
        <v>15414.6</v>
      </c>
      <c r="F53" s="39" t="s">
        <v>2839</v>
      </c>
      <c r="G53" s="39">
        <v>18491</v>
      </c>
      <c r="H53" s="40"/>
      <c r="I53" s="39">
        <v>120</v>
      </c>
      <c r="J53" s="41">
        <v>5608.2</v>
      </c>
      <c r="K53" s="1033">
        <f t="shared" ref="K53" si="23">+A53-D53</f>
        <v>0</v>
      </c>
      <c r="L53" s="879">
        <f>((+B53/A53)-(E53/D53))/(B53/A53)</f>
        <v>-3.9305078398489228E-3</v>
      </c>
    </row>
    <row r="54" spans="1:12" ht="15" thickBot="1" x14ac:dyDescent="0.35">
      <c r="A54" s="872"/>
      <c r="B54" s="874"/>
      <c r="C54" s="874"/>
      <c r="D54" s="874"/>
      <c r="E54" s="874"/>
      <c r="F54" s="42" t="s">
        <v>2839</v>
      </c>
      <c r="G54" s="42">
        <v>18491</v>
      </c>
      <c r="H54" s="43"/>
      <c r="I54" s="42">
        <v>100</v>
      </c>
      <c r="J54" s="44">
        <v>4712</v>
      </c>
      <c r="K54" s="1034"/>
      <c r="L54" s="880"/>
    </row>
    <row r="55" spans="1:12" ht="15" thickBot="1" x14ac:dyDescent="0.35">
      <c r="A55" s="175">
        <v>324</v>
      </c>
      <c r="B55" s="8">
        <v>15970.75</v>
      </c>
      <c r="C55" s="8" t="s">
        <v>3112</v>
      </c>
      <c r="D55" s="8">
        <f>+I55</f>
        <v>324</v>
      </c>
      <c r="E55" s="8">
        <f>+J55</f>
        <v>15608.9</v>
      </c>
      <c r="F55" s="45" t="s">
        <v>3113</v>
      </c>
      <c r="G55" s="45">
        <v>18561</v>
      </c>
      <c r="H55" s="14"/>
      <c r="I55" s="45">
        <v>324</v>
      </c>
      <c r="J55" s="46">
        <v>15608.9</v>
      </c>
      <c r="K55" s="141">
        <f t="shared" ref="K55:K56" si="24">+A55-D55</f>
        <v>0</v>
      </c>
      <c r="L55" s="31">
        <f t="shared" ref="L55:L56" si="25">((+B55/A55)-(E55/D55))/(B55/A55)</f>
        <v>2.265704491022652E-2</v>
      </c>
    </row>
    <row r="56" spans="1:12" x14ac:dyDescent="0.3">
      <c r="A56" s="871">
        <v>360</v>
      </c>
      <c r="B56" s="873">
        <v>17728.25</v>
      </c>
      <c r="C56" s="873" t="s">
        <v>3114</v>
      </c>
      <c r="D56" s="873">
        <f>+I56+I57</f>
        <v>360</v>
      </c>
      <c r="E56" s="873">
        <f>+J56+J57</f>
        <v>16987.8</v>
      </c>
      <c r="F56" s="39" t="s">
        <v>3115</v>
      </c>
      <c r="G56" s="39">
        <v>18661</v>
      </c>
      <c r="H56" s="40"/>
      <c r="I56" s="39">
        <v>240</v>
      </c>
      <c r="J56" s="41">
        <v>11306.5</v>
      </c>
      <c r="K56" s="1031">
        <f t="shared" si="24"/>
        <v>0</v>
      </c>
      <c r="L56" s="879">
        <f t="shared" si="25"/>
        <v>4.17666718373218E-2</v>
      </c>
    </row>
    <row r="57" spans="1:12" ht="15" thickBot="1" x14ac:dyDescent="0.35">
      <c r="A57" s="872"/>
      <c r="B57" s="874"/>
      <c r="C57" s="874"/>
      <c r="D57" s="874"/>
      <c r="E57" s="874"/>
      <c r="F57" s="42" t="s">
        <v>3115</v>
      </c>
      <c r="G57" s="42">
        <v>18661</v>
      </c>
      <c r="H57" s="43"/>
      <c r="I57" s="42">
        <v>120</v>
      </c>
      <c r="J57" s="44">
        <v>5681.3</v>
      </c>
      <c r="K57" s="1032"/>
      <c r="L57" s="880"/>
    </row>
    <row r="58" spans="1:12" ht="15" thickBot="1" x14ac:dyDescent="0.35">
      <c r="A58" s="175">
        <v>356</v>
      </c>
      <c r="B58" s="8">
        <v>16869.75</v>
      </c>
      <c r="C58" s="8" t="s">
        <v>3116</v>
      </c>
      <c r="D58" s="8">
        <v>356</v>
      </c>
      <c r="E58" s="8">
        <v>16615.5</v>
      </c>
      <c r="F58" s="45" t="s">
        <v>3117</v>
      </c>
      <c r="G58" s="45">
        <v>18671</v>
      </c>
      <c r="H58" s="14"/>
      <c r="I58" s="45">
        <v>200</v>
      </c>
      <c r="J58" s="46">
        <v>9263</v>
      </c>
      <c r="K58" s="141">
        <f t="shared" ref="K58:K59" si="26">+A58-D58</f>
        <v>0</v>
      </c>
      <c r="L58" s="31">
        <f t="shared" ref="L58" si="27">((+B58/A58)-(E58/D58))/(B58/A58)</f>
        <v>1.5071355532832554E-2</v>
      </c>
    </row>
    <row r="59" spans="1:12" x14ac:dyDescent="0.3">
      <c r="A59" s="871">
        <v>275</v>
      </c>
      <c r="B59" s="873">
        <v>12774.75</v>
      </c>
      <c r="C59" s="873" t="s">
        <v>3252</v>
      </c>
      <c r="D59" s="873">
        <f>+I59+I60</f>
        <v>276</v>
      </c>
      <c r="E59" s="873">
        <f>+J59+J60</f>
        <v>12828.800000000001</v>
      </c>
      <c r="F59" s="39" t="s">
        <v>3253</v>
      </c>
      <c r="G59" s="39">
        <v>18721</v>
      </c>
      <c r="H59" s="40"/>
      <c r="I59" s="39">
        <v>200</v>
      </c>
      <c r="J59" s="41">
        <v>9353.7000000000007</v>
      </c>
      <c r="K59" s="1031">
        <f t="shared" si="26"/>
        <v>-1</v>
      </c>
      <c r="L59" s="879">
        <f>((+B59/A59)-(E59/D59))/(B59/A59)</f>
        <v>-5.9248443842036577E-4</v>
      </c>
    </row>
    <row r="60" spans="1:12" ht="15" thickBot="1" x14ac:dyDescent="0.35">
      <c r="A60" s="872"/>
      <c r="B60" s="874"/>
      <c r="C60" s="874"/>
      <c r="D60" s="874"/>
      <c r="E60" s="874"/>
      <c r="F60" s="42" t="s">
        <v>3253</v>
      </c>
      <c r="G60" s="42">
        <v>18721</v>
      </c>
      <c r="H60" s="43"/>
      <c r="I60" s="42">
        <v>76</v>
      </c>
      <c r="J60" s="44">
        <v>3475.1</v>
      </c>
      <c r="K60" s="1032"/>
      <c r="L60" s="880"/>
    </row>
    <row r="61" spans="1:12" ht="15" thickBot="1" x14ac:dyDescent="0.35">
      <c r="A61" s="175">
        <v>250</v>
      </c>
      <c r="B61" s="8">
        <v>11477</v>
      </c>
      <c r="C61" s="8" t="s">
        <v>3360</v>
      </c>
      <c r="D61" s="8">
        <f>+I61+50</f>
        <v>250</v>
      </c>
      <c r="E61" s="8">
        <f>+J61+2241.2</f>
        <v>11140.5</v>
      </c>
      <c r="F61" s="45" t="s">
        <v>3361</v>
      </c>
      <c r="G61" s="45">
        <v>18761</v>
      </c>
      <c r="H61" s="14"/>
      <c r="I61" s="45">
        <v>200</v>
      </c>
      <c r="J61" s="46">
        <v>8899.2999999999993</v>
      </c>
      <c r="K61" s="141">
        <f t="shared" ref="K61:K63" si="28">+A61-D61</f>
        <v>0</v>
      </c>
      <c r="L61" s="31">
        <f t="shared" ref="L61:L62" si="29">((+B61/A61)-(E61/D61))/(B61/A61)</f>
        <v>2.9319508582382234E-2</v>
      </c>
    </row>
    <row r="62" spans="1:12" ht="15" thickBot="1" x14ac:dyDescent="0.35">
      <c r="A62" s="175">
        <v>406</v>
      </c>
      <c r="B62" s="8">
        <v>19063</v>
      </c>
      <c r="C62" s="8" t="s">
        <v>3362</v>
      </c>
      <c r="D62" s="8">
        <f>+I62+210</f>
        <v>406</v>
      </c>
      <c r="E62" s="8">
        <f>+J62+9430.4</f>
        <v>18357.5</v>
      </c>
      <c r="F62" s="45" t="s">
        <v>3363</v>
      </c>
      <c r="G62" s="45">
        <v>18831</v>
      </c>
      <c r="H62" s="14"/>
      <c r="I62" s="45">
        <v>196</v>
      </c>
      <c r="J62" s="46">
        <v>8927.1</v>
      </c>
      <c r="K62" s="141">
        <f t="shared" si="28"/>
        <v>0</v>
      </c>
      <c r="L62" s="31">
        <f t="shared" si="29"/>
        <v>3.700886534123702E-2</v>
      </c>
    </row>
    <row r="63" spans="1:12" x14ac:dyDescent="0.3">
      <c r="A63" s="903">
        <v>213</v>
      </c>
      <c r="B63" s="906">
        <v>10482.25</v>
      </c>
      <c r="C63" s="906" t="s">
        <v>3487</v>
      </c>
      <c r="D63" s="881">
        <f>+I63+I64</f>
        <v>213</v>
      </c>
      <c r="E63" s="881">
        <f>+J63+J64</f>
        <v>10070.799999999999</v>
      </c>
      <c r="F63" s="176" t="s">
        <v>3488</v>
      </c>
      <c r="G63" s="50">
        <v>18871</v>
      </c>
      <c r="I63" s="50">
        <v>75</v>
      </c>
      <c r="J63" s="51">
        <v>3356.7</v>
      </c>
      <c r="K63" s="1031">
        <f t="shared" si="28"/>
        <v>0</v>
      </c>
      <c r="L63" s="879">
        <f>((+B63/A63)-(E63/D63))/(B63/A63)</f>
        <v>3.925206897374147E-2</v>
      </c>
    </row>
    <row r="64" spans="1:12" ht="15" thickBot="1" x14ac:dyDescent="0.35">
      <c r="A64" s="904"/>
      <c r="B64" s="907"/>
      <c r="C64" s="907"/>
      <c r="D64" s="874"/>
      <c r="E64" s="874"/>
      <c r="F64" s="42" t="s">
        <v>3488</v>
      </c>
      <c r="G64" s="42">
        <v>18871</v>
      </c>
      <c r="H64" s="43"/>
      <c r="I64" s="42">
        <v>138</v>
      </c>
      <c r="J64" s="44">
        <v>6714.1</v>
      </c>
      <c r="K64" s="1032"/>
      <c r="L64" s="880"/>
    </row>
    <row r="65" spans="1:12" ht="15" thickBot="1" x14ac:dyDescent="0.35">
      <c r="A65" s="175">
        <v>549</v>
      </c>
      <c r="B65" s="8">
        <v>27744</v>
      </c>
      <c r="C65" s="8" t="s">
        <v>3489</v>
      </c>
      <c r="D65" s="8">
        <f t="shared" ref="D65:E68" si="30">+I65</f>
        <v>549</v>
      </c>
      <c r="E65" s="8">
        <f t="shared" si="30"/>
        <v>26986.5</v>
      </c>
      <c r="F65" s="45" t="s">
        <v>3490</v>
      </c>
      <c r="G65" s="45">
        <v>18901</v>
      </c>
      <c r="H65" s="14"/>
      <c r="I65" s="45">
        <v>549</v>
      </c>
      <c r="J65" s="46">
        <v>26986.5</v>
      </c>
      <c r="K65" s="141">
        <f t="shared" ref="K65" si="31">+A65-D65</f>
        <v>0</v>
      </c>
      <c r="L65" s="31">
        <f t="shared" ref="L65" si="32">((+B65/A65)-(E65/D65))/(B65/A65)</f>
        <v>2.7303200692041528E-2</v>
      </c>
    </row>
    <row r="66" spans="1:12" ht="15" thickBot="1" x14ac:dyDescent="0.35">
      <c r="A66" s="174">
        <v>68</v>
      </c>
      <c r="B66" s="12">
        <v>2758.3</v>
      </c>
      <c r="C66" s="12" t="s">
        <v>3805</v>
      </c>
      <c r="D66" s="12">
        <f t="shared" si="30"/>
        <v>68</v>
      </c>
      <c r="E66" s="12">
        <f t="shared" si="30"/>
        <v>2631.6</v>
      </c>
      <c r="F66" s="39" t="s">
        <v>3806</v>
      </c>
      <c r="G66" s="39">
        <v>18951</v>
      </c>
      <c r="H66" s="40"/>
      <c r="I66" s="39">
        <v>68</v>
      </c>
      <c r="J66" s="41">
        <v>2631.6</v>
      </c>
      <c r="K66" s="141">
        <f t="shared" ref="K66:K67" si="33">+A66-D66</f>
        <v>0</v>
      </c>
      <c r="L66" s="31">
        <f t="shared" ref="L66:L67" si="34">((+B66/A66)-(E66/D66))/(B66/A66)</f>
        <v>4.5934089837943753E-2</v>
      </c>
    </row>
    <row r="67" spans="1:12" ht="15" thickBot="1" x14ac:dyDescent="0.35">
      <c r="A67" s="175">
        <v>144</v>
      </c>
      <c r="B67" s="8">
        <v>7206.25</v>
      </c>
      <c r="C67" s="8" t="s">
        <v>3807</v>
      </c>
      <c r="D67" s="8">
        <f t="shared" si="30"/>
        <v>144</v>
      </c>
      <c r="E67" s="8">
        <f t="shared" si="30"/>
        <v>7167.8</v>
      </c>
      <c r="F67" s="45" t="s">
        <v>3808</v>
      </c>
      <c r="G67" s="45">
        <v>18981</v>
      </c>
      <c r="H67" s="14"/>
      <c r="I67" s="45">
        <v>144</v>
      </c>
      <c r="J67" s="46">
        <v>7167.8</v>
      </c>
      <c r="K67" s="141">
        <f t="shared" si="33"/>
        <v>0</v>
      </c>
      <c r="L67" s="31">
        <f t="shared" si="34"/>
        <v>5.3356461405030574E-3</v>
      </c>
    </row>
    <row r="68" spans="1:12" ht="15" thickBot="1" x14ac:dyDescent="0.35">
      <c r="A68" s="174">
        <v>273</v>
      </c>
      <c r="B68" s="12">
        <v>13861.75</v>
      </c>
      <c r="C68" s="12" t="s">
        <v>4074</v>
      </c>
      <c r="D68" s="12">
        <f t="shared" si="30"/>
        <v>273</v>
      </c>
      <c r="E68" s="12">
        <f t="shared" si="30"/>
        <v>13732.8</v>
      </c>
      <c r="F68" s="39" t="s">
        <v>4075</v>
      </c>
      <c r="G68" s="39">
        <v>19001</v>
      </c>
      <c r="H68" s="40"/>
      <c r="I68" s="39">
        <v>273</v>
      </c>
      <c r="J68" s="41">
        <v>13732.8</v>
      </c>
      <c r="K68" s="141">
        <f t="shared" ref="K68:K69" si="35">+A68-D68</f>
        <v>0</v>
      </c>
      <c r="L68" s="31">
        <f t="shared" ref="L68" si="36">((+B68/A68)-(E68/D68))/(B68/A68)</f>
        <v>9.3025772359190753E-3</v>
      </c>
    </row>
    <row r="69" spans="1:12" x14ac:dyDescent="0.3">
      <c r="A69" s="871">
        <v>300</v>
      </c>
      <c r="B69" s="873">
        <v>13146.25</v>
      </c>
      <c r="C69" s="873" t="s">
        <v>4076</v>
      </c>
      <c r="D69" s="873">
        <f>+I69+I70</f>
        <v>300</v>
      </c>
      <c r="E69" s="873">
        <f>+J69+J70</f>
        <v>12909.800000000001</v>
      </c>
      <c r="F69" s="39" t="s">
        <v>4077</v>
      </c>
      <c r="G69" s="39">
        <v>19061</v>
      </c>
      <c r="H69" s="40"/>
      <c r="I69" s="39">
        <v>100</v>
      </c>
      <c r="J69" s="41">
        <v>4291.6000000000004</v>
      </c>
      <c r="K69" s="1031">
        <f t="shared" si="35"/>
        <v>0</v>
      </c>
      <c r="L69" s="879">
        <f>((+B69/A69)-(E69/D69))/(B69/A69)</f>
        <v>1.7986117714176936E-2</v>
      </c>
    </row>
    <row r="70" spans="1:12" ht="15" thickBot="1" x14ac:dyDescent="0.35">
      <c r="A70" s="872"/>
      <c r="B70" s="874"/>
      <c r="C70" s="874"/>
      <c r="D70" s="874"/>
      <c r="E70" s="874"/>
      <c r="F70" s="42" t="s">
        <v>4077</v>
      </c>
      <c r="G70" s="42">
        <v>19061</v>
      </c>
      <c r="H70" s="43"/>
      <c r="I70" s="42">
        <v>200</v>
      </c>
      <c r="J70" s="44">
        <v>8618.2000000000007</v>
      </c>
      <c r="K70" s="1032"/>
      <c r="L70" s="880"/>
    </row>
    <row r="71" spans="1:12" ht="15" thickBot="1" x14ac:dyDescent="0.35">
      <c r="A71" s="175">
        <v>410</v>
      </c>
      <c r="B71" s="8">
        <v>17683.75</v>
      </c>
      <c r="C71" s="8" t="s">
        <v>4078</v>
      </c>
      <c r="D71" s="8">
        <v>410</v>
      </c>
      <c r="E71" s="8">
        <v>17487.7</v>
      </c>
      <c r="F71" s="45" t="s">
        <v>4079</v>
      </c>
      <c r="G71" s="45">
        <v>19131</v>
      </c>
      <c r="H71" s="14"/>
      <c r="I71" s="45">
        <v>201</v>
      </c>
      <c r="J71" s="46">
        <v>8547.2000000000007</v>
      </c>
      <c r="K71" s="141">
        <f t="shared" ref="K71:K72" si="37">+A71-D71</f>
        <v>0</v>
      </c>
      <c r="L71" s="31">
        <f t="shared" ref="L71" si="38">((+B71/A71)-(E71/D71))/(B71/A71)</f>
        <v>1.1086449423906094E-2</v>
      </c>
    </row>
    <row r="72" spans="1:12" x14ac:dyDescent="0.3">
      <c r="A72" s="871">
        <v>174</v>
      </c>
      <c r="B72" s="873">
        <v>7603.75</v>
      </c>
      <c r="C72" s="873" t="s">
        <v>4477</v>
      </c>
      <c r="D72" s="873">
        <f>+I72+I73</f>
        <v>174</v>
      </c>
      <c r="E72" s="873">
        <f>+J72+J73</f>
        <v>7570</v>
      </c>
      <c r="F72" s="39" t="s">
        <v>4478</v>
      </c>
      <c r="G72" s="39">
        <v>19191</v>
      </c>
      <c r="H72" s="40"/>
      <c r="I72" s="39">
        <v>106</v>
      </c>
      <c r="J72" s="41">
        <v>4594</v>
      </c>
      <c r="K72" s="1031">
        <f t="shared" si="37"/>
        <v>0</v>
      </c>
      <c r="L72" s="879">
        <f>((+B72/A72)-(E72/D72))/(B72/A72)</f>
        <v>4.4385993753082694E-3</v>
      </c>
    </row>
    <row r="73" spans="1:12" ht="15" thickBot="1" x14ac:dyDescent="0.35">
      <c r="A73" s="872"/>
      <c r="B73" s="874"/>
      <c r="C73" s="874"/>
      <c r="D73" s="874"/>
      <c r="E73" s="874"/>
      <c r="F73" s="50" t="s">
        <v>4478</v>
      </c>
      <c r="G73" s="50">
        <v>19191</v>
      </c>
      <c r="I73" s="50">
        <v>68</v>
      </c>
      <c r="J73" s="51">
        <v>2976</v>
      </c>
      <c r="K73" s="1032"/>
      <c r="L73" s="880"/>
    </row>
    <row r="74" spans="1:12" ht="15" thickBot="1" x14ac:dyDescent="0.35">
      <c r="A74" s="175">
        <v>229</v>
      </c>
      <c r="B74" s="8">
        <v>10478.25</v>
      </c>
      <c r="C74" s="8" t="s">
        <v>4479</v>
      </c>
      <c r="D74" s="8">
        <f>+I74</f>
        <v>229</v>
      </c>
      <c r="E74" s="8">
        <f>+J74</f>
        <v>10445.299999999999</v>
      </c>
      <c r="F74" s="45" t="s">
        <v>4476</v>
      </c>
      <c r="G74" s="45">
        <v>19201</v>
      </c>
      <c r="H74" s="14"/>
      <c r="I74" s="45">
        <v>229</v>
      </c>
      <c r="J74" s="46">
        <v>10445.299999999999</v>
      </c>
      <c r="K74" s="141">
        <f t="shared" ref="K74" si="39">+A74-D74</f>
        <v>0</v>
      </c>
      <c r="L74" s="31">
        <f t="shared" ref="L74" si="40">((+B74/A74)-(E74/D74))/(B74/A74)</f>
        <v>3.1446090711713397E-3</v>
      </c>
    </row>
    <row r="75" spans="1:12" ht="15" thickBot="1" x14ac:dyDescent="0.35">
      <c r="A75" s="175">
        <v>300</v>
      </c>
      <c r="B75" s="8">
        <v>13457.5</v>
      </c>
      <c r="C75" s="8" t="s">
        <v>4659</v>
      </c>
      <c r="D75" s="8">
        <v>300</v>
      </c>
      <c r="E75" s="8">
        <v>13381.5</v>
      </c>
      <c r="F75" s="45" t="s">
        <v>4660</v>
      </c>
      <c r="G75" s="46">
        <v>19221</v>
      </c>
      <c r="I75" s="50">
        <v>100</v>
      </c>
      <c r="J75" s="50">
        <v>4479.8999999999996</v>
      </c>
      <c r="K75" s="141">
        <f t="shared" ref="K75:K76" si="41">+A75-D75</f>
        <v>0</v>
      </c>
      <c r="L75" s="31">
        <f t="shared" ref="L75" si="42">((+B75/A75)-(E75/D75))/(B75/A75)</f>
        <v>5.6474085082668561E-3</v>
      </c>
    </row>
    <row r="76" spans="1:12" x14ac:dyDescent="0.3">
      <c r="A76" s="871">
        <v>250</v>
      </c>
      <c r="B76" s="873">
        <v>10662.25</v>
      </c>
      <c r="C76" s="873" t="s">
        <v>4861</v>
      </c>
      <c r="D76" s="873">
        <f>+I76+I77</f>
        <v>250</v>
      </c>
      <c r="E76" s="873">
        <f>+J76+J77</f>
        <v>10393.700000000001</v>
      </c>
      <c r="F76" s="39" t="s">
        <v>4862</v>
      </c>
      <c r="G76" s="39">
        <v>19311</v>
      </c>
      <c r="H76" s="40"/>
      <c r="I76" s="39">
        <v>200</v>
      </c>
      <c r="J76" s="41">
        <v>8312.1</v>
      </c>
      <c r="K76" s="1031">
        <f t="shared" si="41"/>
        <v>0</v>
      </c>
      <c r="L76" s="879">
        <f>((+B76/A76)-(E76/D76))/(B76/A76)</f>
        <v>2.5186991488663216E-2</v>
      </c>
    </row>
    <row r="77" spans="1:12" ht="15" thickBot="1" x14ac:dyDescent="0.35">
      <c r="A77" s="872"/>
      <c r="B77" s="874"/>
      <c r="C77" s="874"/>
      <c r="D77" s="874"/>
      <c r="E77" s="874"/>
      <c r="F77" s="42" t="s">
        <v>4862</v>
      </c>
      <c r="G77" s="42">
        <v>19311</v>
      </c>
      <c r="H77" s="43"/>
      <c r="I77" s="42">
        <v>50</v>
      </c>
      <c r="J77" s="44">
        <v>2081.6</v>
      </c>
      <c r="K77" s="1032"/>
      <c r="L77" s="880"/>
    </row>
    <row r="78" spans="1:12" x14ac:dyDescent="0.3">
      <c r="A78" s="871">
        <v>200</v>
      </c>
      <c r="B78" s="873">
        <v>8610.75</v>
      </c>
      <c r="C78" s="873" t="s">
        <v>4863</v>
      </c>
      <c r="D78" s="873">
        <f>+I78+I79</f>
        <v>203</v>
      </c>
      <c r="E78" s="873">
        <f>+J78+J79</f>
        <v>8723.2000000000007</v>
      </c>
      <c r="F78" s="39" t="s">
        <v>4864</v>
      </c>
      <c r="G78" s="39">
        <v>19391</v>
      </c>
      <c r="H78" s="40"/>
      <c r="I78" s="39">
        <v>20</v>
      </c>
      <c r="J78" s="41">
        <v>855.7</v>
      </c>
      <c r="K78" s="1031">
        <f t="shared" ref="K78" si="43">+A78-D78</f>
        <v>-3</v>
      </c>
      <c r="L78" s="879">
        <f>((+B78/A78)-(E78/D78))/(B78/A78)</f>
        <v>1.9120617500548911E-3</v>
      </c>
    </row>
    <row r="79" spans="1:12" ht="15" thickBot="1" x14ac:dyDescent="0.35">
      <c r="A79" s="872"/>
      <c r="B79" s="874"/>
      <c r="C79" s="874"/>
      <c r="D79" s="874"/>
      <c r="E79" s="874"/>
      <c r="F79" s="42" t="s">
        <v>4864</v>
      </c>
      <c r="G79" s="42">
        <v>19391</v>
      </c>
      <c r="H79" s="43"/>
      <c r="I79" s="42">
        <v>183</v>
      </c>
      <c r="J79" s="44">
        <v>7867.5</v>
      </c>
      <c r="K79" s="1032"/>
      <c r="L79" s="880"/>
    </row>
    <row r="80" spans="1:12" ht="15" thickBot="1" x14ac:dyDescent="0.35">
      <c r="A80" s="175">
        <v>200</v>
      </c>
      <c r="B80" s="8">
        <v>8662.25</v>
      </c>
      <c r="C80" s="8" t="s">
        <v>4921</v>
      </c>
      <c r="D80" s="8">
        <f>+I80</f>
        <v>200</v>
      </c>
      <c r="E80" s="8">
        <f>+J80</f>
        <v>8633.5</v>
      </c>
      <c r="F80" s="45" t="s">
        <v>4922</v>
      </c>
      <c r="G80" s="45">
        <v>19401</v>
      </c>
      <c r="H80" s="14"/>
      <c r="I80" s="45">
        <v>200</v>
      </c>
      <c r="J80" s="46">
        <v>8633.5</v>
      </c>
      <c r="K80" s="141">
        <f t="shared" ref="K80" si="44">+A80-D80</f>
        <v>0</v>
      </c>
      <c r="L80" s="31">
        <f t="shared" ref="L80" si="45">((+B80/A80)-(E80/D80))/(B80/A80)</f>
        <v>3.318999105313383E-3</v>
      </c>
    </row>
    <row r="81" spans="1:12" ht="15" thickBot="1" x14ac:dyDescent="0.35">
      <c r="A81" s="175">
        <v>207</v>
      </c>
      <c r="B81" s="8">
        <v>8892</v>
      </c>
      <c r="C81" s="8" t="s">
        <v>5019</v>
      </c>
      <c r="D81" s="8">
        <f>+I81</f>
        <v>207</v>
      </c>
      <c r="E81" s="8">
        <f>+J81</f>
        <v>8876.2999999999993</v>
      </c>
      <c r="F81" s="45" t="s">
        <v>5020</v>
      </c>
      <c r="G81" s="45">
        <v>19451</v>
      </c>
      <c r="H81" s="14"/>
      <c r="I81" s="45">
        <v>207</v>
      </c>
      <c r="J81" s="46">
        <v>8876.2999999999993</v>
      </c>
      <c r="K81" s="141">
        <f t="shared" ref="K81" si="46">+A81-D81</f>
        <v>0</v>
      </c>
      <c r="L81" s="31">
        <f t="shared" ref="L81" si="47">((+B81/A81)-(E81/D81))/(B81/A81)</f>
        <v>1.7656320287900988E-3</v>
      </c>
    </row>
    <row r="82" spans="1:12" ht="15" thickBot="1" x14ac:dyDescent="0.35">
      <c r="A82" s="175">
        <v>266</v>
      </c>
      <c r="B82" s="8">
        <v>11557</v>
      </c>
      <c r="C82" s="8" t="s">
        <v>5099</v>
      </c>
      <c r="D82" s="8">
        <v>266</v>
      </c>
      <c r="E82" s="8">
        <v>11824.5</v>
      </c>
      <c r="F82" s="45" t="s">
        <v>5100</v>
      </c>
      <c r="G82" s="45">
        <v>19491</v>
      </c>
      <c r="H82" s="14"/>
      <c r="I82" s="45">
        <v>100</v>
      </c>
      <c r="J82" s="46">
        <v>4450.8999999999996</v>
      </c>
      <c r="K82" s="141">
        <f t="shared" ref="K82:K83" si="48">+A82-D82</f>
        <v>0</v>
      </c>
      <c r="L82" s="31">
        <f t="shared" ref="L82" si="49">((+B82/A82)-(E82/D82))/(B82/A82)</f>
        <v>-2.3146145193389363E-2</v>
      </c>
    </row>
    <row r="83" spans="1:12" x14ac:dyDescent="0.3">
      <c r="A83" s="871">
        <v>128</v>
      </c>
      <c r="B83" s="873">
        <v>5431.25</v>
      </c>
      <c r="C83" s="873" t="s">
        <v>5235</v>
      </c>
      <c r="D83" s="873">
        <f>+I83+I84</f>
        <v>128</v>
      </c>
      <c r="E83" s="873">
        <f>+J83+J84</f>
        <v>5646.6</v>
      </c>
      <c r="F83" s="378" t="s">
        <v>5236</v>
      </c>
      <c r="G83" s="378">
        <v>19561</v>
      </c>
      <c r="H83" s="40"/>
      <c r="I83" s="378">
        <v>34</v>
      </c>
      <c r="J83" s="41">
        <v>1446.9</v>
      </c>
      <c r="K83" s="1031">
        <f t="shared" si="48"/>
        <v>0</v>
      </c>
      <c r="L83" s="879">
        <f>((+B83/A83)-(E83/D83))/(B83/A83)</f>
        <v>-3.9650172612197998E-2</v>
      </c>
    </row>
    <row r="84" spans="1:12" ht="15" thickBot="1" x14ac:dyDescent="0.35">
      <c r="A84" s="872"/>
      <c r="B84" s="874"/>
      <c r="C84" s="874"/>
      <c r="D84" s="874"/>
      <c r="E84" s="874"/>
      <c r="F84" s="379" t="s">
        <v>5236</v>
      </c>
      <c r="G84" s="379">
        <v>19561</v>
      </c>
      <c r="H84" s="380"/>
      <c r="I84" s="379">
        <v>94</v>
      </c>
      <c r="J84" s="44">
        <v>4199.7</v>
      </c>
      <c r="K84" s="1032"/>
      <c r="L84" s="880"/>
    </row>
    <row r="85" spans="1:12" ht="15" thickBot="1" x14ac:dyDescent="0.35">
      <c r="A85" s="175">
        <v>147</v>
      </c>
      <c r="B85" s="8">
        <v>6471.5</v>
      </c>
      <c r="C85" s="8" t="s">
        <v>5237</v>
      </c>
      <c r="D85" s="8">
        <v>147</v>
      </c>
      <c r="E85" s="8">
        <v>6601.5</v>
      </c>
      <c r="F85" s="45" t="s">
        <v>5337</v>
      </c>
      <c r="G85" s="45">
        <v>19581</v>
      </c>
      <c r="H85" s="14"/>
      <c r="I85" s="45">
        <v>106</v>
      </c>
      <c r="J85" s="46">
        <v>4770.8</v>
      </c>
      <c r="K85" s="141">
        <f t="shared" ref="K85:K86" si="50">+A85-D85</f>
        <v>0</v>
      </c>
      <c r="L85" s="31">
        <f t="shared" ref="L85" si="51">((+B85/A85)-(E85/D85))/(B85/A85)</f>
        <v>-2.0088078498029772E-2</v>
      </c>
    </row>
    <row r="86" spans="1:12" x14ac:dyDescent="0.3">
      <c r="A86" s="871">
        <v>334</v>
      </c>
      <c r="B86" s="873">
        <v>14654.25</v>
      </c>
      <c r="C86" s="873" t="s">
        <v>5338</v>
      </c>
      <c r="D86" s="873">
        <f>+I86+I87</f>
        <v>333</v>
      </c>
      <c r="E86" s="873">
        <f>+J86+J87</f>
        <v>15197</v>
      </c>
      <c r="F86" s="392" t="s">
        <v>5339</v>
      </c>
      <c r="G86" s="392">
        <v>19631</v>
      </c>
      <c r="H86" s="40"/>
      <c r="I86" s="392">
        <v>212</v>
      </c>
      <c r="J86" s="41">
        <v>9685.2999999999993</v>
      </c>
      <c r="K86" s="1031">
        <f t="shared" si="50"/>
        <v>1</v>
      </c>
      <c r="L86" s="879">
        <f>((+B86/A86)-(E86/D86))/(B86/A86)</f>
        <v>-4.0151262373484625E-2</v>
      </c>
    </row>
    <row r="87" spans="1:12" ht="15" thickBot="1" x14ac:dyDescent="0.35">
      <c r="A87" s="872"/>
      <c r="B87" s="874"/>
      <c r="C87" s="874"/>
      <c r="D87" s="874"/>
      <c r="E87" s="874"/>
      <c r="F87" s="393" t="s">
        <v>5339</v>
      </c>
      <c r="G87" s="393">
        <v>19631</v>
      </c>
      <c r="H87" s="394"/>
      <c r="I87" s="393">
        <v>121</v>
      </c>
      <c r="J87" s="44">
        <v>5511.7</v>
      </c>
      <c r="K87" s="1032"/>
      <c r="L87" s="880"/>
    </row>
    <row r="88" spans="1:12" ht="15" thickBot="1" x14ac:dyDescent="0.35">
      <c r="A88" s="175">
        <v>200</v>
      </c>
      <c r="B88" s="8">
        <v>8860.25</v>
      </c>
      <c r="C88" s="8" t="s">
        <v>5408</v>
      </c>
      <c r="D88" s="8">
        <v>200</v>
      </c>
      <c r="E88" s="8">
        <v>8876.6</v>
      </c>
      <c r="F88" s="45" t="s">
        <v>5409</v>
      </c>
      <c r="G88" s="45">
        <v>19671</v>
      </c>
      <c r="H88" s="14"/>
      <c r="I88" s="45">
        <v>100</v>
      </c>
      <c r="J88" s="46">
        <v>4450.8999999999996</v>
      </c>
      <c r="K88" s="141">
        <f t="shared" ref="K88" si="52">+A88-D88</f>
        <v>0</v>
      </c>
      <c r="L88" s="31">
        <f t="shared" ref="L88" si="53">((+B88/A88)-(E88/D88))/(B88/A88)</f>
        <v>-1.8453203916367945E-3</v>
      </c>
    </row>
    <row r="89" spans="1:12" ht="15" thickBot="1" x14ac:dyDescent="0.35">
      <c r="A89" s="409">
        <v>325</v>
      </c>
      <c r="B89" s="408">
        <v>16041</v>
      </c>
      <c r="C89" s="408" t="s">
        <v>5468</v>
      </c>
      <c r="D89" s="408">
        <f>+I89</f>
        <v>325</v>
      </c>
      <c r="E89" s="408">
        <f>+J89</f>
        <v>15973.6</v>
      </c>
      <c r="F89" s="366" t="s">
        <v>5469</v>
      </c>
      <c r="G89" s="366">
        <v>19651</v>
      </c>
      <c r="H89" s="422"/>
      <c r="I89" s="366">
        <v>325</v>
      </c>
      <c r="J89" s="423">
        <v>15973.6</v>
      </c>
      <c r="K89" s="141">
        <f t="shared" ref="K89:K90" si="54">+A89-D89</f>
        <v>0</v>
      </c>
      <c r="L89" s="31">
        <f t="shared" ref="L89" si="55">((+B89/A89)-(E89/D89))/(B89/A89)</f>
        <v>4.2017330590361501E-3</v>
      </c>
    </row>
    <row r="90" spans="1:12" x14ac:dyDescent="0.3">
      <c r="A90" s="871">
        <f>370</f>
        <v>370</v>
      </c>
      <c r="B90" s="873">
        <f>16558-4967.4+4920.25</f>
        <v>16510.849999999999</v>
      </c>
      <c r="C90" s="873" t="s">
        <v>5470</v>
      </c>
      <c r="D90" s="873">
        <v>400</v>
      </c>
      <c r="E90" s="873">
        <v>18068.8</v>
      </c>
      <c r="F90" s="413" t="s">
        <v>5471</v>
      </c>
      <c r="G90" s="413">
        <v>19701</v>
      </c>
      <c r="H90" s="40"/>
      <c r="I90" s="413">
        <v>100</v>
      </c>
      <c r="J90" s="41">
        <v>4563.1000000000004</v>
      </c>
      <c r="K90" s="1031">
        <f t="shared" si="54"/>
        <v>-30</v>
      </c>
      <c r="L90" s="879">
        <f>((+B90/A90)-(E90/D90))/(B90/A90)</f>
        <v>-1.2282226535883943E-2</v>
      </c>
    </row>
    <row r="91" spans="1:12" ht="15" thickBot="1" x14ac:dyDescent="0.35">
      <c r="A91" s="872"/>
      <c r="B91" s="874"/>
      <c r="C91" s="874"/>
      <c r="D91" s="874"/>
      <c r="E91" s="874"/>
      <c r="F91" s="414" t="s">
        <v>5471</v>
      </c>
      <c r="G91" s="414">
        <v>19701</v>
      </c>
      <c r="H91" s="415"/>
      <c r="I91" s="414">
        <v>100</v>
      </c>
      <c r="J91" s="44">
        <v>4596.1000000000004</v>
      </c>
      <c r="K91" s="1032"/>
      <c r="L91" s="880"/>
    </row>
    <row r="92" spans="1:12" ht="15" thickBot="1" x14ac:dyDescent="0.35">
      <c r="A92" s="175">
        <v>200</v>
      </c>
      <c r="B92" s="8">
        <v>8645.25</v>
      </c>
      <c r="C92" s="8" t="s">
        <v>5653</v>
      </c>
      <c r="D92" s="8">
        <v>200</v>
      </c>
      <c r="E92" s="8">
        <v>9077.7000000000007</v>
      </c>
      <c r="F92" s="45" t="s">
        <v>5654</v>
      </c>
      <c r="G92" s="45">
        <v>19781</v>
      </c>
      <c r="H92" s="14"/>
      <c r="I92" s="45">
        <v>150</v>
      </c>
      <c r="J92" s="46">
        <v>6857.8</v>
      </c>
      <c r="K92" s="141">
        <f t="shared" ref="K92:K93" si="56">+A92-D92</f>
        <v>0</v>
      </c>
      <c r="L92" s="31">
        <f t="shared" ref="L92" si="57">((+B92/A92)-(E92/D92))/(B92/A92)</f>
        <v>-5.0021688210288892E-2</v>
      </c>
    </row>
    <row r="93" spans="1:12" x14ac:dyDescent="0.3">
      <c r="A93" s="871">
        <v>221</v>
      </c>
      <c r="B93" s="873">
        <v>9947.5</v>
      </c>
      <c r="C93" s="873" t="s">
        <v>5788</v>
      </c>
      <c r="D93" s="873">
        <f>+I93+I94</f>
        <v>221</v>
      </c>
      <c r="E93" s="873">
        <f>+J93+J94</f>
        <v>10135.6</v>
      </c>
      <c r="F93" s="465" t="s">
        <v>5789</v>
      </c>
      <c r="G93" s="465">
        <v>19851</v>
      </c>
      <c r="H93" s="40"/>
      <c r="I93" s="465">
        <v>150</v>
      </c>
      <c r="J93" s="41">
        <v>6906.1</v>
      </c>
      <c r="K93" s="1031">
        <f t="shared" si="56"/>
        <v>0</v>
      </c>
      <c r="L93" s="879">
        <f>((+B93/A93)-(E93/D93))/(B93/A93)</f>
        <v>-1.8909273686855965E-2</v>
      </c>
    </row>
    <row r="94" spans="1:12" ht="15" thickBot="1" x14ac:dyDescent="0.35">
      <c r="A94" s="872"/>
      <c r="B94" s="874"/>
      <c r="C94" s="874"/>
      <c r="D94" s="874"/>
      <c r="E94" s="874"/>
      <c r="F94" s="466" t="s">
        <v>5789</v>
      </c>
      <c r="G94" s="466">
        <v>19851</v>
      </c>
      <c r="H94" s="467"/>
      <c r="I94" s="466">
        <v>71</v>
      </c>
      <c r="J94" s="44">
        <v>3229.5</v>
      </c>
      <c r="K94" s="1032"/>
      <c r="L94" s="880"/>
    </row>
    <row r="95" spans="1:12" ht="15" thickBot="1" x14ac:dyDescent="0.35">
      <c r="A95" s="175">
        <v>220</v>
      </c>
      <c r="B95" s="8">
        <v>11511.5</v>
      </c>
      <c r="C95" s="8" t="s">
        <v>5790</v>
      </c>
      <c r="D95" s="8">
        <f>+I95</f>
        <v>220</v>
      </c>
      <c r="E95" s="8">
        <f>+J95</f>
        <v>11584.7</v>
      </c>
      <c r="F95" s="45" t="s">
        <v>5791</v>
      </c>
      <c r="G95" s="45">
        <v>19881</v>
      </c>
      <c r="H95" s="14"/>
      <c r="I95" s="45">
        <v>220</v>
      </c>
      <c r="J95" s="46">
        <v>11584.7</v>
      </c>
      <c r="K95" s="141">
        <f t="shared" ref="K95:K96" si="58">+A95-D95</f>
        <v>0</v>
      </c>
      <c r="L95" s="31">
        <f t="shared" ref="L95" si="59">((+B95/A95)-(E95/D95))/(B95/A95)</f>
        <v>-6.3588585327716317E-3</v>
      </c>
    </row>
    <row r="96" spans="1:12" x14ac:dyDescent="0.3">
      <c r="A96" s="871">
        <v>172</v>
      </c>
      <c r="B96" s="873">
        <v>7733.2</v>
      </c>
      <c r="C96" s="873" t="s">
        <v>5923</v>
      </c>
      <c r="D96" s="873">
        <f>+I96+I97</f>
        <v>172</v>
      </c>
      <c r="E96" s="873">
        <f>+J96+J97</f>
        <v>7703.6</v>
      </c>
      <c r="F96" s="487" t="s">
        <v>5924</v>
      </c>
      <c r="G96" s="487">
        <v>19911</v>
      </c>
      <c r="H96" s="40"/>
      <c r="I96" s="487">
        <v>72</v>
      </c>
      <c r="J96" s="41">
        <v>3208.7000000000003</v>
      </c>
      <c r="K96" s="1031">
        <f t="shared" si="58"/>
        <v>0</v>
      </c>
      <c r="L96" s="879">
        <f>((+B96/A96)-(E96/D96))/(B96/A96)</f>
        <v>3.8276522008999672E-3</v>
      </c>
    </row>
    <row r="97" spans="1:12" ht="15" thickBot="1" x14ac:dyDescent="0.35">
      <c r="A97" s="872"/>
      <c r="B97" s="874"/>
      <c r="C97" s="874"/>
      <c r="D97" s="874"/>
      <c r="E97" s="874"/>
      <c r="F97" s="488" t="s">
        <v>5924</v>
      </c>
      <c r="G97" s="488">
        <v>19911</v>
      </c>
      <c r="H97" s="491"/>
      <c r="I97" s="488">
        <v>100</v>
      </c>
      <c r="J97" s="44">
        <v>4494.8999999999996</v>
      </c>
      <c r="K97" s="1032"/>
      <c r="L97" s="880"/>
    </row>
    <row r="98" spans="1:12" x14ac:dyDescent="0.3">
      <c r="A98" s="463"/>
      <c r="B98" s="463"/>
      <c r="C98" s="463"/>
      <c r="D98" s="463"/>
      <c r="E98" s="463"/>
      <c r="F98" s="364"/>
      <c r="G98" s="364"/>
      <c r="H98" s="363"/>
      <c r="I98" s="364"/>
      <c r="J98" s="364"/>
      <c r="K98" s="476"/>
      <c r="L98" s="369"/>
    </row>
    <row r="99" spans="1:12" x14ac:dyDescent="0.3">
      <c r="A99" s="50">
        <f>SUM(A5:A91)</f>
        <v>16784</v>
      </c>
      <c r="B99" s="50">
        <f>SUM(B5:B91)</f>
        <v>781851.01000000013</v>
      </c>
      <c r="D99" s="50">
        <f>SUM(D5:D91)</f>
        <v>16820</v>
      </c>
      <c r="E99" s="50">
        <f>SUM(E5:E91)</f>
        <v>765379.3</v>
      </c>
    </row>
  </sheetData>
  <mergeCells count="194">
    <mergeCell ref="A96:A97"/>
    <mergeCell ref="B96:B97"/>
    <mergeCell ref="C96:C97"/>
    <mergeCell ref="D96:D97"/>
    <mergeCell ref="E96:E97"/>
    <mergeCell ref="K96:K97"/>
    <mergeCell ref="L96:L97"/>
    <mergeCell ref="L46:L47"/>
    <mergeCell ref="L83:L84"/>
    <mergeCell ref="K49:K50"/>
    <mergeCell ref="L49:L50"/>
    <mergeCell ref="K51:K52"/>
    <mergeCell ref="L51:L52"/>
    <mergeCell ref="A51:A52"/>
    <mergeCell ref="B51:B52"/>
    <mergeCell ref="C51:C52"/>
    <mergeCell ref="D51:D52"/>
    <mergeCell ref="E51:E52"/>
    <mergeCell ref="A49:A50"/>
    <mergeCell ref="B49:B50"/>
    <mergeCell ref="C49:C50"/>
    <mergeCell ref="D49:D50"/>
    <mergeCell ref="E49:E50"/>
    <mergeCell ref="D53:D54"/>
    <mergeCell ref="L53:L54"/>
    <mergeCell ref="A56:A57"/>
    <mergeCell ref="B56:B57"/>
    <mergeCell ref="A53:A54"/>
    <mergeCell ref="B53:B54"/>
    <mergeCell ref="B29:B30"/>
    <mergeCell ref="C29:C30"/>
    <mergeCell ref="D29:D30"/>
    <mergeCell ref="E29:E30"/>
    <mergeCell ref="K42:K43"/>
    <mergeCell ref="K44:K45"/>
    <mergeCell ref="L44:L45"/>
    <mergeCell ref="B33:B35"/>
    <mergeCell ref="C33:C35"/>
    <mergeCell ref="D33:D35"/>
    <mergeCell ref="E33:E35"/>
    <mergeCell ref="L42:L43"/>
    <mergeCell ref="K3:K4"/>
    <mergeCell ref="L3:L4"/>
    <mergeCell ref="L5:L7"/>
    <mergeCell ref="K5:K7"/>
    <mergeCell ref="A3:C3"/>
    <mergeCell ref="D3:E3"/>
    <mergeCell ref="G3:G4"/>
    <mergeCell ref="A5:A7"/>
    <mergeCell ref="B5:B7"/>
    <mergeCell ref="C5:C7"/>
    <mergeCell ref="D5:D7"/>
    <mergeCell ref="E5:E7"/>
    <mergeCell ref="C20:C21"/>
    <mergeCell ref="D20:D21"/>
    <mergeCell ref="E20:E21"/>
    <mergeCell ref="K33:K35"/>
    <mergeCell ref="L33:L35"/>
    <mergeCell ref="A33:A35"/>
    <mergeCell ref="K10:K12"/>
    <mergeCell ref="L10:L12"/>
    <mergeCell ref="A15:A18"/>
    <mergeCell ref="B15:B18"/>
    <mergeCell ref="C15:C18"/>
    <mergeCell ref="D15:D18"/>
    <mergeCell ref="E15:E18"/>
    <mergeCell ref="L15:L18"/>
    <mergeCell ref="K15:K18"/>
    <mergeCell ref="A10:A12"/>
    <mergeCell ref="B10:B12"/>
    <mergeCell ref="C10:C12"/>
    <mergeCell ref="D10:D12"/>
    <mergeCell ref="E10:E12"/>
    <mergeCell ref="K29:K30"/>
    <mergeCell ref="K31:K32"/>
    <mergeCell ref="E31:E32"/>
    <mergeCell ref="A29:A30"/>
    <mergeCell ref="K8:K9"/>
    <mergeCell ref="L8:L9"/>
    <mergeCell ref="A8:A9"/>
    <mergeCell ref="B8:B9"/>
    <mergeCell ref="C8:C9"/>
    <mergeCell ref="D8:D9"/>
    <mergeCell ref="E8:E9"/>
    <mergeCell ref="K40:K41"/>
    <mergeCell ref="L40:L41"/>
    <mergeCell ref="A40:A41"/>
    <mergeCell ref="B40:B41"/>
    <mergeCell ref="C40:C41"/>
    <mergeCell ref="D40:D41"/>
    <mergeCell ref="E40:E41"/>
    <mergeCell ref="K20:K21"/>
    <mergeCell ref="L20:L21"/>
    <mergeCell ref="A20:A21"/>
    <mergeCell ref="B20:B21"/>
    <mergeCell ref="L29:L30"/>
    <mergeCell ref="L31:L32"/>
    <mergeCell ref="A31:A32"/>
    <mergeCell ref="B31:B32"/>
    <mergeCell ref="C31:C32"/>
    <mergeCell ref="D31:D32"/>
    <mergeCell ref="D59:D60"/>
    <mergeCell ref="E59:E60"/>
    <mergeCell ref="K59:K60"/>
    <mergeCell ref="B44:B45"/>
    <mergeCell ref="C44:C45"/>
    <mergeCell ref="D44:D45"/>
    <mergeCell ref="E44:E45"/>
    <mergeCell ref="A42:A43"/>
    <mergeCell ref="B42:B43"/>
    <mergeCell ref="C42:C43"/>
    <mergeCell ref="D42:D43"/>
    <mergeCell ref="E42:E43"/>
    <mergeCell ref="A46:A47"/>
    <mergeCell ref="B46:B47"/>
    <mergeCell ref="C46:C47"/>
    <mergeCell ref="D46:D47"/>
    <mergeCell ref="E46:E47"/>
    <mergeCell ref="K46:K47"/>
    <mergeCell ref="C53:C54"/>
    <mergeCell ref="A44:A45"/>
    <mergeCell ref="E53:E54"/>
    <mergeCell ref="K53:K54"/>
    <mergeCell ref="L72:L73"/>
    <mergeCell ref="A69:A70"/>
    <mergeCell ref="B69:B70"/>
    <mergeCell ref="C69:C70"/>
    <mergeCell ref="D69:D70"/>
    <mergeCell ref="E69:E70"/>
    <mergeCell ref="K69:K70"/>
    <mergeCell ref="L69:L70"/>
    <mergeCell ref="C56:C57"/>
    <mergeCell ref="D56:D57"/>
    <mergeCell ref="E56:E57"/>
    <mergeCell ref="K56:K57"/>
    <mergeCell ref="L56:L57"/>
    <mergeCell ref="L63:L64"/>
    <mergeCell ref="L59:L60"/>
    <mergeCell ref="A63:A64"/>
    <mergeCell ref="B63:B64"/>
    <mergeCell ref="C63:C64"/>
    <mergeCell ref="D63:D64"/>
    <mergeCell ref="E63:E64"/>
    <mergeCell ref="K63:K64"/>
    <mergeCell ref="A59:A60"/>
    <mergeCell ref="B59:B60"/>
    <mergeCell ref="C59:C60"/>
    <mergeCell ref="A72:A73"/>
    <mergeCell ref="B72:B73"/>
    <mergeCell ref="C72:C73"/>
    <mergeCell ref="D72:D73"/>
    <mergeCell ref="E72:E73"/>
    <mergeCell ref="K72:K73"/>
    <mergeCell ref="D83:D84"/>
    <mergeCell ref="E83:E84"/>
    <mergeCell ref="K83:K84"/>
    <mergeCell ref="K76:K77"/>
    <mergeCell ref="A86:A87"/>
    <mergeCell ref="B86:B87"/>
    <mergeCell ref="C86:C87"/>
    <mergeCell ref="D86:D87"/>
    <mergeCell ref="E86:E87"/>
    <mergeCell ref="K86:K87"/>
    <mergeCell ref="L86:L87"/>
    <mergeCell ref="L76:L77"/>
    <mergeCell ref="K78:K79"/>
    <mergeCell ref="L78:L79"/>
    <mergeCell ref="A76:A77"/>
    <mergeCell ref="B76:B77"/>
    <mergeCell ref="C76:C77"/>
    <mergeCell ref="D76:D77"/>
    <mergeCell ref="E76:E77"/>
    <mergeCell ref="A78:A79"/>
    <mergeCell ref="B78:B79"/>
    <mergeCell ref="C78:C79"/>
    <mergeCell ref="D78:D79"/>
    <mergeCell ref="E78:E79"/>
    <mergeCell ref="A83:A84"/>
    <mergeCell ref="B83:B84"/>
    <mergeCell ref="C83:C84"/>
    <mergeCell ref="K93:K94"/>
    <mergeCell ref="L93:L94"/>
    <mergeCell ref="A93:A94"/>
    <mergeCell ref="B93:B94"/>
    <mergeCell ref="C93:C94"/>
    <mergeCell ref="D93:D94"/>
    <mergeCell ref="E93:E94"/>
    <mergeCell ref="A90:A91"/>
    <mergeCell ref="B90:B91"/>
    <mergeCell ref="C90:C91"/>
    <mergeCell ref="D90:D91"/>
    <mergeCell ref="E90:E91"/>
    <mergeCell ref="K90:K91"/>
    <mergeCell ref="L90:L9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99"/>
  <sheetViews>
    <sheetView topLeftCell="A58" zoomScale="80" zoomScaleNormal="80" workbookViewId="0">
      <selection activeCell="F98" sqref="F98"/>
    </sheetView>
  </sheetViews>
  <sheetFormatPr baseColWidth="10" defaultColWidth="8.88671875" defaultRowHeight="14.4" x14ac:dyDescent="0.3"/>
  <cols>
    <col min="1" max="1" width="10.6640625" customWidth="1"/>
    <col min="2" max="2" width="14.109375" customWidth="1"/>
    <col min="3" max="3" width="11" customWidth="1"/>
    <col min="4" max="4" width="10.6640625" customWidth="1"/>
    <col min="5" max="5" width="15.33203125" customWidth="1"/>
    <col min="7" max="7" width="11.6640625" customWidth="1"/>
    <col min="8" max="10" width="0" hidden="1" customWidth="1"/>
    <col min="11" max="11" width="7.5546875" customWidth="1"/>
    <col min="12" max="12" width="10.88671875" customWidth="1"/>
  </cols>
  <sheetData>
    <row r="1" spans="1:12" ht="23.4" x14ac:dyDescent="0.3">
      <c r="A1" s="1" t="s">
        <v>926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1"/>
      <c r="K2" s="1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94" t="s">
        <v>4</v>
      </c>
      <c r="D4" s="70" t="s">
        <v>7</v>
      </c>
      <c r="E4" s="71" t="s">
        <v>6</v>
      </c>
      <c r="F4" s="72" t="s">
        <v>8</v>
      </c>
      <c r="G4" s="923"/>
      <c r="H4" s="7" t="s">
        <v>9</v>
      </c>
      <c r="I4" s="6" t="s">
        <v>5</v>
      </c>
      <c r="J4" s="6" t="s">
        <v>10</v>
      </c>
      <c r="K4" s="916"/>
      <c r="L4" s="985"/>
    </row>
    <row r="5" spans="1:12" ht="15" thickBot="1" x14ac:dyDescent="0.35">
      <c r="A5" s="190">
        <v>79</v>
      </c>
      <c r="B5" s="161">
        <v>3234.4</v>
      </c>
      <c r="C5" s="161" t="s">
        <v>920</v>
      </c>
      <c r="D5" s="8">
        <f t="shared" ref="D5:E6" si="0">+I5</f>
        <v>79</v>
      </c>
      <c r="E5" s="8">
        <f t="shared" si="0"/>
        <v>3154.9</v>
      </c>
      <c r="F5" s="45" t="s">
        <v>921</v>
      </c>
      <c r="G5" s="45">
        <v>17591</v>
      </c>
      <c r="H5" s="14"/>
      <c r="I5" s="45">
        <v>79</v>
      </c>
      <c r="J5" s="46">
        <v>3154.9</v>
      </c>
      <c r="K5" s="218">
        <f>+A5-D5</f>
        <v>0</v>
      </c>
      <c r="L5" s="53">
        <f t="shared" ref="L5:L12" si="1">(+B5-E5)/B5</f>
        <v>2.4579520158298292E-2</v>
      </c>
    </row>
    <row r="6" spans="1:12" ht="15" thickBot="1" x14ac:dyDescent="0.35">
      <c r="A6" s="180">
        <v>330</v>
      </c>
      <c r="B6" s="191">
        <v>14100</v>
      </c>
      <c r="C6" s="191" t="s">
        <v>922</v>
      </c>
      <c r="D6" s="12">
        <f t="shared" si="0"/>
        <v>330</v>
      </c>
      <c r="E6" s="12">
        <f t="shared" si="0"/>
        <v>13744.1</v>
      </c>
      <c r="F6" s="39" t="s">
        <v>923</v>
      </c>
      <c r="G6" s="39">
        <v>17601</v>
      </c>
      <c r="H6" s="12"/>
      <c r="I6" s="45">
        <v>330</v>
      </c>
      <c r="J6" s="46">
        <v>13744.1</v>
      </c>
      <c r="K6" s="218">
        <f t="shared" ref="K6:K9" si="2">+A6-D6</f>
        <v>0</v>
      </c>
      <c r="L6" s="53">
        <f t="shared" si="1"/>
        <v>2.5241134751773024E-2</v>
      </c>
    </row>
    <row r="7" spans="1:12" ht="15" thickBot="1" x14ac:dyDescent="0.35">
      <c r="A7" s="180">
        <v>187</v>
      </c>
      <c r="B7" s="191">
        <v>7923.75</v>
      </c>
      <c r="C7" s="191" t="s">
        <v>997</v>
      </c>
      <c r="D7" s="12">
        <v>187</v>
      </c>
      <c r="E7" s="12">
        <v>7756.3</v>
      </c>
      <c r="F7" s="39" t="s">
        <v>998</v>
      </c>
      <c r="G7" s="39">
        <v>17681</v>
      </c>
      <c r="H7" s="12"/>
      <c r="I7" s="45"/>
      <c r="J7" s="46"/>
      <c r="K7" s="218">
        <f t="shared" si="2"/>
        <v>0</v>
      </c>
      <c r="L7" s="53">
        <f t="shared" si="1"/>
        <v>2.1132670768259955E-2</v>
      </c>
    </row>
    <row r="8" spans="1:12" ht="15" thickBot="1" x14ac:dyDescent="0.35">
      <c r="A8" s="182">
        <v>250</v>
      </c>
      <c r="B8" s="183">
        <v>11395.25</v>
      </c>
      <c r="C8" s="183" t="s">
        <v>924</v>
      </c>
      <c r="D8" s="8">
        <f>+I8</f>
        <v>250</v>
      </c>
      <c r="E8" s="8">
        <f>+J8</f>
        <v>11285.7</v>
      </c>
      <c r="F8" s="8" t="s">
        <v>925</v>
      </c>
      <c r="G8" s="8">
        <v>17691</v>
      </c>
      <c r="H8" s="8"/>
      <c r="I8" s="45">
        <v>250</v>
      </c>
      <c r="J8" s="46">
        <v>11285.7</v>
      </c>
      <c r="K8" s="218">
        <f t="shared" si="2"/>
        <v>0</v>
      </c>
      <c r="L8" s="53">
        <f t="shared" si="1"/>
        <v>9.6136548123120832E-3</v>
      </c>
    </row>
    <row r="9" spans="1:12" x14ac:dyDescent="0.3">
      <c r="A9" s="871">
        <v>250</v>
      </c>
      <c r="B9" s="967">
        <v>12540.25</v>
      </c>
      <c r="C9" s="873" t="s">
        <v>1073</v>
      </c>
      <c r="D9" s="873">
        <f>+I9+I10</f>
        <v>250</v>
      </c>
      <c r="E9" s="873">
        <f>+J9+J10</f>
        <v>11985.3</v>
      </c>
      <c r="F9" s="39" t="s">
        <v>1074</v>
      </c>
      <c r="G9" s="39">
        <v>17751</v>
      </c>
      <c r="H9" s="40"/>
      <c r="I9" s="39">
        <v>100</v>
      </c>
      <c r="J9" s="41">
        <v>4791.1000000000004</v>
      </c>
      <c r="K9" s="1048">
        <f t="shared" si="2"/>
        <v>0</v>
      </c>
      <c r="L9" s="879">
        <f t="shared" si="1"/>
        <v>4.4253503718028005E-2</v>
      </c>
    </row>
    <row r="10" spans="1:12" ht="15" thickBot="1" x14ac:dyDescent="0.35">
      <c r="A10" s="872"/>
      <c r="B10" s="968"/>
      <c r="C10" s="874"/>
      <c r="D10" s="874"/>
      <c r="E10" s="874"/>
      <c r="F10" s="42" t="s">
        <v>1074</v>
      </c>
      <c r="G10" s="42">
        <v>17751</v>
      </c>
      <c r="H10" s="43"/>
      <c r="I10" s="42">
        <v>150</v>
      </c>
      <c r="J10" s="44">
        <v>7194.2</v>
      </c>
      <c r="K10" s="1049"/>
      <c r="L10" s="880"/>
    </row>
    <row r="11" spans="1:12" ht="15" thickBot="1" x14ac:dyDescent="0.35">
      <c r="A11" s="179">
        <v>300</v>
      </c>
      <c r="B11" s="211">
        <v>14649.75</v>
      </c>
      <c r="C11" s="10" t="s">
        <v>1075</v>
      </c>
      <c r="D11" s="10">
        <v>300</v>
      </c>
      <c r="E11" s="10">
        <v>14316.3</v>
      </c>
      <c r="F11" s="42" t="s">
        <v>1076</v>
      </c>
      <c r="G11" s="42">
        <v>17771</v>
      </c>
      <c r="H11" s="43"/>
      <c r="I11" s="42">
        <v>50</v>
      </c>
      <c r="J11" s="44">
        <v>2363.3000000000002</v>
      </c>
      <c r="K11" s="192">
        <f t="shared" ref="K11:K12" si="3">+A11-D11</f>
        <v>0</v>
      </c>
      <c r="L11" s="53">
        <f t="shared" si="1"/>
        <v>2.2761480571340857E-2</v>
      </c>
    </row>
    <row r="12" spans="1:12" x14ac:dyDescent="0.3">
      <c r="A12" s="873">
        <v>500</v>
      </c>
      <c r="B12" s="873">
        <v>25017.25</v>
      </c>
      <c r="C12" s="873" t="s">
        <v>1144</v>
      </c>
      <c r="D12" s="873">
        <v>500</v>
      </c>
      <c r="E12" s="873">
        <v>24566.9</v>
      </c>
      <c r="F12" s="15" t="s">
        <v>1145</v>
      </c>
      <c r="G12" s="15">
        <v>17801</v>
      </c>
      <c r="I12" s="50">
        <v>210</v>
      </c>
      <c r="J12" s="51">
        <v>10302.1</v>
      </c>
      <c r="K12" s="1045">
        <f t="shared" si="3"/>
        <v>0</v>
      </c>
      <c r="L12" s="879">
        <f t="shared" si="1"/>
        <v>1.8001578910551663E-2</v>
      </c>
    </row>
    <row r="13" spans="1:12" x14ac:dyDescent="0.3">
      <c r="A13" s="881"/>
      <c r="B13" s="881"/>
      <c r="C13" s="881"/>
      <c r="D13" s="881"/>
      <c r="E13" s="881"/>
      <c r="F13" s="15" t="s">
        <v>1145</v>
      </c>
      <c r="G13" s="15">
        <v>17801</v>
      </c>
      <c r="H13" s="15"/>
      <c r="I13" s="15">
        <v>50</v>
      </c>
      <c r="J13" s="16">
        <v>2438.1999999999998</v>
      </c>
      <c r="K13" s="1047"/>
      <c r="L13" s="885"/>
    </row>
    <row r="14" spans="1:12" ht="15" thickBot="1" x14ac:dyDescent="0.35">
      <c r="A14" s="874"/>
      <c r="B14" s="874"/>
      <c r="C14" s="874"/>
      <c r="D14" s="874"/>
      <c r="E14" s="874"/>
      <c r="F14" s="10" t="s">
        <v>1145</v>
      </c>
      <c r="G14" s="10">
        <v>17801</v>
      </c>
      <c r="H14" s="10"/>
      <c r="I14" s="10">
        <v>221</v>
      </c>
      <c r="J14" s="11">
        <v>10887.5</v>
      </c>
      <c r="K14" s="1046"/>
      <c r="L14" s="880"/>
    </row>
    <row r="15" spans="1:12" x14ac:dyDescent="0.3">
      <c r="A15" s="873">
        <v>588</v>
      </c>
      <c r="B15" s="873">
        <v>29399.25</v>
      </c>
      <c r="C15" s="873" t="s">
        <v>1328</v>
      </c>
      <c r="D15" s="873">
        <f>+I15+I16+I17</f>
        <v>588</v>
      </c>
      <c r="E15" s="873">
        <f>+J15+J16+J17</f>
        <v>28598.899999999998</v>
      </c>
      <c r="F15" s="12" t="s">
        <v>1329</v>
      </c>
      <c r="G15" s="12">
        <v>17841</v>
      </c>
      <c r="H15" s="12"/>
      <c r="I15" s="12">
        <v>200</v>
      </c>
      <c r="J15" s="13">
        <v>9656.1</v>
      </c>
      <c r="K15" s="1045">
        <f t="shared" ref="K15" si="4">+A15-D15</f>
        <v>0</v>
      </c>
      <c r="L15" s="879">
        <f t="shared" ref="L15" si="5">(+B15-E15)/B15</f>
        <v>2.7223483592268585E-2</v>
      </c>
    </row>
    <row r="16" spans="1:12" x14ac:dyDescent="0.3">
      <c r="A16" s="881"/>
      <c r="B16" s="881"/>
      <c r="C16" s="881"/>
      <c r="D16" s="881"/>
      <c r="E16" s="881"/>
      <c r="F16" s="15" t="s">
        <v>1329</v>
      </c>
      <c r="G16" s="15">
        <v>17841</v>
      </c>
      <c r="H16" s="15"/>
      <c r="I16" s="15">
        <v>200</v>
      </c>
      <c r="J16" s="16">
        <v>9747.5</v>
      </c>
      <c r="K16" s="1047"/>
      <c r="L16" s="885"/>
    </row>
    <row r="17" spans="1:12" ht="15" thickBot="1" x14ac:dyDescent="0.35">
      <c r="A17" s="881"/>
      <c r="B17" s="881"/>
      <c r="C17" s="881"/>
      <c r="D17" s="881"/>
      <c r="E17" s="881"/>
      <c r="F17" s="15" t="s">
        <v>1329</v>
      </c>
      <c r="G17" s="15">
        <v>17841</v>
      </c>
      <c r="H17" s="15"/>
      <c r="I17" s="15">
        <v>188</v>
      </c>
      <c r="J17" s="16">
        <v>9195.2999999999993</v>
      </c>
      <c r="K17" s="1046"/>
      <c r="L17" s="880"/>
    </row>
    <row r="18" spans="1:12" x14ac:dyDescent="0.3">
      <c r="A18" s="873">
        <v>300</v>
      </c>
      <c r="B18" s="873">
        <v>14423.25</v>
      </c>
      <c r="C18" s="873" t="s">
        <v>1330</v>
      </c>
      <c r="D18" s="873">
        <f>+I18+I19</f>
        <v>300</v>
      </c>
      <c r="E18" s="873">
        <f>+J18+J19</f>
        <v>14082.7</v>
      </c>
      <c r="F18" s="12" t="s">
        <v>1331</v>
      </c>
      <c r="G18" s="12">
        <v>17861</v>
      </c>
      <c r="H18" s="12"/>
      <c r="I18" s="12">
        <v>200</v>
      </c>
      <c r="J18" s="13">
        <v>9315.2000000000007</v>
      </c>
      <c r="K18" s="1045">
        <f t="shared" ref="K18" si="6">+A18-D18</f>
        <v>0</v>
      </c>
      <c r="L18" s="879">
        <f t="shared" ref="L18" si="7">(+B18-E18)/B18</f>
        <v>2.3611183332466628E-2</v>
      </c>
    </row>
    <row r="19" spans="1:12" ht="15" thickBot="1" x14ac:dyDescent="0.35">
      <c r="A19" s="874"/>
      <c r="B19" s="874"/>
      <c r="C19" s="874"/>
      <c r="D19" s="874"/>
      <c r="E19" s="874"/>
      <c r="F19" s="10" t="s">
        <v>1331</v>
      </c>
      <c r="G19" s="10">
        <v>17861</v>
      </c>
      <c r="H19" s="10"/>
      <c r="I19" s="10">
        <v>100</v>
      </c>
      <c r="J19" s="11">
        <v>4767.5</v>
      </c>
      <c r="K19" s="1046"/>
      <c r="L19" s="880"/>
    </row>
    <row r="20" spans="1:12" ht="15" thickBot="1" x14ac:dyDescent="0.35">
      <c r="A20" s="175">
        <v>300</v>
      </c>
      <c r="B20" s="8">
        <v>14330</v>
      </c>
      <c r="C20" s="8" t="s">
        <v>1391</v>
      </c>
      <c r="D20" s="8">
        <f>+I20</f>
        <v>300</v>
      </c>
      <c r="E20" s="8">
        <f>+J20</f>
        <v>14076.8</v>
      </c>
      <c r="F20" s="8" t="s">
        <v>1392</v>
      </c>
      <c r="G20" s="8">
        <v>17911</v>
      </c>
      <c r="H20" s="8"/>
      <c r="I20" s="8">
        <v>300</v>
      </c>
      <c r="J20" s="9">
        <v>14076.8</v>
      </c>
      <c r="K20" s="219">
        <f t="shared" ref="K20:K24" si="8">+A20-D20</f>
        <v>0</v>
      </c>
      <c r="L20" s="53">
        <f t="shared" ref="L20:L24" si="9">(+B20-E20)/B20</f>
        <v>1.7669225401256157E-2</v>
      </c>
    </row>
    <row r="21" spans="1:12" ht="15" thickBot="1" x14ac:dyDescent="0.35">
      <c r="A21" s="175">
        <v>434</v>
      </c>
      <c r="B21" s="8">
        <v>20282.25</v>
      </c>
      <c r="C21" s="8" t="s">
        <v>1537</v>
      </c>
      <c r="D21" s="8">
        <v>414</v>
      </c>
      <c r="E21" s="8">
        <v>19735.599999999999</v>
      </c>
      <c r="F21" s="8" t="s">
        <v>1538</v>
      </c>
      <c r="G21" s="8">
        <v>17921</v>
      </c>
      <c r="H21" s="8"/>
      <c r="I21" s="8">
        <v>195</v>
      </c>
      <c r="J21" s="9">
        <v>9435</v>
      </c>
      <c r="K21" s="219">
        <f t="shared" si="8"/>
        <v>20</v>
      </c>
      <c r="L21" s="31">
        <f>((+B21/A21)-(E21/D21))/(B21/A21)</f>
        <v>-2.0055005140915082E-2</v>
      </c>
    </row>
    <row r="22" spans="1:12" ht="15" thickBot="1" x14ac:dyDescent="0.35">
      <c r="A22" s="175">
        <v>300</v>
      </c>
      <c r="B22" s="8">
        <v>14671.75</v>
      </c>
      <c r="C22" s="8" t="s">
        <v>1626</v>
      </c>
      <c r="D22" s="8">
        <v>300</v>
      </c>
      <c r="E22" s="8">
        <v>14300.1</v>
      </c>
      <c r="F22" s="8" t="s">
        <v>1627</v>
      </c>
      <c r="G22" s="8">
        <v>17941</v>
      </c>
      <c r="H22" s="8"/>
      <c r="I22" s="8">
        <v>200</v>
      </c>
      <c r="J22" s="9">
        <v>9541.7000000000007</v>
      </c>
      <c r="K22" s="219">
        <f t="shared" si="8"/>
        <v>0</v>
      </c>
      <c r="L22" s="53">
        <f t="shared" si="9"/>
        <v>2.5330993235299106E-2</v>
      </c>
    </row>
    <row r="23" spans="1:12" ht="15" thickBot="1" x14ac:dyDescent="0.35">
      <c r="A23" s="175">
        <v>300</v>
      </c>
      <c r="B23" s="8">
        <v>14776.25</v>
      </c>
      <c r="C23" s="8" t="s">
        <v>1717</v>
      </c>
      <c r="D23" s="8">
        <f t="shared" ref="D23:E24" si="10">+I23</f>
        <v>300</v>
      </c>
      <c r="E23" s="8">
        <f t="shared" si="10"/>
        <v>14119.7</v>
      </c>
      <c r="F23" s="8" t="s">
        <v>1718</v>
      </c>
      <c r="G23" s="8">
        <v>17971</v>
      </c>
      <c r="H23" s="8"/>
      <c r="I23" s="8">
        <v>300</v>
      </c>
      <c r="J23" s="9">
        <v>14119.7</v>
      </c>
      <c r="K23" s="219">
        <f t="shared" si="8"/>
        <v>0</v>
      </c>
      <c r="L23" s="53">
        <f t="shared" si="9"/>
        <v>4.4432789104136658E-2</v>
      </c>
    </row>
    <row r="24" spans="1:12" ht="15" thickBot="1" x14ac:dyDescent="0.35">
      <c r="A24" s="175">
        <v>300</v>
      </c>
      <c r="B24" s="8">
        <v>14460.25</v>
      </c>
      <c r="C24" s="8" t="s">
        <v>1719</v>
      </c>
      <c r="D24" s="8">
        <f t="shared" si="10"/>
        <v>300</v>
      </c>
      <c r="E24" s="8">
        <f t="shared" si="10"/>
        <v>14057.4</v>
      </c>
      <c r="F24" s="8" t="s">
        <v>1720</v>
      </c>
      <c r="G24" s="8">
        <v>17991</v>
      </c>
      <c r="H24" s="8"/>
      <c r="I24" s="8">
        <v>300</v>
      </c>
      <c r="J24" s="9">
        <v>14057.4</v>
      </c>
      <c r="K24" s="219">
        <f t="shared" si="8"/>
        <v>0</v>
      </c>
      <c r="L24" s="53">
        <f t="shared" si="9"/>
        <v>2.7859131066198743E-2</v>
      </c>
    </row>
    <row r="25" spans="1:12" ht="15" thickBot="1" x14ac:dyDescent="0.35">
      <c r="A25" s="175">
        <v>300</v>
      </c>
      <c r="B25" s="8">
        <v>14506.25</v>
      </c>
      <c r="C25" s="8" t="s">
        <v>1816</v>
      </c>
      <c r="D25" s="8">
        <f>+I25</f>
        <v>300</v>
      </c>
      <c r="E25" s="8">
        <f>+J25</f>
        <v>14037.5</v>
      </c>
      <c r="F25" s="8" t="s">
        <v>1817</v>
      </c>
      <c r="G25" s="8">
        <v>18001</v>
      </c>
      <c r="H25" s="8"/>
      <c r="I25" s="8">
        <v>300</v>
      </c>
      <c r="J25" s="9">
        <v>14037.5</v>
      </c>
      <c r="K25" s="219">
        <f t="shared" ref="K25:K28" si="11">+A25-D25</f>
        <v>0</v>
      </c>
      <c r="L25" s="53">
        <f t="shared" ref="L25:L28" si="12">(+B25-E25)/B25</f>
        <v>3.2313657906074968E-2</v>
      </c>
    </row>
    <row r="26" spans="1:12" ht="15" thickBot="1" x14ac:dyDescent="0.35">
      <c r="A26" s="175">
        <v>250</v>
      </c>
      <c r="B26" s="8">
        <v>12600.25</v>
      </c>
      <c r="C26" s="8" t="s">
        <v>1886</v>
      </c>
      <c r="D26" s="8">
        <f t="shared" ref="D26:E26" si="13">+I26</f>
        <v>250</v>
      </c>
      <c r="E26" s="8">
        <f t="shared" si="13"/>
        <v>12268.3</v>
      </c>
      <c r="F26" s="8" t="s">
        <v>1887</v>
      </c>
      <c r="G26" s="8">
        <v>18031</v>
      </c>
      <c r="H26" s="8"/>
      <c r="I26" s="8">
        <v>250</v>
      </c>
      <c r="J26" s="9">
        <v>12268.3</v>
      </c>
      <c r="K26" s="219">
        <f t="shared" si="11"/>
        <v>0</v>
      </c>
      <c r="L26" s="53">
        <f t="shared" si="12"/>
        <v>2.6344715382631355E-2</v>
      </c>
    </row>
    <row r="27" spans="1:12" ht="15" thickBot="1" x14ac:dyDescent="0.35">
      <c r="A27" s="175">
        <v>250</v>
      </c>
      <c r="B27" s="8">
        <v>12780.5</v>
      </c>
      <c r="C27" s="8" t="s">
        <v>1888</v>
      </c>
      <c r="D27" s="8">
        <v>250</v>
      </c>
      <c r="E27" s="8">
        <v>12312.8</v>
      </c>
      <c r="F27" s="8" t="s">
        <v>1889</v>
      </c>
      <c r="G27" s="8">
        <v>18051</v>
      </c>
      <c r="H27" s="8"/>
      <c r="I27" s="8">
        <v>150</v>
      </c>
      <c r="J27" s="8">
        <v>7374.4</v>
      </c>
      <c r="K27" s="219">
        <f t="shared" si="11"/>
        <v>0</v>
      </c>
      <c r="L27" s="53">
        <f t="shared" si="12"/>
        <v>3.6594812409530199E-2</v>
      </c>
    </row>
    <row r="28" spans="1:12" ht="15" thickBot="1" x14ac:dyDescent="0.35">
      <c r="A28" s="175">
        <v>246</v>
      </c>
      <c r="B28" s="8">
        <v>12345.75</v>
      </c>
      <c r="C28" s="8" t="s">
        <v>2042</v>
      </c>
      <c r="D28" s="8">
        <v>246</v>
      </c>
      <c r="E28" s="8">
        <v>11873.9</v>
      </c>
      <c r="F28" s="8" t="s">
        <v>2043</v>
      </c>
      <c r="G28" s="9">
        <v>18071</v>
      </c>
      <c r="H28" s="15"/>
      <c r="I28" s="15">
        <v>100</v>
      </c>
      <c r="J28" s="15">
        <v>4786.6000000000004</v>
      </c>
      <c r="K28" s="219">
        <f t="shared" si="11"/>
        <v>0</v>
      </c>
      <c r="L28" s="53">
        <f t="shared" si="12"/>
        <v>3.8219630237126163E-2</v>
      </c>
    </row>
    <row r="29" spans="1:12" ht="15" thickBot="1" x14ac:dyDescent="0.35">
      <c r="A29" s="255">
        <v>169</v>
      </c>
      <c r="B29" s="256">
        <v>8507.5</v>
      </c>
      <c r="C29" s="256" t="s">
        <v>2228</v>
      </c>
      <c r="D29" s="8">
        <f>+I29</f>
        <v>169</v>
      </c>
      <c r="E29" s="8">
        <f>+J29</f>
        <v>8220.4</v>
      </c>
      <c r="F29" s="8" t="s">
        <v>2229</v>
      </c>
      <c r="G29" s="8">
        <v>18221</v>
      </c>
      <c r="H29" s="8"/>
      <c r="I29" s="8">
        <v>169</v>
      </c>
      <c r="J29" s="9">
        <v>8220.4</v>
      </c>
      <c r="K29" s="219">
        <f t="shared" ref="K29:K30" si="14">+A29-D29</f>
        <v>0</v>
      </c>
      <c r="L29" s="53">
        <f t="shared" ref="L29:L30" si="15">(+B29-E29)/B29</f>
        <v>3.3746694093447001E-2</v>
      </c>
    </row>
    <row r="30" spans="1:12" x14ac:dyDescent="0.3">
      <c r="A30" s="871">
        <v>257</v>
      </c>
      <c r="B30" s="873">
        <v>13208.25</v>
      </c>
      <c r="C30" s="873" t="s">
        <v>2366</v>
      </c>
      <c r="D30" s="873">
        <f>+I30+I31+I32</f>
        <v>257</v>
      </c>
      <c r="E30" s="873">
        <f>+J30+J31+J32</f>
        <v>12522.4</v>
      </c>
      <c r="F30" s="12" t="s">
        <v>2367</v>
      </c>
      <c r="G30" s="12">
        <v>18261</v>
      </c>
      <c r="H30" s="12"/>
      <c r="I30" s="12">
        <v>100</v>
      </c>
      <c r="J30" s="13">
        <v>4846</v>
      </c>
      <c r="K30" s="1045">
        <f t="shared" si="14"/>
        <v>0</v>
      </c>
      <c r="L30" s="879">
        <f t="shared" si="15"/>
        <v>5.1925879658546767E-2</v>
      </c>
    </row>
    <row r="31" spans="1:12" x14ac:dyDescent="0.3">
      <c r="A31" s="875"/>
      <c r="B31" s="881"/>
      <c r="C31" s="881"/>
      <c r="D31" s="881"/>
      <c r="E31" s="881"/>
      <c r="F31" s="15" t="s">
        <v>2367</v>
      </c>
      <c r="G31" s="15">
        <v>18261</v>
      </c>
      <c r="H31" s="15"/>
      <c r="I31" s="15">
        <v>127</v>
      </c>
      <c r="J31" s="16">
        <v>6329.5</v>
      </c>
      <c r="K31" s="1047"/>
      <c r="L31" s="885"/>
    </row>
    <row r="32" spans="1:12" ht="15" thickBot="1" x14ac:dyDescent="0.35">
      <c r="A32" s="872"/>
      <c r="B32" s="874"/>
      <c r="C32" s="874"/>
      <c r="D32" s="874"/>
      <c r="E32" s="874"/>
      <c r="F32" s="10" t="s">
        <v>2367</v>
      </c>
      <c r="G32" s="10">
        <v>18261</v>
      </c>
      <c r="H32" s="10"/>
      <c r="I32" s="10">
        <v>30</v>
      </c>
      <c r="J32" s="11">
        <v>1346.9</v>
      </c>
      <c r="K32" s="1046"/>
      <c r="L32" s="880"/>
    </row>
    <row r="33" spans="1:12" ht="15" thickBot="1" x14ac:dyDescent="0.35">
      <c r="A33" s="175">
        <v>184</v>
      </c>
      <c r="B33" s="8">
        <v>9026.75</v>
      </c>
      <c r="C33" s="8" t="s">
        <v>2368</v>
      </c>
      <c r="D33" s="8">
        <f>+I33</f>
        <v>184</v>
      </c>
      <c r="E33" s="8">
        <f>+J33</f>
        <v>8633.1</v>
      </c>
      <c r="F33" s="8" t="s">
        <v>2369</v>
      </c>
      <c r="G33" s="8">
        <v>18301</v>
      </c>
      <c r="H33" s="8"/>
      <c r="I33" s="8">
        <v>184</v>
      </c>
      <c r="J33" s="9">
        <v>8633.1</v>
      </c>
      <c r="K33" s="219">
        <f t="shared" ref="K33:K36" si="16">+A33-D33</f>
        <v>0</v>
      </c>
      <c r="L33" s="53">
        <f t="shared" ref="L33:L36" si="17">(+B33-E33)/B33</f>
        <v>4.3609272440247003E-2</v>
      </c>
    </row>
    <row r="34" spans="1:12" x14ac:dyDescent="0.3">
      <c r="A34" s="871">
        <v>407</v>
      </c>
      <c r="B34" s="873">
        <v>19866.75</v>
      </c>
      <c r="C34" s="873" t="s">
        <v>2544</v>
      </c>
      <c r="D34" s="873">
        <f>+I34+I35</f>
        <v>407</v>
      </c>
      <c r="E34" s="873">
        <f>+J34+J35</f>
        <v>19138.099999999999</v>
      </c>
      <c r="F34" s="12" t="s">
        <v>2545</v>
      </c>
      <c r="G34" s="12">
        <v>18361</v>
      </c>
      <c r="H34" s="12"/>
      <c r="I34" s="12">
        <v>200</v>
      </c>
      <c r="J34" s="13">
        <v>9267.7999999999993</v>
      </c>
      <c r="K34" s="1045">
        <f t="shared" si="16"/>
        <v>0</v>
      </c>
      <c r="L34" s="879">
        <f t="shared" si="17"/>
        <v>3.6676859576931377E-2</v>
      </c>
    </row>
    <row r="35" spans="1:12" ht="15" thickBot="1" x14ac:dyDescent="0.35">
      <c r="A35" s="872"/>
      <c r="B35" s="874"/>
      <c r="C35" s="874"/>
      <c r="D35" s="874"/>
      <c r="E35" s="874"/>
      <c r="F35" s="10" t="s">
        <v>2545</v>
      </c>
      <c r="G35" s="10">
        <v>18361</v>
      </c>
      <c r="H35" s="10"/>
      <c r="I35" s="10">
        <v>207</v>
      </c>
      <c r="J35" s="11">
        <v>9870.2999999999993</v>
      </c>
      <c r="K35" s="1046"/>
      <c r="L35" s="880"/>
    </row>
    <row r="36" spans="1:12" ht="15" thickBot="1" x14ac:dyDescent="0.35">
      <c r="A36" s="181">
        <v>146</v>
      </c>
      <c r="B36" s="15">
        <v>7499.75</v>
      </c>
      <c r="C36" s="15" t="s">
        <v>2693</v>
      </c>
      <c r="D36" s="15">
        <f>+I36</f>
        <v>146</v>
      </c>
      <c r="E36" s="15">
        <f>+J36</f>
        <v>7171.6</v>
      </c>
      <c r="F36" s="15" t="s">
        <v>2694</v>
      </c>
      <c r="G36" s="15">
        <v>18401</v>
      </c>
      <c r="H36" s="15"/>
      <c r="I36" s="15">
        <v>146</v>
      </c>
      <c r="J36" s="16">
        <v>7171.6</v>
      </c>
      <c r="K36" s="219">
        <f t="shared" si="16"/>
        <v>0</v>
      </c>
      <c r="L36" s="53">
        <f t="shared" si="17"/>
        <v>4.3754791826394163E-2</v>
      </c>
    </row>
    <row r="37" spans="1:12" x14ac:dyDescent="0.3">
      <c r="A37" s="871">
        <v>313</v>
      </c>
      <c r="B37" s="873">
        <v>15459</v>
      </c>
      <c r="C37" s="873" t="s">
        <v>2546</v>
      </c>
      <c r="D37" s="873">
        <f>+I37+I38</f>
        <v>313</v>
      </c>
      <c r="E37" s="873">
        <f>+J37+J38</f>
        <v>14926</v>
      </c>
      <c r="F37" s="12" t="s">
        <v>2547</v>
      </c>
      <c r="G37" s="12">
        <v>18411</v>
      </c>
      <c r="H37" s="12"/>
      <c r="I37" s="12">
        <v>100</v>
      </c>
      <c r="J37" s="13">
        <v>4794.1000000000004</v>
      </c>
      <c r="K37" s="1045">
        <f t="shared" ref="K37:K41" si="18">+A37-D37</f>
        <v>0</v>
      </c>
      <c r="L37" s="879">
        <f t="shared" ref="L37:L41" si="19">(+B37-E37)/B37</f>
        <v>3.4478297431916681E-2</v>
      </c>
    </row>
    <row r="38" spans="1:12" ht="15" thickBot="1" x14ac:dyDescent="0.35">
      <c r="A38" s="872"/>
      <c r="B38" s="874"/>
      <c r="C38" s="874"/>
      <c r="D38" s="874"/>
      <c r="E38" s="874"/>
      <c r="F38" s="10" t="s">
        <v>2547</v>
      </c>
      <c r="G38" s="10">
        <v>18411</v>
      </c>
      <c r="H38" s="10"/>
      <c r="I38" s="10">
        <v>213</v>
      </c>
      <c r="J38" s="11">
        <v>10131.9</v>
      </c>
      <c r="K38" s="1046"/>
      <c r="L38" s="880"/>
    </row>
    <row r="39" spans="1:12" x14ac:dyDescent="0.3">
      <c r="A39" s="871">
        <v>236</v>
      </c>
      <c r="B39" s="873">
        <v>12031.25</v>
      </c>
      <c r="C39" s="873" t="s">
        <v>2695</v>
      </c>
      <c r="D39" s="873">
        <f>+I39+I40</f>
        <v>236</v>
      </c>
      <c r="E39" s="873">
        <f>+J39+J40</f>
        <v>11336.3</v>
      </c>
      <c r="F39" s="12" t="s">
        <v>2696</v>
      </c>
      <c r="G39" s="12">
        <v>18451</v>
      </c>
      <c r="H39" s="12"/>
      <c r="I39" s="12">
        <v>60</v>
      </c>
      <c r="J39" s="13">
        <v>2722.3</v>
      </c>
      <c r="K39" s="1045">
        <f t="shared" si="18"/>
        <v>0</v>
      </c>
      <c r="L39" s="879">
        <f t="shared" si="19"/>
        <v>5.7762077922077985E-2</v>
      </c>
    </row>
    <row r="40" spans="1:12" ht="15" thickBot="1" x14ac:dyDescent="0.35">
      <c r="A40" s="872"/>
      <c r="B40" s="874"/>
      <c r="C40" s="874"/>
      <c r="D40" s="874"/>
      <c r="E40" s="874"/>
      <c r="F40" s="10" t="s">
        <v>2696</v>
      </c>
      <c r="G40" s="10">
        <v>18451</v>
      </c>
      <c r="H40" s="10"/>
      <c r="I40" s="10">
        <v>176</v>
      </c>
      <c r="J40" s="11">
        <v>8614</v>
      </c>
      <c r="K40" s="1046"/>
      <c r="L40" s="880"/>
    </row>
    <row r="41" spans="1:12" x14ac:dyDescent="0.3">
      <c r="A41" s="871">
        <v>298</v>
      </c>
      <c r="B41" s="873">
        <v>14892</v>
      </c>
      <c r="C41" s="873" t="s">
        <v>2697</v>
      </c>
      <c r="D41" s="873">
        <v>298</v>
      </c>
      <c r="E41" s="873">
        <v>14128.3</v>
      </c>
      <c r="F41" s="12" t="s">
        <v>2698</v>
      </c>
      <c r="G41" s="12">
        <v>18481</v>
      </c>
      <c r="H41" s="12"/>
      <c r="I41" s="12">
        <v>100</v>
      </c>
      <c r="J41" s="13">
        <v>4697.6000000000004</v>
      </c>
      <c r="K41" s="1045">
        <f t="shared" si="18"/>
        <v>0</v>
      </c>
      <c r="L41" s="879">
        <f t="shared" si="19"/>
        <v>5.1282567821649257E-2</v>
      </c>
    </row>
    <row r="42" spans="1:12" ht="15" thickBot="1" x14ac:dyDescent="0.35">
      <c r="A42" s="872"/>
      <c r="B42" s="874"/>
      <c r="C42" s="874"/>
      <c r="D42" s="874"/>
      <c r="E42" s="874"/>
      <c r="F42" s="10" t="s">
        <v>2698</v>
      </c>
      <c r="G42" s="10">
        <v>18481</v>
      </c>
      <c r="H42" s="10"/>
      <c r="I42" s="10">
        <v>100</v>
      </c>
      <c r="J42" s="11">
        <v>4808.8</v>
      </c>
      <c r="K42" s="1046"/>
      <c r="L42" s="880"/>
    </row>
    <row r="43" spans="1:12" ht="15" thickBot="1" x14ac:dyDescent="0.35">
      <c r="A43" s="175">
        <v>270</v>
      </c>
      <c r="B43" s="8">
        <v>13327.25</v>
      </c>
      <c r="C43" s="8" t="s">
        <v>2840</v>
      </c>
      <c r="D43" s="8">
        <f>+I43</f>
        <v>270</v>
      </c>
      <c r="E43" s="8">
        <f>+J43</f>
        <v>12881.599999999999</v>
      </c>
      <c r="F43" s="8" t="s">
        <v>2841</v>
      </c>
      <c r="G43" s="8">
        <v>1851</v>
      </c>
      <c r="H43" s="8"/>
      <c r="I43" s="8">
        <v>270</v>
      </c>
      <c r="J43" s="9">
        <v>12881.599999999999</v>
      </c>
      <c r="K43" s="219">
        <f t="shared" ref="K43:K44" si="20">+A43-D43</f>
        <v>0</v>
      </c>
      <c r="L43" s="53">
        <f t="shared" ref="L43" si="21">(+B43-E43)/B43</f>
        <v>3.3439006546737059E-2</v>
      </c>
    </row>
    <row r="44" spans="1:12" x14ac:dyDescent="0.3">
      <c r="A44" s="871">
        <v>275</v>
      </c>
      <c r="B44" s="873">
        <v>13487.25</v>
      </c>
      <c r="C44" s="873" t="s">
        <v>2965</v>
      </c>
      <c r="D44" s="873">
        <f>+I44+I45+I46</f>
        <v>274</v>
      </c>
      <c r="E44" s="873">
        <f>+J44+J45+J46</f>
        <v>13282.100000000002</v>
      </c>
      <c r="F44" s="12" t="s">
        <v>2964</v>
      </c>
      <c r="G44" s="12">
        <v>18541</v>
      </c>
      <c r="H44" s="12"/>
      <c r="I44" s="12">
        <v>200</v>
      </c>
      <c r="J44" s="13">
        <v>9897.6</v>
      </c>
      <c r="K44" s="1045">
        <f t="shared" si="20"/>
        <v>1</v>
      </c>
      <c r="L44" s="879">
        <f>((+B44/A44)-(E44/D44))/(B44/A44)</f>
        <v>1.1616540249624722E-2</v>
      </c>
    </row>
    <row r="45" spans="1:12" x14ac:dyDescent="0.3">
      <c r="A45" s="875"/>
      <c r="B45" s="881"/>
      <c r="C45" s="881"/>
      <c r="D45" s="881"/>
      <c r="E45" s="881"/>
      <c r="F45" s="15" t="s">
        <v>2964</v>
      </c>
      <c r="G45" s="15">
        <v>18541</v>
      </c>
      <c r="H45" s="15"/>
      <c r="I45" s="15">
        <v>50</v>
      </c>
      <c r="J45" s="16">
        <v>2287.8000000000002</v>
      </c>
      <c r="K45" s="1047"/>
      <c r="L45" s="885"/>
    </row>
    <row r="46" spans="1:12" ht="15" thickBot="1" x14ac:dyDescent="0.35">
      <c r="A46" s="872"/>
      <c r="B46" s="874"/>
      <c r="C46" s="874"/>
      <c r="D46" s="874"/>
      <c r="E46" s="874"/>
      <c r="F46" s="10" t="s">
        <v>2964</v>
      </c>
      <c r="G46" s="10">
        <v>18541</v>
      </c>
      <c r="H46" s="10"/>
      <c r="I46" s="10">
        <v>24</v>
      </c>
      <c r="J46" s="11">
        <v>1096.7</v>
      </c>
      <c r="K46" s="1046"/>
      <c r="L46" s="880"/>
    </row>
    <row r="47" spans="1:12" x14ac:dyDescent="0.3">
      <c r="A47" s="871">
        <v>250</v>
      </c>
      <c r="B47" s="873">
        <v>12543.25</v>
      </c>
      <c r="C47" s="873" t="s">
        <v>2963</v>
      </c>
      <c r="D47" s="873">
        <f>+I47+I48</f>
        <v>251</v>
      </c>
      <c r="E47" s="873">
        <f>+J47+J48</f>
        <v>12427.1</v>
      </c>
      <c r="F47" s="12" t="s">
        <v>2962</v>
      </c>
      <c r="G47" s="12">
        <v>18571</v>
      </c>
      <c r="H47" s="12"/>
      <c r="I47" s="12">
        <v>177</v>
      </c>
      <c r="J47" s="13">
        <v>8657.7000000000007</v>
      </c>
      <c r="K47" s="1045">
        <f t="shared" ref="K47" si="22">+A47-D47</f>
        <v>-1</v>
      </c>
      <c r="L47" s="879">
        <f>((+B47/A47)-(E47/D47))/(B47/A47)</f>
        <v>1.3207132008509589E-2</v>
      </c>
    </row>
    <row r="48" spans="1:12" ht="15" thickBot="1" x14ac:dyDescent="0.35">
      <c r="A48" s="872"/>
      <c r="B48" s="874"/>
      <c r="C48" s="874"/>
      <c r="D48" s="874"/>
      <c r="E48" s="874"/>
      <c r="F48" s="10" t="s">
        <v>2962</v>
      </c>
      <c r="G48" s="10">
        <v>18571</v>
      </c>
      <c r="H48" s="10"/>
      <c r="I48" s="10">
        <v>74</v>
      </c>
      <c r="J48" s="11">
        <v>3769.4</v>
      </c>
      <c r="K48" s="1046"/>
      <c r="L48" s="880"/>
    </row>
    <row r="49" spans="1:12" x14ac:dyDescent="0.3">
      <c r="A49" s="871">
        <v>260</v>
      </c>
      <c r="B49" s="873">
        <v>12887</v>
      </c>
      <c r="C49" s="873" t="s">
        <v>2961</v>
      </c>
      <c r="D49" s="873">
        <f>+I49+I50</f>
        <v>260</v>
      </c>
      <c r="E49" s="873">
        <f>+J49+J50</f>
        <v>12514.599999999999</v>
      </c>
      <c r="F49" s="12" t="s">
        <v>2960</v>
      </c>
      <c r="G49" s="12">
        <v>18611</v>
      </c>
      <c r="H49" s="12"/>
      <c r="I49" s="12">
        <v>100</v>
      </c>
      <c r="J49" s="13">
        <v>4618.8999999999996</v>
      </c>
      <c r="K49" s="1045">
        <f t="shared" ref="K49" si="23">+A49-D49</f>
        <v>0</v>
      </c>
      <c r="L49" s="879">
        <f t="shared" ref="L49" si="24">(+B49-E49)/B49</f>
        <v>2.8897338403041938E-2</v>
      </c>
    </row>
    <row r="50" spans="1:12" ht="15" thickBot="1" x14ac:dyDescent="0.35">
      <c r="A50" s="872"/>
      <c r="B50" s="874"/>
      <c r="C50" s="874"/>
      <c r="D50" s="874"/>
      <c r="E50" s="874"/>
      <c r="F50" s="10" t="s">
        <v>2960</v>
      </c>
      <c r="G50" s="10">
        <v>18611</v>
      </c>
      <c r="H50" s="10"/>
      <c r="I50" s="10">
        <v>160</v>
      </c>
      <c r="J50" s="11">
        <v>7895.7</v>
      </c>
      <c r="K50" s="1046"/>
      <c r="L50" s="880"/>
    </row>
    <row r="51" spans="1:12" ht="15" thickBot="1" x14ac:dyDescent="0.35">
      <c r="A51" s="175">
        <v>256</v>
      </c>
      <c r="B51" s="8">
        <v>13344.5</v>
      </c>
      <c r="C51" s="8" t="s">
        <v>3118</v>
      </c>
      <c r="D51" s="8">
        <f>+I51</f>
        <v>256</v>
      </c>
      <c r="E51" s="8">
        <f>+J51</f>
        <v>12899.5</v>
      </c>
      <c r="F51" s="8" t="s">
        <v>3119</v>
      </c>
      <c r="G51" s="8">
        <v>18631</v>
      </c>
      <c r="H51" s="8"/>
      <c r="I51" s="8">
        <v>256</v>
      </c>
      <c r="J51" s="9">
        <v>12899.5</v>
      </c>
      <c r="K51" s="219">
        <f t="shared" ref="K51:K53" si="25">+A51-D51</f>
        <v>0</v>
      </c>
      <c r="L51" s="31">
        <f t="shared" ref="L51:L53" si="26">((+B51/A51)-(E51/D51))/(B51/A51)</f>
        <v>3.3347071827344602E-2</v>
      </c>
    </row>
    <row r="52" spans="1:12" ht="15" thickBot="1" x14ac:dyDescent="0.35">
      <c r="A52" s="175">
        <v>126</v>
      </c>
      <c r="B52" s="8">
        <v>6668</v>
      </c>
      <c r="C52" s="8" t="s">
        <v>3120</v>
      </c>
      <c r="D52" s="8">
        <f>+I52</f>
        <v>130</v>
      </c>
      <c r="E52" s="8">
        <f>+J52</f>
        <v>6258</v>
      </c>
      <c r="F52" s="8" t="s">
        <v>3121</v>
      </c>
      <c r="G52" s="8">
        <v>18641</v>
      </c>
      <c r="H52" s="8"/>
      <c r="I52" s="8">
        <v>130</v>
      </c>
      <c r="J52" s="9">
        <v>6258</v>
      </c>
      <c r="K52" s="219">
        <f t="shared" si="25"/>
        <v>-4</v>
      </c>
      <c r="L52" s="31">
        <f t="shared" si="26"/>
        <v>9.0365003922292353E-2</v>
      </c>
    </row>
    <row r="53" spans="1:12" x14ac:dyDescent="0.3">
      <c r="A53" s="871">
        <v>267</v>
      </c>
      <c r="B53" s="873">
        <v>14689.25</v>
      </c>
      <c r="C53" s="873" t="s">
        <v>3122</v>
      </c>
      <c r="D53" s="873">
        <f>+I53+I54</f>
        <v>267</v>
      </c>
      <c r="E53" s="873">
        <f>+J53+J54</f>
        <v>14388.8</v>
      </c>
      <c r="F53" s="12" t="s">
        <v>3123</v>
      </c>
      <c r="G53" s="12">
        <v>18651</v>
      </c>
      <c r="H53" s="12"/>
      <c r="I53" s="12">
        <v>200</v>
      </c>
      <c r="J53" s="13">
        <v>10771</v>
      </c>
      <c r="K53" s="871">
        <f t="shared" si="25"/>
        <v>0</v>
      </c>
      <c r="L53" s="879">
        <f t="shared" si="26"/>
        <v>2.045373317221778E-2</v>
      </c>
    </row>
    <row r="54" spans="1:12" ht="15" thickBot="1" x14ac:dyDescent="0.35">
      <c r="A54" s="872"/>
      <c r="B54" s="874"/>
      <c r="C54" s="874"/>
      <c r="D54" s="874"/>
      <c r="E54" s="874"/>
      <c r="F54" s="10" t="s">
        <v>3123</v>
      </c>
      <c r="G54" s="10">
        <v>18651</v>
      </c>
      <c r="H54" s="10"/>
      <c r="I54" s="10">
        <v>67</v>
      </c>
      <c r="J54" s="11">
        <v>3617.8</v>
      </c>
      <c r="K54" s="872"/>
      <c r="L54" s="880"/>
    </row>
    <row r="55" spans="1:12" ht="15" thickBot="1" x14ac:dyDescent="0.35">
      <c r="A55" s="175">
        <v>268</v>
      </c>
      <c r="B55" s="8">
        <v>12937.5</v>
      </c>
      <c r="C55" s="8" t="s">
        <v>3124</v>
      </c>
      <c r="D55" s="8">
        <f>+I55</f>
        <v>271</v>
      </c>
      <c r="E55" s="8">
        <f>+J55</f>
        <v>12922.8</v>
      </c>
      <c r="F55" s="8" t="s">
        <v>3125</v>
      </c>
      <c r="G55" s="8">
        <v>18681</v>
      </c>
      <c r="H55" s="8"/>
      <c r="I55" s="8">
        <v>271</v>
      </c>
      <c r="J55" s="9">
        <v>12922.8</v>
      </c>
      <c r="K55" s="219">
        <f t="shared" ref="K55" si="27">+A55-D55</f>
        <v>-3</v>
      </c>
      <c r="L55" s="31">
        <f>((+B55/A55)-(E55/D55))/(B55/A55)</f>
        <v>1.2193764372426474E-2</v>
      </c>
    </row>
    <row r="56" spans="1:12" ht="15" thickBot="1" x14ac:dyDescent="0.35">
      <c r="A56" s="175">
        <v>244</v>
      </c>
      <c r="B56" s="8">
        <v>13055.75</v>
      </c>
      <c r="C56" s="8" t="s">
        <v>3254</v>
      </c>
      <c r="D56" s="8">
        <f>+I56</f>
        <v>244</v>
      </c>
      <c r="E56" s="8">
        <f>+J56</f>
        <v>12738.900000000001</v>
      </c>
      <c r="F56" s="8" t="s">
        <v>3255</v>
      </c>
      <c r="G56" s="8">
        <v>18711</v>
      </c>
      <c r="H56" s="8"/>
      <c r="I56" s="8">
        <v>244</v>
      </c>
      <c r="J56" s="9">
        <v>12738.900000000001</v>
      </c>
      <c r="K56" s="219">
        <f t="shared" ref="K56:K57" si="28">+A56-D56</f>
        <v>0</v>
      </c>
      <c r="L56" s="31">
        <f>((+B56/A56)-(E56/D56))/(B56/A56)</f>
        <v>2.4269000248932408E-2</v>
      </c>
    </row>
    <row r="57" spans="1:12" x14ac:dyDescent="0.3">
      <c r="A57" s="871">
        <v>273</v>
      </c>
      <c r="B57" s="873">
        <v>13084.5</v>
      </c>
      <c r="C57" s="873" t="s">
        <v>3256</v>
      </c>
      <c r="D57" s="873">
        <f>+I57+I58</f>
        <v>270</v>
      </c>
      <c r="E57" s="873">
        <f>+J57+J58</f>
        <v>12784.900000000001</v>
      </c>
      <c r="F57" s="12" t="s">
        <v>3257</v>
      </c>
      <c r="G57" s="12">
        <v>18751</v>
      </c>
      <c r="H57" s="12"/>
      <c r="I57" s="12">
        <v>200</v>
      </c>
      <c r="J57" s="13">
        <v>9419.6</v>
      </c>
      <c r="K57" s="871">
        <f t="shared" si="28"/>
        <v>3</v>
      </c>
      <c r="L57" s="879">
        <f t="shared" ref="L57" si="29">((+B57/A57)-(E57/D57))/(B57/A57)</f>
        <v>1.2040624827510031E-2</v>
      </c>
    </row>
    <row r="58" spans="1:12" ht="15" thickBot="1" x14ac:dyDescent="0.35">
      <c r="A58" s="872"/>
      <c r="B58" s="874"/>
      <c r="C58" s="874"/>
      <c r="D58" s="874"/>
      <c r="E58" s="874"/>
      <c r="F58" s="10" t="s">
        <v>3257</v>
      </c>
      <c r="G58" s="10">
        <v>18751</v>
      </c>
      <c r="H58" s="10"/>
      <c r="I58" s="10">
        <v>70</v>
      </c>
      <c r="J58" s="11">
        <v>3365.3</v>
      </c>
      <c r="K58" s="872"/>
      <c r="L58" s="880"/>
    </row>
    <row r="59" spans="1:12" ht="15" thickBot="1" x14ac:dyDescent="0.35">
      <c r="A59" s="313">
        <v>254</v>
      </c>
      <c r="B59" s="27">
        <v>13977.5</v>
      </c>
      <c r="C59" s="27" t="s">
        <v>3491</v>
      </c>
      <c r="D59" s="8">
        <f>+I59</f>
        <v>254</v>
      </c>
      <c r="E59" s="8">
        <f>+J59</f>
        <v>13455.8</v>
      </c>
      <c r="F59" s="311" t="s">
        <v>3492</v>
      </c>
      <c r="G59" s="8">
        <v>18781</v>
      </c>
      <c r="H59" s="8"/>
      <c r="I59" s="8">
        <v>254</v>
      </c>
      <c r="J59" s="9">
        <v>13455.8</v>
      </c>
      <c r="K59" s="219">
        <f t="shared" ref="K59:K60" si="30">+A59-D59</f>
        <v>0</v>
      </c>
      <c r="L59" s="31">
        <f t="shared" ref="L59:L60" si="31">((+B59/A59)-(E59/D59))/(B59/A59)</f>
        <v>3.7324271150062663E-2</v>
      </c>
    </row>
    <row r="60" spans="1:12" ht="15" thickBot="1" x14ac:dyDescent="0.35">
      <c r="A60" s="313">
        <v>275</v>
      </c>
      <c r="B60" s="27">
        <v>13971.25</v>
      </c>
      <c r="C60" s="27" t="s">
        <v>3493</v>
      </c>
      <c r="D60" s="8">
        <f>+I60</f>
        <v>275</v>
      </c>
      <c r="E60" s="8">
        <f>+J60</f>
        <v>13486</v>
      </c>
      <c r="F60" s="8" t="s">
        <v>3494</v>
      </c>
      <c r="G60" s="8">
        <v>18791</v>
      </c>
      <c r="H60" s="8"/>
      <c r="I60" s="8">
        <v>275</v>
      </c>
      <c r="J60" s="9">
        <v>13486</v>
      </c>
      <c r="K60" s="219">
        <f t="shared" si="30"/>
        <v>0</v>
      </c>
      <c r="L60" s="31">
        <f t="shared" si="31"/>
        <v>3.4732039008678557E-2</v>
      </c>
    </row>
    <row r="61" spans="1:12" ht="15" thickBot="1" x14ac:dyDescent="0.35">
      <c r="A61" s="175">
        <v>354</v>
      </c>
      <c r="B61" s="8">
        <v>17668</v>
      </c>
      <c r="C61" s="8" t="s">
        <v>3623</v>
      </c>
      <c r="D61" s="8">
        <v>354</v>
      </c>
      <c r="E61" s="8">
        <v>17271.7</v>
      </c>
      <c r="F61" s="8" t="s">
        <v>3624</v>
      </c>
      <c r="G61" s="8">
        <v>18911</v>
      </c>
      <c r="H61" s="8"/>
      <c r="I61" s="8">
        <v>300</v>
      </c>
      <c r="J61" s="9">
        <v>14697</v>
      </c>
      <c r="K61" s="219">
        <f t="shared" ref="K61:K62" si="32">+A61-D61</f>
        <v>0</v>
      </c>
      <c r="L61" s="31">
        <f t="shared" ref="L61:L62" si="33">((+B61/A61)-(E61/D61))/(B61/A61)</f>
        <v>2.243038261263295E-2</v>
      </c>
    </row>
    <row r="62" spans="1:12" x14ac:dyDescent="0.3">
      <c r="A62" s="871">
        <v>239</v>
      </c>
      <c r="B62" s="873">
        <v>12541.5</v>
      </c>
      <c r="C62" s="873" t="s">
        <v>3809</v>
      </c>
      <c r="D62" s="873">
        <f>+I62+I63</f>
        <v>239</v>
      </c>
      <c r="E62" s="873">
        <f>+J62+J63</f>
        <v>12202.3</v>
      </c>
      <c r="F62" s="12" t="s">
        <v>3810</v>
      </c>
      <c r="G62" s="12">
        <v>18921</v>
      </c>
      <c r="H62" s="12"/>
      <c r="I62" s="12">
        <v>200</v>
      </c>
      <c r="J62" s="13">
        <v>10283.299999999999</v>
      </c>
      <c r="K62" s="871">
        <f t="shared" si="32"/>
        <v>0</v>
      </c>
      <c r="L62" s="879">
        <f t="shared" si="33"/>
        <v>2.7046206594107655E-2</v>
      </c>
    </row>
    <row r="63" spans="1:12" ht="15" thickBot="1" x14ac:dyDescent="0.35">
      <c r="A63" s="872"/>
      <c r="B63" s="874"/>
      <c r="C63" s="874"/>
      <c r="D63" s="874"/>
      <c r="E63" s="874"/>
      <c r="F63" s="10" t="s">
        <v>3810</v>
      </c>
      <c r="G63" s="10">
        <v>18921</v>
      </c>
      <c r="H63" s="10"/>
      <c r="I63" s="10">
        <v>39</v>
      </c>
      <c r="J63" s="11">
        <v>1919</v>
      </c>
      <c r="K63" s="872"/>
      <c r="L63" s="880"/>
    </row>
    <row r="64" spans="1:12" ht="15" thickBot="1" x14ac:dyDescent="0.35">
      <c r="A64" s="199">
        <v>239</v>
      </c>
      <c r="B64" s="10">
        <v>13041.75</v>
      </c>
      <c r="C64" s="10" t="s">
        <v>3811</v>
      </c>
      <c r="D64" s="10">
        <f>+I64</f>
        <v>239</v>
      </c>
      <c r="E64" s="10">
        <f>+J64</f>
        <v>12640.699999999999</v>
      </c>
      <c r="F64" s="10" t="s">
        <v>3812</v>
      </c>
      <c r="G64" s="10">
        <v>18961</v>
      </c>
      <c r="H64" s="10"/>
      <c r="I64" s="10">
        <v>239</v>
      </c>
      <c r="J64" s="11">
        <v>12640.699999999999</v>
      </c>
      <c r="K64" s="219">
        <f t="shared" ref="K64:K65" si="34">+A64-D64</f>
        <v>0</v>
      </c>
      <c r="L64" s="31">
        <f t="shared" ref="L64:L65" si="35">((+B64/A64)-(E64/D64))/(B64/A64)</f>
        <v>3.0751241206126521E-2</v>
      </c>
    </row>
    <row r="65" spans="1:12" ht="15" thickBot="1" x14ac:dyDescent="0.35">
      <c r="A65" s="175">
        <v>329</v>
      </c>
      <c r="B65" s="8">
        <v>18236</v>
      </c>
      <c r="C65" s="8" t="s">
        <v>3813</v>
      </c>
      <c r="D65" s="8">
        <f>+I65</f>
        <v>332</v>
      </c>
      <c r="E65" s="8">
        <f>+J65</f>
        <v>17991.099999999999</v>
      </c>
      <c r="F65" s="8" t="s">
        <v>3814</v>
      </c>
      <c r="G65" s="8">
        <v>18971</v>
      </c>
      <c r="H65" s="8"/>
      <c r="I65" s="8">
        <v>332</v>
      </c>
      <c r="J65" s="9">
        <v>17991.099999999999</v>
      </c>
      <c r="K65" s="219">
        <f t="shared" si="34"/>
        <v>-3</v>
      </c>
      <c r="L65" s="31">
        <f t="shared" si="35"/>
        <v>2.2344274003229504E-2</v>
      </c>
    </row>
    <row r="66" spans="1:12" ht="15" thickBot="1" x14ac:dyDescent="0.35">
      <c r="A66" s="175">
        <v>271</v>
      </c>
      <c r="B66" s="8">
        <v>14688.25</v>
      </c>
      <c r="C66" s="8" t="s">
        <v>4080</v>
      </c>
      <c r="D66" s="8">
        <f t="shared" ref="D66:E68" si="36">+I66</f>
        <v>271</v>
      </c>
      <c r="E66" s="8">
        <f t="shared" si="36"/>
        <v>14345.9</v>
      </c>
      <c r="F66" s="8" t="s">
        <v>4081</v>
      </c>
      <c r="G66" s="8">
        <v>19021</v>
      </c>
      <c r="H66" s="8"/>
      <c r="I66" s="8">
        <v>271</v>
      </c>
      <c r="J66" s="9">
        <v>14345.9</v>
      </c>
      <c r="K66" s="219">
        <f t="shared" ref="K66:K69" si="37">+A66-D66</f>
        <v>0</v>
      </c>
      <c r="L66" s="31">
        <f t="shared" ref="L66:L69" si="38">((+B66/A66)-(E66/D66))/(B66/A66)</f>
        <v>2.330774598743893E-2</v>
      </c>
    </row>
    <row r="67" spans="1:12" ht="15" thickBot="1" x14ac:dyDescent="0.35">
      <c r="A67" s="175">
        <v>254</v>
      </c>
      <c r="B67" s="8">
        <v>13498.75</v>
      </c>
      <c r="C67" s="8" t="s">
        <v>4082</v>
      </c>
      <c r="D67" s="8">
        <f t="shared" si="36"/>
        <v>254</v>
      </c>
      <c r="E67" s="8">
        <f t="shared" si="36"/>
        <v>13082.3</v>
      </c>
      <c r="F67" s="45" t="s">
        <v>4083</v>
      </c>
      <c r="G67" s="45">
        <v>19071</v>
      </c>
      <c r="H67" s="14"/>
      <c r="I67" s="45">
        <v>254</v>
      </c>
      <c r="J67" s="46">
        <v>13082.3</v>
      </c>
      <c r="K67" s="219">
        <f t="shared" si="37"/>
        <v>0</v>
      </c>
      <c r="L67" s="31">
        <f t="shared" si="38"/>
        <v>3.0851004722659604E-2</v>
      </c>
    </row>
    <row r="68" spans="1:12" ht="15" thickBot="1" x14ac:dyDescent="0.35">
      <c r="A68" s="174">
        <v>232</v>
      </c>
      <c r="B68" s="12">
        <v>11126</v>
      </c>
      <c r="C68" s="12" t="s">
        <v>4084</v>
      </c>
      <c r="D68" s="12">
        <f t="shared" si="36"/>
        <v>232</v>
      </c>
      <c r="E68" s="12">
        <f t="shared" si="36"/>
        <v>10902</v>
      </c>
      <c r="F68" s="39" t="s">
        <v>4085</v>
      </c>
      <c r="G68" s="39">
        <v>19091</v>
      </c>
      <c r="H68" s="40"/>
      <c r="I68" s="39">
        <v>232</v>
      </c>
      <c r="J68" s="41">
        <v>10902</v>
      </c>
      <c r="K68" s="219">
        <f t="shared" si="37"/>
        <v>0</v>
      </c>
      <c r="L68" s="31">
        <f t="shared" si="38"/>
        <v>2.0133021750853842E-2</v>
      </c>
    </row>
    <row r="69" spans="1:12" x14ac:dyDescent="0.3">
      <c r="A69" s="871">
        <v>551</v>
      </c>
      <c r="B69" s="873">
        <v>28363.5</v>
      </c>
      <c r="C69" s="873" t="s">
        <v>4086</v>
      </c>
      <c r="D69" s="873">
        <v>550</v>
      </c>
      <c r="E69" s="873">
        <v>27836.5</v>
      </c>
      <c r="F69" s="39" t="s">
        <v>4087</v>
      </c>
      <c r="G69" s="39">
        <v>19121</v>
      </c>
      <c r="H69" s="40"/>
      <c r="I69" s="39">
        <v>168</v>
      </c>
      <c r="J69" s="41">
        <v>8753.2000000000007</v>
      </c>
      <c r="K69" s="871">
        <f t="shared" si="37"/>
        <v>1</v>
      </c>
      <c r="L69" s="879">
        <f t="shared" si="38"/>
        <v>1.679581792861182E-2</v>
      </c>
    </row>
    <row r="70" spans="1:12" ht="15" thickBot="1" x14ac:dyDescent="0.35">
      <c r="A70" s="872"/>
      <c r="B70" s="874"/>
      <c r="C70" s="874"/>
      <c r="D70" s="874"/>
      <c r="E70" s="874"/>
      <c r="F70" s="42" t="s">
        <v>4087</v>
      </c>
      <c r="G70" s="42">
        <v>19121</v>
      </c>
      <c r="H70" s="43"/>
      <c r="I70" s="42">
        <v>107</v>
      </c>
      <c r="J70" s="44">
        <v>5370.2</v>
      </c>
      <c r="K70" s="872"/>
      <c r="L70" s="880"/>
    </row>
    <row r="71" spans="1:12" ht="15" thickBot="1" x14ac:dyDescent="0.35">
      <c r="A71" s="175">
        <v>296</v>
      </c>
      <c r="B71" s="8">
        <v>16300</v>
      </c>
      <c r="C71" s="8" t="s">
        <v>4295</v>
      </c>
      <c r="D71" s="8">
        <v>296</v>
      </c>
      <c r="E71" s="8">
        <v>16035.05</v>
      </c>
      <c r="F71" s="45" t="s">
        <v>4296</v>
      </c>
      <c r="G71" s="45">
        <v>19141</v>
      </c>
      <c r="H71" s="14"/>
      <c r="I71" s="45">
        <v>196</v>
      </c>
      <c r="J71" s="46">
        <v>10264.299999999999</v>
      </c>
      <c r="K71" s="219">
        <f t="shared" ref="K71" si="39">+A71-D71</f>
        <v>0</v>
      </c>
      <c r="L71" s="31">
        <f t="shared" ref="L71" si="40">((+B71/A71)-(E71/D71))/(B71/A71)</f>
        <v>1.6254601226993844E-2</v>
      </c>
    </row>
    <row r="72" spans="1:12" ht="15" thickBot="1" x14ac:dyDescent="0.35">
      <c r="A72" s="175">
        <v>275</v>
      </c>
      <c r="B72" s="8">
        <v>15163</v>
      </c>
      <c r="C72" s="8" t="s">
        <v>4480</v>
      </c>
      <c r="D72" s="8">
        <v>275</v>
      </c>
      <c r="E72" s="8">
        <v>15095.2</v>
      </c>
      <c r="F72" s="45" t="s">
        <v>4481</v>
      </c>
      <c r="G72" s="45">
        <v>19231</v>
      </c>
      <c r="H72" s="14"/>
      <c r="I72" s="45">
        <v>200</v>
      </c>
      <c r="J72" s="46">
        <v>10931.2</v>
      </c>
      <c r="K72" s="219">
        <f t="shared" ref="K72" si="41">+A72-D72</f>
        <v>0</v>
      </c>
      <c r="L72" s="31">
        <f t="shared" ref="L72" si="42">((+B72/A72)-(E72/D72))/(B72/A72)</f>
        <v>4.4714106707116055E-3</v>
      </c>
    </row>
    <row r="73" spans="1:12" ht="15" thickBot="1" x14ac:dyDescent="0.35">
      <c r="A73" s="175">
        <v>128</v>
      </c>
      <c r="B73" s="8">
        <v>4838.3999999999996</v>
      </c>
      <c r="C73" s="8" t="s">
        <v>4700</v>
      </c>
      <c r="D73" s="8">
        <f>+I73</f>
        <v>128</v>
      </c>
      <c r="E73" s="8">
        <f>+J73</f>
        <v>4829</v>
      </c>
      <c r="F73" s="45" t="s">
        <v>4701</v>
      </c>
      <c r="G73" s="45">
        <v>19251</v>
      </c>
      <c r="H73" s="14"/>
      <c r="I73" s="45">
        <v>128</v>
      </c>
      <c r="J73" s="46">
        <v>4829</v>
      </c>
      <c r="K73" s="219">
        <f t="shared" ref="K73:K74" si="43">+A73-D73</f>
        <v>0</v>
      </c>
      <c r="L73" s="31">
        <f t="shared" ref="L73:L74" si="44">((+B73/A73)-(E73/D73))/(B73/A73)</f>
        <v>1.9427910052909302E-3</v>
      </c>
    </row>
    <row r="74" spans="1:12" ht="15" thickBot="1" x14ac:dyDescent="0.35">
      <c r="A74" s="175">
        <v>275</v>
      </c>
      <c r="B74" s="8">
        <v>13807.75</v>
      </c>
      <c r="C74" s="8" t="s">
        <v>4702</v>
      </c>
      <c r="D74" s="8">
        <v>275</v>
      </c>
      <c r="E74" s="8">
        <v>13766.8</v>
      </c>
      <c r="F74" s="45" t="s">
        <v>4703</v>
      </c>
      <c r="G74" s="45">
        <v>19261</v>
      </c>
      <c r="H74" s="14"/>
      <c r="I74" s="45">
        <v>142</v>
      </c>
      <c r="J74" s="46">
        <v>7283.1</v>
      </c>
      <c r="K74" s="219">
        <f t="shared" si="43"/>
        <v>0</v>
      </c>
      <c r="L74" s="31">
        <f t="shared" si="44"/>
        <v>2.9657257699480842E-3</v>
      </c>
    </row>
    <row r="75" spans="1:12" ht="15" thickBot="1" x14ac:dyDescent="0.35">
      <c r="A75" s="175">
        <v>264</v>
      </c>
      <c r="B75" s="8">
        <v>13208</v>
      </c>
      <c r="C75" s="8" t="s">
        <v>4704</v>
      </c>
      <c r="D75" s="8">
        <f>+I75</f>
        <v>250</v>
      </c>
      <c r="E75" s="8">
        <f>+J75</f>
        <v>11063.7</v>
      </c>
      <c r="F75" s="45" t="s">
        <v>4478</v>
      </c>
      <c r="G75" s="45">
        <v>19291</v>
      </c>
      <c r="H75" s="14"/>
      <c r="I75" s="45">
        <v>250</v>
      </c>
      <c r="J75" s="45">
        <v>11063.7</v>
      </c>
      <c r="K75" s="219">
        <f t="shared" ref="K75" si="45">+A75-D75</f>
        <v>14</v>
      </c>
      <c r="L75" s="31">
        <f t="shared" ref="L75" si="46">((+B75/A75)-(E75/D75))/(B75/A75)</f>
        <v>0.11544009691096301</v>
      </c>
    </row>
    <row r="76" spans="1:12" ht="15" thickBot="1" x14ac:dyDescent="0.35">
      <c r="A76" s="199">
        <v>229</v>
      </c>
      <c r="B76" s="10">
        <v>8924.9</v>
      </c>
      <c r="C76" s="10" t="s">
        <v>4733</v>
      </c>
      <c r="D76" s="8">
        <f>+I76</f>
        <v>229</v>
      </c>
      <c r="E76" s="8">
        <f>+J76</f>
        <v>8875.8000000000011</v>
      </c>
      <c r="F76" s="42" t="s">
        <v>4734</v>
      </c>
      <c r="G76" s="42">
        <v>19341</v>
      </c>
      <c r="H76" s="43"/>
      <c r="I76" s="42">
        <v>229</v>
      </c>
      <c r="J76" s="44">
        <v>8875.8000000000011</v>
      </c>
      <c r="K76" s="219">
        <f t="shared" ref="K76" si="47">+A76-D76</f>
        <v>0</v>
      </c>
      <c r="L76" s="31">
        <f t="shared" ref="L76" si="48">((+B76/A76)-(E76/D76))/(B76/A76)</f>
        <v>5.5014622012569351E-3</v>
      </c>
    </row>
    <row r="77" spans="1:12" ht="15" thickBot="1" x14ac:dyDescent="0.35">
      <c r="A77" s="175">
        <v>201</v>
      </c>
      <c r="B77" s="8">
        <v>8845.2999999999993</v>
      </c>
      <c r="C77" s="8" t="s">
        <v>4812</v>
      </c>
      <c r="D77" s="8">
        <f t="shared" ref="D77:E77" si="49">+I77</f>
        <v>201</v>
      </c>
      <c r="E77" s="8">
        <f t="shared" si="49"/>
        <v>8511.2999999999993</v>
      </c>
      <c r="F77" s="45" t="s">
        <v>4813</v>
      </c>
      <c r="G77" s="45">
        <v>19351</v>
      </c>
      <c r="H77" s="14"/>
      <c r="I77" s="45">
        <v>201</v>
      </c>
      <c r="J77" s="46">
        <v>8511.2999999999993</v>
      </c>
      <c r="K77" s="219">
        <f t="shared" ref="K77" si="50">+A77-D77</f>
        <v>0</v>
      </c>
      <c r="L77" s="31">
        <f t="shared" ref="L77" si="51">((+B77/A77)-(E77/D77))/(B77/A77)</f>
        <v>3.7760166416062793E-2</v>
      </c>
    </row>
    <row r="78" spans="1:12" ht="15" thickBot="1" x14ac:dyDescent="0.35">
      <c r="A78" s="175">
        <v>350</v>
      </c>
      <c r="B78" s="8">
        <v>15176.25</v>
      </c>
      <c r="C78" s="8" t="s">
        <v>4867</v>
      </c>
      <c r="D78" s="8">
        <f t="shared" ref="D78:E79" si="52">+I78</f>
        <v>350</v>
      </c>
      <c r="E78" s="8">
        <f t="shared" si="52"/>
        <v>14915.3</v>
      </c>
      <c r="F78" s="45" t="s">
        <v>4868</v>
      </c>
      <c r="G78" s="46">
        <v>19371</v>
      </c>
      <c r="I78" s="50">
        <v>350</v>
      </c>
      <c r="J78" s="50">
        <v>14915.3</v>
      </c>
      <c r="K78" s="219">
        <f t="shared" ref="K78" si="53">+A78-D78</f>
        <v>0</v>
      </c>
      <c r="L78" s="31">
        <f t="shared" ref="L78" si="54">((+B78/A78)-(E78/D78))/(B78/A78)</f>
        <v>1.7194629766905577E-2</v>
      </c>
    </row>
    <row r="79" spans="1:12" ht="15" thickBot="1" x14ac:dyDescent="0.35">
      <c r="A79" s="175">
        <v>254</v>
      </c>
      <c r="B79" s="8">
        <v>10863.5</v>
      </c>
      <c r="C79" s="8" t="s">
        <v>4923</v>
      </c>
      <c r="D79" s="8">
        <f t="shared" si="52"/>
        <v>254</v>
      </c>
      <c r="E79" s="8">
        <f t="shared" si="52"/>
        <v>10747.1</v>
      </c>
      <c r="F79" s="45" t="s">
        <v>4924</v>
      </c>
      <c r="G79" s="45">
        <v>19421</v>
      </c>
      <c r="H79" s="14"/>
      <c r="I79" s="45">
        <v>254</v>
      </c>
      <c r="J79" s="46">
        <v>10747.1</v>
      </c>
      <c r="K79" s="219">
        <f t="shared" ref="K79:K80" si="55">+A79-D79</f>
        <v>0</v>
      </c>
      <c r="L79" s="31">
        <f t="shared" ref="L79:L80" si="56">((+B79/A79)-(E79/D79))/(B79/A79)</f>
        <v>1.0714778846596357E-2</v>
      </c>
    </row>
    <row r="80" spans="1:12" ht="15" thickBot="1" x14ac:dyDescent="0.35">
      <c r="A80" s="175">
        <v>220</v>
      </c>
      <c r="B80" s="8">
        <v>9118.5</v>
      </c>
      <c r="C80" s="8" t="s">
        <v>4925</v>
      </c>
      <c r="D80" s="8">
        <v>220</v>
      </c>
      <c r="E80" s="8">
        <v>9074.7999999999993</v>
      </c>
      <c r="F80" s="45" t="s">
        <v>4926</v>
      </c>
      <c r="G80" s="45">
        <v>19461</v>
      </c>
      <c r="H80" s="14"/>
      <c r="I80" s="45">
        <v>146</v>
      </c>
      <c r="J80" s="46">
        <v>6052.9</v>
      </c>
      <c r="K80" s="219">
        <f t="shared" si="55"/>
        <v>0</v>
      </c>
      <c r="L80" s="31">
        <f t="shared" si="56"/>
        <v>4.7924548993804796E-3</v>
      </c>
    </row>
    <row r="81" spans="1:12" ht="15" thickBot="1" x14ac:dyDescent="0.35">
      <c r="A81" s="175">
        <v>203</v>
      </c>
      <c r="B81" s="8">
        <v>8975.75</v>
      </c>
      <c r="C81" s="8" t="s">
        <v>5021</v>
      </c>
      <c r="D81" s="8">
        <f>+I81</f>
        <v>203</v>
      </c>
      <c r="E81" s="8">
        <f>+J81</f>
        <v>8855.4</v>
      </c>
      <c r="F81" s="45" t="s">
        <v>5022</v>
      </c>
      <c r="G81" s="45">
        <v>19471</v>
      </c>
      <c r="H81" s="14"/>
      <c r="I81" s="45">
        <v>203</v>
      </c>
      <c r="J81" s="46">
        <v>8855.4</v>
      </c>
      <c r="K81" s="219">
        <f t="shared" ref="K81:K82" si="57">+A81-D81</f>
        <v>0</v>
      </c>
      <c r="L81" s="31">
        <f t="shared" ref="L81:L82" si="58">((+B81/A81)-(E81/D81))/(B81/A81)</f>
        <v>1.3408350277135588E-2</v>
      </c>
    </row>
    <row r="82" spans="1:12" x14ac:dyDescent="0.3">
      <c r="A82" s="871">
        <v>254</v>
      </c>
      <c r="B82" s="873">
        <v>11020.75</v>
      </c>
      <c r="C82" s="873" t="s">
        <v>5101</v>
      </c>
      <c r="D82" s="873">
        <f>+I82+I83</f>
        <v>254</v>
      </c>
      <c r="E82" s="873">
        <f>+J82+J83</f>
        <v>11159.4</v>
      </c>
      <c r="F82" s="39" t="s">
        <v>5102</v>
      </c>
      <c r="G82" s="39">
        <v>19501</v>
      </c>
      <c r="H82" s="40"/>
      <c r="I82" s="39">
        <v>220</v>
      </c>
      <c r="J82" s="41">
        <v>9622.5</v>
      </c>
      <c r="K82" s="871">
        <f t="shared" si="57"/>
        <v>0</v>
      </c>
      <c r="L82" s="879">
        <f t="shared" si="58"/>
        <v>-1.2580813465508236E-2</v>
      </c>
    </row>
    <row r="83" spans="1:12" ht="15" thickBot="1" x14ac:dyDescent="0.35">
      <c r="A83" s="875"/>
      <c r="B83" s="881"/>
      <c r="C83" s="881"/>
      <c r="D83" s="881"/>
      <c r="E83" s="881"/>
      <c r="F83" s="50" t="s">
        <v>5102</v>
      </c>
      <c r="G83" s="50">
        <v>19501</v>
      </c>
      <c r="I83" s="50">
        <v>34</v>
      </c>
      <c r="J83" s="51">
        <v>1536.9</v>
      </c>
      <c r="K83" s="872"/>
      <c r="L83" s="880"/>
    </row>
    <row r="84" spans="1:12" x14ac:dyDescent="0.3">
      <c r="A84" s="871">
        <v>368</v>
      </c>
      <c r="B84" s="873">
        <v>15881</v>
      </c>
      <c r="C84" s="873" t="s">
        <v>5103</v>
      </c>
      <c r="D84" s="873">
        <f>+I84+I85</f>
        <v>368</v>
      </c>
      <c r="E84" s="873">
        <f>+J84+J85</f>
        <v>15992.400000000001</v>
      </c>
      <c r="F84" s="39" t="s">
        <v>5104</v>
      </c>
      <c r="G84" s="39">
        <v>19521</v>
      </c>
      <c r="H84" s="40"/>
      <c r="I84" s="39">
        <v>148</v>
      </c>
      <c r="J84" s="41">
        <v>6407.7</v>
      </c>
      <c r="K84" s="871">
        <f t="shared" ref="K84" si="59">+A84-D84</f>
        <v>0</v>
      </c>
      <c r="L84" s="879">
        <f t="shared" ref="L84" si="60">((+B84/A84)-(E84/D84))/(B84/A84)</f>
        <v>-7.0146716201750642E-3</v>
      </c>
    </row>
    <row r="85" spans="1:12" ht="15" thickBot="1" x14ac:dyDescent="0.35">
      <c r="A85" s="872"/>
      <c r="B85" s="874"/>
      <c r="C85" s="874"/>
      <c r="D85" s="874"/>
      <c r="E85" s="874"/>
      <c r="F85" s="42" t="s">
        <v>5104</v>
      </c>
      <c r="G85" s="42">
        <v>19521</v>
      </c>
      <c r="H85" s="43"/>
      <c r="I85" s="42">
        <v>220</v>
      </c>
      <c r="J85" s="44">
        <v>9584.7000000000007</v>
      </c>
      <c r="K85" s="872"/>
      <c r="L85" s="880"/>
    </row>
    <row r="86" spans="1:12" ht="15" thickBot="1" x14ac:dyDescent="0.35">
      <c r="A86" s="175">
        <v>200</v>
      </c>
      <c r="B86" s="8">
        <v>9421.25</v>
      </c>
      <c r="C86" s="8" t="s">
        <v>5238</v>
      </c>
      <c r="D86" s="372">
        <f t="shared" ref="D86:E86" si="61">+I86</f>
        <v>200</v>
      </c>
      <c r="E86" s="372">
        <f t="shared" si="61"/>
        <v>9441.7000000000007</v>
      </c>
      <c r="F86" s="45" t="s">
        <v>5239</v>
      </c>
      <c r="G86" s="45">
        <v>19591</v>
      </c>
      <c r="H86" s="14"/>
      <c r="I86" s="45">
        <v>200</v>
      </c>
      <c r="J86" s="46">
        <v>9441.7000000000007</v>
      </c>
      <c r="K86" s="219">
        <f t="shared" ref="K86:K87" si="62">+A86-D86</f>
        <v>0</v>
      </c>
      <c r="L86" s="31">
        <f t="shared" ref="L86:L87" si="63">((+B86/A86)-(E86/D86))/(B86/A86)</f>
        <v>-2.1706249170757161E-3</v>
      </c>
    </row>
    <row r="87" spans="1:12" ht="15" thickBot="1" x14ac:dyDescent="0.35">
      <c r="A87" s="175">
        <v>581</v>
      </c>
      <c r="B87" s="8">
        <v>26197.5</v>
      </c>
      <c r="C87" s="8" t="s">
        <v>5240</v>
      </c>
      <c r="D87" s="8">
        <v>581</v>
      </c>
      <c r="E87" s="8">
        <v>26255.1</v>
      </c>
      <c r="F87" s="45" t="s">
        <v>5241</v>
      </c>
      <c r="G87" s="45">
        <v>19621</v>
      </c>
      <c r="H87" s="14"/>
      <c r="I87" s="45">
        <v>400</v>
      </c>
      <c r="J87" s="46">
        <v>18047.900000000001</v>
      </c>
      <c r="K87" s="219">
        <f t="shared" si="62"/>
        <v>0</v>
      </c>
      <c r="L87" s="31">
        <f t="shared" si="63"/>
        <v>-2.1986830804466531E-3</v>
      </c>
    </row>
    <row r="88" spans="1:12" ht="15" thickBot="1" x14ac:dyDescent="0.35">
      <c r="A88" s="175">
        <v>280</v>
      </c>
      <c r="B88" s="8">
        <v>14040.5</v>
      </c>
      <c r="C88" s="8" t="s">
        <v>5340</v>
      </c>
      <c r="D88" s="8">
        <v>280</v>
      </c>
      <c r="E88" s="8">
        <v>13990.4</v>
      </c>
      <c r="F88" s="45" t="s">
        <v>5341</v>
      </c>
      <c r="G88" s="45">
        <v>19661</v>
      </c>
      <c r="H88" s="14"/>
      <c r="I88" s="45">
        <v>169</v>
      </c>
      <c r="J88" s="46">
        <v>8447.9</v>
      </c>
      <c r="K88" s="219">
        <f t="shared" ref="K88" si="64">+A88-D88</f>
        <v>0</v>
      </c>
      <c r="L88" s="31">
        <f t="shared" ref="L88" si="65">((+B88/A88)-(E88/D88))/(B88/A88)</f>
        <v>3.5682489939816895E-3</v>
      </c>
    </row>
    <row r="89" spans="1:12" ht="15" thickBot="1" x14ac:dyDescent="0.35">
      <c r="A89" s="175">
        <v>520</v>
      </c>
      <c r="B89" s="8">
        <v>26557.25</v>
      </c>
      <c r="C89" s="8" t="s">
        <v>5472</v>
      </c>
      <c r="D89" s="8">
        <v>520</v>
      </c>
      <c r="E89" s="8">
        <v>26336.799999999999</v>
      </c>
      <c r="F89" s="45" t="s">
        <v>5473</v>
      </c>
      <c r="G89" s="46">
        <v>19721</v>
      </c>
      <c r="I89" s="50">
        <v>400</v>
      </c>
      <c r="J89" s="50">
        <v>20063.2</v>
      </c>
      <c r="K89" s="219">
        <f t="shared" ref="K89:K90" si="66">+A89-D89</f>
        <v>0</v>
      </c>
      <c r="L89" s="31">
        <f t="shared" ref="L89:L90" si="67">((+B89/A89)-(E89/D89))/(B89/A89)</f>
        <v>8.3009347729905598E-3</v>
      </c>
    </row>
    <row r="90" spans="1:12" x14ac:dyDescent="0.3">
      <c r="A90" s="871">
        <v>357</v>
      </c>
      <c r="B90" s="873">
        <v>16367.25</v>
      </c>
      <c r="C90" s="873" t="s">
        <v>5576</v>
      </c>
      <c r="D90" s="873">
        <f>+I90+I91</f>
        <v>357</v>
      </c>
      <c r="E90" s="873">
        <f>+J90+J91</f>
        <v>16559.2</v>
      </c>
      <c r="F90" s="435" t="s">
        <v>5577</v>
      </c>
      <c r="G90" s="435">
        <v>19801</v>
      </c>
      <c r="H90" s="40"/>
      <c r="I90" s="435">
        <v>200</v>
      </c>
      <c r="J90" s="41">
        <v>9269.2000000000007</v>
      </c>
      <c r="K90" s="871">
        <f t="shared" si="66"/>
        <v>0</v>
      </c>
      <c r="L90" s="879">
        <f t="shared" si="67"/>
        <v>-1.1727687913363516E-2</v>
      </c>
    </row>
    <row r="91" spans="1:12" ht="15" thickBot="1" x14ac:dyDescent="0.35">
      <c r="A91" s="872"/>
      <c r="B91" s="874"/>
      <c r="C91" s="874"/>
      <c r="D91" s="874"/>
      <c r="E91" s="874"/>
      <c r="F91" s="436" t="s">
        <v>5577</v>
      </c>
      <c r="G91" s="436">
        <v>19801</v>
      </c>
      <c r="H91" s="437"/>
      <c r="I91" s="436">
        <v>157</v>
      </c>
      <c r="J91" s="44">
        <v>7290</v>
      </c>
      <c r="K91" s="872"/>
      <c r="L91" s="880"/>
    </row>
    <row r="92" spans="1:12" x14ac:dyDescent="0.3">
      <c r="A92" s="871">
        <v>386</v>
      </c>
      <c r="B92" s="873">
        <v>17455.5</v>
      </c>
      <c r="C92" s="873" t="s">
        <v>5792</v>
      </c>
      <c r="D92" s="873">
        <f>+I92+I93</f>
        <v>386</v>
      </c>
      <c r="E92" s="873">
        <f>+J92+J93</f>
        <v>17681.599999999999</v>
      </c>
      <c r="F92" s="465" t="s">
        <v>5793</v>
      </c>
      <c r="G92" s="465">
        <v>19821</v>
      </c>
      <c r="H92" s="40"/>
      <c r="I92" s="465">
        <v>320</v>
      </c>
      <c r="J92" s="41">
        <v>14603.5</v>
      </c>
      <c r="K92" s="871">
        <f t="shared" ref="K92" si="68">+A92-D92</f>
        <v>0</v>
      </c>
      <c r="L92" s="879">
        <f t="shared" ref="L92" si="69">((+B92/A92)-(E92/D92))/(B92/A92)</f>
        <v>-1.29529374695654E-2</v>
      </c>
    </row>
    <row r="93" spans="1:12" ht="15" thickBot="1" x14ac:dyDescent="0.35">
      <c r="A93" s="872"/>
      <c r="B93" s="874"/>
      <c r="C93" s="874"/>
      <c r="D93" s="874"/>
      <c r="E93" s="874"/>
      <c r="F93" s="466" t="s">
        <v>5793</v>
      </c>
      <c r="G93" s="466">
        <v>19821</v>
      </c>
      <c r="H93" s="467"/>
      <c r="I93" s="466">
        <v>66</v>
      </c>
      <c r="J93" s="44">
        <v>3078.1</v>
      </c>
      <c r="K93" s="872"/>
      <c r="L93" s="880"/>
    </row>
    <row r="94" spans="1:12" x14ac:dyDescent="0.3">
      <c r="A94" s="871">
        <v>282</v>
      </c>
      <c r="B94" s="873">
        <v>12908.5</v>
      </c>
      <c r="C94" s="873" t="s">
        <v>5794</v>
      </c>
      <c r="D94" s="873">
        <f>+I94+I95</f>
        <v>282</v>
      </c>
      <c r="E94" s="873">
        <f>+J94+J95</f>
        <v>12985.599999999999</v>
      </c>
      <c r="F94" s="465" t="s">
        <v>5795</v>
      </c>
      <c r="G94" s="465">
        <v>19861</v>
      </c>
      <c r="H94" s="40"/>
      <c r="I94" s="465">
        <v>200</v>
      </c>
      <c r="J94" s="41">
        <v>9139.4</v>
      </c>
      <c r="K94" s="871">
        <f t="shared" ref="K94" si="70">+A94-D94</f>
        <v>0</v>
      </c>
      <c r="L94" s="879">
        <f t="shared" ref="L94" si="71">((+B94/A94)-(E94/D94))/(B94/A94)</f>
        <v>-5.9728086144787002E-3</v>
      </c>
    </row>
    <row r="95" spans="1:12" ht="15" thickBot="1" x14ac:dyDescent="0.35">
      <c r="A95" s="872"/>
      <c r="B95" s="874"/>
      <c r="C95" s="874"/>
      <c r="D95" s="874"/>
      <c r="E95" s="874"/>
      <c r="F95" s="466" t="s">
        <v>5795</v>
      </c>
      <c r="G95" s="466">
        <v>19861</v>
      </c>
      <c r="H95" s="467"/>
      <c r="I95" s="466">
        <v>82</v>
      </c>
      <c r="J95" s="44">
        <v>3846.2</v>
      </c>
      <c r="K95" s="872"/>
      <c r="L95" s="880"/>
    </row>
    <row r="96" spans="1:12" ht="15" thickBot="1" x14ac:dyDescent="0.35">
      <c r="A96" s="175">
        <v>261</v>
      </c>
      <c r="B96" s="8">
        <v>12042.6</v>
      </c>
      <c r="C96" s="8" t="s">
        <v>5925</v>
      </c>
      <c r="D96" s="8">
        <f>+I96</f>
        <v>261</v>
      </c>
      <c r="E96" s="8">
        <f>+J96</f>
        <v>11909</v>
      </c>
      <c r="F96" s="45" t="s">
        <v>5926</v>
      </c>
      <c r="G96" s="45">
        <v>19921</v>
      </c>
      <c r="H96" s="14"/>
      <c r="I96" s="45">
        <v>261</v>
      </c>
      <c r="J96" s="46">
        <v>11909</v>
      </c>
      <c r="K96" s="219">
        <f t="shared" ref="K96:K97" si="72">+A96-D96</f>
        <v>0</v>
      </c>
      <c r="L96" s="31">
        <f t="shared" ref="L96:L97" si="73">((+B96/A96)-(E96/D96))/(B96/A96)</f>
        <v>1.1093949811502524E-2</v>
      </c>
    </row>
    <row r="97" spans="1:12" ht="15" thickBot="1" x14ac:dyDescent="0.35">
      <c r="A97" s="175">
        <f>495-100</f>
        <v>395</v>
      </c>
      <c r="B97" s="8">
        <f>18800.6-3798</f>
        <v>15002.599999999999</v>
      </c>
      <c r="C97" s="8" t="s">
        <v>5927</v>
      </c>
      <c r="D97" s="8">
        <v>300</v>
      </c>
      <c r="E97" s="8">
        <v>11134.7</v>
      </c>
      <c r="F97" s="45" t="s">
        <v>5928</v>
      </c>
      <c r="G97" s="45">
        <v>19961</v>
      </c>
      <c r="H97" s="14"/>
      <c r="I97" s="45">
        <v>101</v>
      </c>
      <c r="J97" s="45">
        <v>3738.9</v>
      </c>
      <c r="K97" s="219">
        <f t="shared" si="72"/>
        <v>95</v>
      </c>
      <c r="L97" s="31">
        <f t="shared" si="73"/>
        <v>2.2790160816569396E-2</v>
      </c>
    </row>
    <row r="98" spans="1:12" x14ac:dyDescent="0.3">
      <c r="A98" s="15"/>
      <c r="B98" s="15"/>
      <c r="C98" s="15"/>
      <c r="D98" s="15"/>
      <c r="E98" s="15"/>
      <c r="F98" s="50"/>
      <c r="G98" s="50"/>
      <c r="I98" s="50"/>
      <c r="J98" s="50"/>
      <c r="K98" s="50"/>
      <c r="L98" s="270"/>
    </row>
    <row r="99" spans="1:12" x14ac:dyDescent="0.3">
      <c r="A99" s="50">
        <f>SUM(A5:A78)</f>
        <v>14979</v>
      </c>
      <c r="B99" s="50">
        <f>SUM(B5:B78)</f>
        <v>743328.00000000012</v>
      </c>
      <c r="C99" s="50"/>
      <c r="D99" s="50">
        <f>SUM(D5:D78)</f>
        <v>14951</v>
      </c>
      <c r="E99" s="50">
        <f>SUM(E5:E78)</f>
        <v>721754.15</v>
      </c>
    </row>
  </sheetData>
  <mergeCells count="152">
    <mergeCell ref="A62:A63"/>
    <mergeCell ref="B62:B63"/>
    <mergeCell ref="C62:C63"/>
    <mergeCell ref="D62:D63"/>
    <mergeCell ref="E62:E63"/>
    <mergeCell ref="K62:K63"/>
    <mergeCell ref="L62:L63"/>
    <mergeCell ref="K53:K54"/>
    <mergeCell ref="L53:L54"/>
    <mergeCell ref="A53:A54"/>
    <mergeCell ref="B53:B54"/>
    <mergeCell ref="C53:C54"/>
    <mergeCell ref="D53:D54"/>
    <mergeCell ref="E53:E54"/>
    <mergeCell ref="B49:B50"/>
    <mergeCell ref="A49:A50"/>
    <mergeCell ref="D49:D50"/>
    <mergeCell ref="E49:E50"/>
    <mergeCell ref="A47:A48"/>
    <mergeCell ref="B47:B48"/>
    <mergeCell ref="C47:C48"/>
    <mergeCell ref="D47:D48"/>
    <mergeCell ref="E47:E48"/>
    <mergeCell ref="C44:C46"/>
    <mergeCell ref="D44:D46"/>
    <mergeCell ref="E44:E46"/>
    <mergeCell ref="K44:K46"/>
    <mergeCell ref="L44:L46"/>
    <mergeCell ref="K47:K48"/>
    <mergeCell ref="K49:K50"/>
    <mergeCell ref="L47:L48"/>
    <mergeCell ref="L49:L50"/>
    <mergeCell ref="C49:C50"/>
    <mergeCell ref="K12:K14"/>
    <mergeCell ref="L12:L14"/>
    <mergeCell ref="A12:A14"/>
    <mergeCell ref="B12:B14"/>
    <mergeCell ref="C12:C14"/>
    <mergeCell ref="D12:D14"/>
    <mergeCell ref="E12:E14"/>
    <mergeCell ref="K34:K35"/>
    <mergeCell ref="L34:L35"/>
    <mergeCell ref="A34:A35"/>
    <mergeCell ref="B34:B35"/>
    <mergeCell ref="C34:C35"/>
    <mergeCell ref="D34:D35"/>
    <mergeCell ref="E34:E35"/>
    <mergeCell ref="K15:K17"/>
    <mergeCell ref="L15:L17"/>
    <mergeCell ref="K18:K19"/>
    <mergeCell ref="L18:L19"/>
    <mergeCell ref="A18:A19"/>
    <mergeCell ref="B18:B19"/>
    <mergeCell ref="C18:C19"/>
    <mergeCell ref="D18:D19"/>
    <mergeCell ref="E18:E19"/>
    <mergeCell ref="A15:A17"/>
    <mergeCell ref="K9:K10"/>
    <mergeCell ref="L9:L10"/>
    <mergeCell ref="A3:C3"/>
    <mergeCell ref="D3:E3"/>
    <mergeCell ref="G3:G4"/>
    <mergeCell ref="K3:K4"/>
    <mergeCell ref="L3:L4"/>
    <mergeCell ref="A9:A10"/>
    <mergeCell ref="B9:B10"/>
    <mergeCell ref="C9:C10"/>
    <mergeCell ref="D9:D10"/>
    <mergeCell ref="E9:E10"/>
    <mergeCell ref="B15:B17"/>
    <mergeCell ref="C15:C17"/>
    <mergeCell ref="D15:D17"/>
    <mergeCell ref="E15:E17"/>
    <mergeCell ref="K57:K58"/>
    <mergeCell ref="L57:L58"/>
    <mergeCell ref="A57:A58"/>
    <mergeCell ref="B57:B58"/>
    <mergeCell ref="C57:C58"/>
    <mergeCell ref="D57:D58"/>
    <mergeCell ref="E57:E58"/>
    <mergeCell ref="K30:K32"/>
    <mergeCell ref="L30:L32"/>
    <mergeCell ref="A30:A32"/>
    <mergeCell ref="B30:B32"/>
    <mergeCell ref="C30:C32"/>
    <mergeCell ref="D30:D32"/>
    <mergeCell ref="E30:E32"/>
    <mergeCell ref="K37:K38"/>
    <mergeCell ref="L37:L38"/>
    <mergeCell ref="A37:A38"/>
    <mergeCell ref="B37:B38"/>
    <mergeCell ref="C37:C38"/>
    <mergeCell ref="D37:D38"/>
    <mergeCell ref="E37:E38"/>
    <mergeCell ref="K39:K40"/>
    <mergeCell ref="L39:L40"/>
    <mergeCell ref="K41:K42"/>
    <mergeCell ref="A69:A70"/>
    <mergeCell ref="B69:B70"/>
    <mergeCell ref="C69:C70"/>
    <mergeCell ref="D69:D70"/>
    <mergeCell ref="E69:E70"/>
    <mergeCell ref="K69:K70"/>
    <mergeCell ref="L69:L70"/>
    <mergeCell ref="L41:L42"/>
    <mergeCell ref="A41:A42"/>
    <mergeCell ref="B41:B42"/>
    <mergeCell ref="C41:C42"/>
    <mergeCell ref="D41:D42"/>
    <mergeCell ref="E41:E42"/>
    <mergeCell ref="A39:A40"/>
    <mergeCell ref="B39:B40"/>
    <mergeCell ref="C39:C40"/>
    <mergeCell ref="D39:D40"/>
    <mergeCell ref="E39:E40"/>
    <mergeCell ref="A44:A46"/>
    <mergeCell ref="B44:B46"/>
    <mergeCell ref="A90:A91"/>
    <mergeCell ref="B90:B91"/>
    <mergeCell ref="C90:C91"/>
    <mergeCell ref="D90:D91"/>
    <mergeCell ref="E90:E91"/>
    <mergeCell ref="K90:K91"/>
    <mergeCell ref="L90:L91"/>
    <mergeCell ref="K82:K83"/>
    <mergeCell ref="L82:L83"/>
    <mergeCell ref="K84:K85"/>
    <mergeCell ref="L84:L85"/>
    <mergeCell ref="A82:A83"/>
    <mergeCell ref="B82:B83"/>
    <mergeCell ref="C82:C83"/>
    <mergeCell ref="D82:D83"/>
    <mergeCell ref="E82:E83"/>
    <mergeCell ref="A84:A85"/>
    <mergeCell ref="B84:B85"/>
    <mergeCell ref="C84:C85"/>
    <mergeCell ref="D84:D85"/>
    <mergeCell ref="E84:E85"/>
    <mergeCell ref="K92:K93"/>
    <mergeCell ref="L92:L93"/>
    <mergeCell ref="K94:K95"/>
    <mergeCell ref="L94:L95"/>
    <mergeCell ref="A92:A93"/>
    <mergeCell ref="B92:B93"/>
    <mergeCell ref="C92:C93"/>
    <mergeCell ref="D92:D93"/>
    <mergeCell ref="E92:E93"/>
    <mergeCell ref="A94:A95"/>
    <mergeCell ref="B94:B95"/>
    <mergeCell ref="C94:C95"/>
    <mergeCell ref="D94:D95"/>
    <mergeCell ref="E94:E9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44"/>
  <sheetViews>
    <sheetView topLeftCell="A13" zoomScale="80" zoomScaleNormal="80" workbookViewId="0">
      <selection activeCell="L50" sqref="L50"/>
    </sheetView>
  </sheetViews>
  <sheetFormatPr baseColWidth="10" defaultColWidth="8.88671875" defaultRowHeight="14.4" x14ac:dyDescent="0.3"/>
  <cols>
    <col min="2" max="2" width="10.33203125" bestFit="1" customWidth="1"/>
    <col min="3" max="3" width="10.6640625" customWidth="1"/>
    <col min="4" max="4" width="8.33203125" customWidth="1"/>
    <col min="5" max="5" width="11.88671875" customWidth="1"/>
    <col min="8" max="10" width="0" hidden="1" customWidth="1"/>
    <col min="11" max="11" width="13.88671875" bestFit="1" customWidth="1"/>
    <col min="12" max="12" width="12" bestFit="1" customWidth="1"/>
  </cols>
  <sheetData>
    <row r="1" spans="1:12" ht="23.4" x14ac:dyDescent="0.3">
      <c r="A1" s="1" t="s">
        <v>929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1"/>
      <c r="K2" s="1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94" t="s">
        <v>4</v>
      </c>
      <c r="D4" s="70" t="s">
        <v>7</v>
      </c>
      <c r="E4" s="71" t="s">
        <v>6</v>
      </c>
      <c r="F4" s="72" t="s">
        <v>8</v>
      </c>
      <c r="G4" s="923"/>
      <c r="H4" s="7" t="s">
        <v>9</v>
      </c>
      <c r="I4" s="6" t="s">
        <v>5</v>
      </c>
      <c r="J4" s="6" t="s">
        <v>10</v>
      </c>
      <c r="K4" s="916"/>
      <c r="L4" s="985"/>
    </row>
    <row r="5" spans="1:12" ht="15" thickBot="1" x14ac:dyDescent="0.35">
      <c r="A5" s="190">
        <v>191</v>
      </c>
      <c r="B5" s="161">
        <v>9608</v>
      </c>
      <c r="C5" s="161" t="s">
        <v>927</v>
      </c>
      <c r="D5" s="8">
        <f>+I5</f>
        <v>191</v>
      </c>
      <c r="E5" s="8">
        <f>+J5</f>
        <v>9259.6</v>
      </c>
      <c r="F5" s="45" t="s">
        <v>928</v>
      </c>
      <c r="G5" s="45">
        <v>17581</v>
      </c>
      <c r="H5" s="14"/>
      <c r="I5" s="45">
        <v>191</v>
      </c>
      <c r="J5" s="46">
        <v>9259.6</v>
      </c>
      <c r="K5" s="219">
        <f>+A5-D5</f>
        <v>0</v>
      </c>
      <c r="L5" s="53">
        <f t="shared" ref="L5:L7" si="0">(+B5-E5)/B5</f>
        <v>3.6261448792672735E-2</v>
      </c>
    </row>
    <row r="6" spans="1:12" ht="15" thickBot="1" x14ac:dyDescent="0.35">
      <c r="A6" s="190">
        <v>250</v>
      </c>
      <c r="B6" s="161">
        <v>12516.25</v>
      </c>
      <c r="C6" s="161" t="s">
        <v>999</v>
      </c>
      <c r="D6" s="8">
        <f>+I6</f>
        <v>250</v>
      </c>
      <c r="E6" s="8">
        <f>+J6</f>
        <v>12079.5</v>
      </c>
      <c r="F6" s="45" t="s">
        <v>1000</v>
      </c>
      <c r="G6" s="45">
        <v>17721</v>
      </c>
      <c r="H6" s="8"/>
      <c r="I6" s="45">
        <v>250</v>
      </c>
      <c r="J6" s="46">
        <v>12079.5</v>
      </c>
      <c r="K6" s="219">
        <f>+A6-D6</f>
        <v>0</v>
      </c>
      <c r="L6" s="53">
        <f t="shared" si="0"/>
        <v>3.4894636971936482E-2</v>
      </c>
    </row>
    <row r="7" spans="1:12" x14ac:dyDescent="0.3">
      <c r="A7" s="940">
        <v>281</v>
      </c>
      <c r="B7" s="913">
        <v>14216</v>
      </c>
      <c r="C7" s="913" t="s">
        <v>1146</v>
      </c>
      <c r="D7" s="873">
        <v>281</v>
      </c>
      <c r="E7" s="873">
        <v>13732.5</v>
      </c>
      <c r="F7" s="12" t="s">
        <v>1147</v>
      </c>
      <c r="G7" s="12">
        <v>17811</v>
      </c>
      <c r="H7" s="12"/>
      <c r="I7" s="39">
        <v>100</v>
      </c>
      <c r="J7" s="41">
        <v>4928.1000000000004</v>
      </c>
      <c r="K7" s="1045">
        <f>+A7-D7</f>
        <v>0</v>
      </c>
      <c r="L7" s="879">
        <f t="shared" si="0"/>
        <v>3.4010973550928532E-2</v>
      </c>
    </row>
    <row r="8" spans="1:12" ht="15" thickBot="1" x14ac:dyDescent="0.35">
      <c r="A8" s="941"/>
      <c r="B8" s="914"/>
      <c r="C8" s="914"/>
      <c r="D8" s="874"/>
      <c r="E8" s="874"/>
      <c r="F8" s="10" t="s">
        <v>1147</v>
      </c>
      <c r="G8" s="10">
        <v>17811</v>
      </c>
      <c r="H8" s="10"/>
      <c r="I8" s="42">
        <v>164</v>
      </c>
      <c r="J8" s="44">
        <v>8005.9</v>
      </c>
      <c r="K8" s="1046"/>
      <c r="L8" s="880"/>
    </row>
    <row r="9" spans="1:12" ht="15" thickBot="1" x14ac:dyDescent="0.35">
      <c r="A9" s="175">
        <v>250</v>
      </c>
      <c r="B9" s="8">
        <v>12340.75</v>
      </c>
      <c r="C9" s="8" t="s">
        <v>1332</v>
      </c>
      <c r="D9" s="8">
        <v>248</v>
      </c>
      <c r="E9" s="8">
        <v>11781.1</v>
      </c>
      <c r="F9" s="8" t="s">
        <v>1333</v>
      </c>
      <c r="G9" s="8">
        <v>17851</v>
      </c>
      <c r="H9" s="8"/>
      <c r="I9" s="8">
        <v>200</v>
      </c>
      <c r="J9" s="9">
        <v>9508.2000000000007</v>
      </c>
      <c r="K9" s="219">
        <f>+A9-D9</f>
        <v>2</v>
      </c>
      <c r="L9" s="53">
        <f t="shared" ref="L9" si="1">((+B9/A9)-(E9/D9))/(B9/A9)</f>
        <v>3.7650963598829662E-2</v>
      </c>
    </row>
    <row r="10" spans="1:12" ht="15" thickBot="1" x14ac:dyDescent="0.35">
      <c r="A10" s="175">
        <v>250</v>
      </c>
      <c r="B10" s="8">
        <v>11585.5</v>
      </c>
      <c r="C10" s="8" t="s">
        <v>1439</v>
      </c>
      <c r="D10" s="8">
        <v>233</v>
      </c>
      <c r="E10" s="8">
        <v>11105.9</v>
      </c>
      <c r="F10" s="8" t="s">
        <v>1440</v>
      </c>
      <c r="G10" s="8">
        <v>17931</v>
      </c>
      <c r="H10" s="8"/>
      <c r="I10" s="8">
        <v>133</v>
      </c>
      <c r="J10" s="9">
        <v>6385.3</v>
      </c>
      <c r="K10" s="219">
        <f>+A10-D10</f>
        <v>17</v>
      </c>
      <c r="L10" s="53">
        <f t="shared" ref="L10" si="2">((+B10/A10)-(E10/D10))/(B10/A10)</f>
        <v>-2.8544449245884698E-2</v>
      </c>
    </row>
    <row r="11" spans="1:12" x14ac:dyDescent="0.3">
      <c r="A11" s="871">
        <f>+D11</f>
        <v>312</v>
      </c>
      <c r="B11" s="873">
        <v>15404.25</v>
      </c>
      <c r="C11" s="873" t="s">
        <v>1721</v>
      </c>
      <c r="D11" s="873">
        <f>+I11+I12</f>
        <v>312</v>
      </c>
      <c r="E11" s="873">
        <f>+J11+J12</f>
        <v>14779.2</v>
      </c>
      <c r="F11" s="12" t="s">
        <v>1722</v>
      </c>
      <c r="G11" s="12">
        <v>18011</v>
      </c>
      <c r="H11" s="12"/>
      <c r="I11" s="12">
        <v>200</v>
      </c>
      <c r="J11" s="13">
        <v>9285</v>
      </c>
      <c r="K11" s="1045">
        <f>+A11-D11</f>
        <v>0</v>
      </c>
      <c r="L11" s="879">
        <f t="shared" ref="L11" si="3">(+B11-E11)/B11</f>
        <v>4.0576464287453089E-2</v>
      </c>
    </row>
    <row r="12" spans="1:12" ht="15" thickBot="1" x14ac:dyDescent="0.35">
      <c r="A12" s="872"/>
      <c r="B12" s="874"/>
      <c r="C12" s="874"/>
      <c r="D12" s="874"/>
      <c r="E12" s="874"/>
      <c r="F12" s="10" t="s">
        <v>1722</v>
      </c>
      <c r="G12" s="10">
        <v>18011</v>
      </c>
      <c r="H12" s="10"/>
      <c r="I12" s="10">
        <v>112</v>
      </c>
      <c r="J12" s="11">
        <v>5494.2</v>
      </c>
      <c r="K12" s="1046"/>
      <c r="L12" s="880"/>
    </row>
    <row r="13" spans="1:12" ht="15" thickBot="1" x14ac:dyDescent="0.35">
      <c r="A13" s="175">
        <v>250</v>
      </c>
      <c r="B13" s="8">
        <v>12334</v>
      </c>
      <c r="C13" s="8" t="s">
        <v>1890</v>
      </c>
      <c r="D13" s="8">
        <v>250</v>
      </c>
      <c r="E13" s="8">
        <v>11914.9</v>
      </c>
      <c r="F13" s="8" t="s">
        <v>1891</v>
      </c>
      <c r="G13" s="9">
        <v>18081</v>
      </c>
      <c r="H13" s="15"/>
      <c r="I13" s="15">
        <v>200</v>
      </c>
      <c r="J13" s="15">
        <v>9485</v>
      </c>
      <c r="K13" s="219">
        <f>+A13-D13</f>
        <v>0</v>
      </c>
      <c r="L13" s="53">
        <f t="shared" ref="L13:L18" si="4">(+B13-E13)/B13</f>
        <v>3.3979244365169477E-2</v>
      </c>
    </row>
    <row r="14" spans="1:12" ht="15" thickBot="1" x14ac:dyDescent="0.35">
      <c r="A14" s="175">
        <v>250</v>
      </c>
      <c r="B14" s="8">
        <v>12115.75</v>
      </c>
      <c r="C14" s="8" t="s">
        <v>2078</v>
      </c>
      <c r="D14" s="8">
        <f>+I14+95</f>
        <v>250</v>
      </c>
      <c r="E14" s="8">
        <f>+J14+4438.4</f>
        <v>11561.4</v>
      </c>
      <c r="F14" s="8" t="s">
        <v>2079</v>
      </c>
      <c r="G14" s="9">
        <v>18121</v>
      </c>
      <c r="H14" s="15"/>
      <c r="I14" s="15">
        <v>155</v>
      </c>
      <c r="J14" s="15">
        <v>7123</v>
      </c>
      <c r="K14" s="219">
        <f>+A14-D14</f>
        <v>0</v>
      </c>
      <c r="L14" s="53">
        <f t="shared" si="4"/>
        <v>4.5754493118461539E-2</v>
      </c>
    </row>
    <row r="15" spans="1:12" ht="15" thickBot="1" x14ac:dyDescent="0.35">
      <c r="A15" s="199">
        <v>287</v>
      </c>
      <c r="B15" s="10">
        <v>14632.25</v>
      </c>
      <c r="C15" s="10" t="s">
        <v>2370</v>
      </c>
      <c r="D15" s="10">
        <v>287</v>
      </c>
      <c r="E15" s="10">
        <v>14098.7</v>
      </c>
      <c r="F15" s="10" t="s">
        <v>2371</v>
      </c>
      <c r="G15" s="10">
        <v>18351</v>
      </c>
      <c r="H15" s="10"/>
      <c r="I15" s="10">
        <v>100</v>
      </c>
      <c r="J15" s="11">
        <v>4759.7</v>
      </c>
      <c r="K15" s="219">
        <f>+A15-D15</f>
        <v>0</v>
      </c>
      <c r="L15" s="53">
        <f t="shared" si="4"/>
        <v>3.6463975123443029E-2</v>
      </c>
    </row>
    <row r="16" spans="1:12" x14ac:dyDescent="0.3">
      <c r="A16" s="871">
        <v>369</v>
      </c>
      <c r="B16" s="873">
        <v>18282.5</v>
      </c>
      <c r="C16" s="873" t="s">
        <v>2699</v>
      </c>
      <c r="D16" s="873">
        <v>369</v>
      </c>
      <c r="E16" s="873">
        <v>17608.099999999999</v>
      </c>
      <c r="F16" s="12" t="s">
        <v>2700</v>
      </c>
      <c r="G16" s="12">
        <v>18441</v>
      </c>
      <c r="H16" s="12"/>
      <c r="I16" s="12">
        <v>100</v>
      </c>
      <c r="J16" s="13">
        <v>4570.5</v>
      </c>
      <c r="K16" s="1045">
        <f>+A16-D16</f>
        <v>0</v>
      </c>
      <c r="L16" s="879">
        <f t="shared" si="4"/>
        <v>3.6887734172022506E-2</v>
      </c>
    </row>
    <row r="17" spans="1:12" ht="15" thickBot="1" x14ac:dyDescent="0.35">
      <c r="A17" s="872"/>
      <c r="B17" s="874"/>
      <c r="C17" s="874"/>
      <c r="D17" s="874"/>
      <c r="E17" s="874"/>
      <c r="F17" s="10" t="s">
        <v>2700</v>
      </c>
      <c r="G17" s="10">
        <v>18441</v>
      </c>
      <c r="H17" s="10"/>
      <c r="I17" s="10">
        <v>101</v>
      </c>
      <c r="J17" s="11">
        <v>4837.7</v>
      </c>
      <c r="K17" s="1046"/>
      <c r="L17" s="880"/>
    </row>
    <row r="18" spans="1:12" ht="15" thickBot="1" x14ac:dyDescent="0.35">
      <c r="A18" s="175">
        <v>92</v>
      </c>
      <c r="B18" s="8">
        <v>4657</v>
      </c>
      <c r="C18" s="8" t="s">
        <v>2966</v>
      </c>
      <c r="D18" s="8">
        <f>+I18</f>
        <v>92</v>
      </c>
      <c r="E18" s="8">
        <f>+J18</f>
        <v>4590.8</v>
      </c>
      <c r="F18" s="8" t="s">
        <v>2967</v>
      </c>
      <c r="G18" s="8">
        <v>18551</v>
      </c>
      <c r="H18" s="8"/>
      <c r="I18" s="8">
        <v>92</v>
      </c>
      <c r="J18" s="9">
        <v>4590.8</v>
      </c>
      <c r="K18" s="219">
        <f>+A18-D18</f>
        <v>0</v>
      </c>
      <c r="L18" s="53">
        <f t="shared" si="4"/>
        <v>1.4215159974232299E-2</v>
      </c>
    </row>
    <row r="19" spans="1:12" x14ac:dyDescent="0.3">
      <c r="A19" s="871">
        <v>247</v>
      </c>
      <c r="B19" s="873">
        <v>12401.75</v>
      </c>
      <c r="C19" s="873" t="s">
        <v>2968</v>
      </c>
      <c r="D19" s="873">
        <f>+I19+I20</f>
        <v>273</v>
      </c>
      <c r="E19" s="873">
        <f>+J19+J20</f>
        <v>13320.3</v>
      </c>
      <c r="F19" s="12" t="s">
        <v>2969</v>
      </c>
      <c r="G19" s="12">
        <v>18601</v>
      </c>
      <c r="H19" s="12"/>
      <c r="I19" s="12">
        <v>100</v>
      </c>
      <c r="J19" s="13">
        <v>5030.8</v>
      </c>
      <c r="K19" s="1045">
        <f>+A19-D19</f>
        <v>-26</v>
      </c>
      <c r="L19" s="879">
        <f t="shared" ref="L19" si="5">((+B19/A19)-(E19/D19))/(B19/A19)</f>
        <v>2.8225855222045355E-2</v>
      </c>
    </row>
    <row r="20" spans="1:12" ht="15" thickBot="1" x14ac:dyDescent="0.35">
      <c r="A20" s="872"/>
      <c r="B20" s="874"/>
      <c r="C20" s="874"/>
      <c r="D20" s="874"/>
      <c r="E20" s="874"/>
      <c r="F20" s="10" t="s">
        <v>2969</v>
      </c>
      <c r="G20" s="10">
        <v>18601</v>
      </c>
      <c r="H20" s="10"/>
      <c r="I20" s="10">
        <v>173</v>
      </c>
      <c r="J20" s="11">
        <v>8289.5</v>
      </c>
      <c r="K20" s="1046"/>
      <c r="L20" s="880"/>
    </row>
    <row r="21" spans="1:12" x14ac:dyDescent="0.3">
      <c r="A21" s="871">
        <v>275</v>
      </c>
      <c r="B21" s="873">
        <v>13981.25</v>
      </c>
      <c r="C21" s="873" t="s">
        <v>3126</v>
      </c>
      <c r="D21" s="873">
        <f>+I21+I22</f>
        <v>275</v>
      </c>
      <c r="E21" s="873">
        <f>+J21+J22</f>
        <v>13539.099999999999</v>
      </c>
      <c r="F21" s="12" t="s">
        <v>3127</v>
      </c>
      <c r="G21" s="12">
        <v>18701</v>
      </c>
      <c r="H21" s="12"/>
      <c r="I21" s="12">
        <v>200</v>
      </c>
      <c r="J21" s="13">
        <v>9853.4</v>
      </c>
      <c r="K21" s="1045">
        <f>+A21-D21</f>
        <v>0</v>
      </c>
      <c r="L21" s="879">
        <f t="shared" ref="L21" si="6">((+B21/A21)-(E21/D21))/(B21/A21)</f>
        <v>3.1624497094322891E-2</v>
      </c>
    </row>
    <row r="22" spans="1:12" ht="15" thickBot="1" x14ac:dyDescent="0.35">
      <c r="A22" s="872"/>
      <c r="B22" s="874"/>
      <c r="C22" s="874"/>
      <c r="D22" s="874"/>
      <c r="E22" s="874"/>
      <c r="F22" s="10" t="s">
        <v>3127</v>
      </c>
      <c r="G22" s="10">
        <v>18701</v>
      </c>
      <c r="H22" s="10"/>
      <c r="I22" s="10">
        <v>75</v>
      </c>
      <c r="J22" s="11">
        <v>3685.7</v>
      </c>
      <c r="K22" s="1046"/>
      <c r="L22" s="880"/>
    </row>
    <row r="23" spans="1:12" x14ac:dyDescent="0.3">
      <c r="A23" s="871">
        <v>275</v>
      </c>
      <c r="B23" s="873">
        <v>14403.75</v>
      </c>
      <c r="C23" s="873" t="s">
        <v>3258</v>
      </c>
      <c r="D23" s="873">
        <f>+I23+I24</f>
        <v>275</v>
      </c>
      <c r="E23" s="873">
        <f>+J23+J24</f>
        <v>14066.900000000001</v>
      </c>
      <c r="F23" s="12" t="s">
        <v>3259</v>
      </c>
      <c r="G23" s="12">
        <v>18741</v>
      </c>
      <c r="H23" s="12"/>
      <c r="I23" s="12">
        <v>156</v>
      </c>
      <c r="J23" s="13">
        <v>8066.1</v>
      </c>
      <c r="K23" s="1045">
        <f>+A23-D23</f>
        <v>0</v>
      </c>
      <c r="L23" s="879">
        <f t="shared" ref="L23" si="7">((+B23/A23)-(E23/D23))/(B23/A23)</f>
        <v>2.3386270936388013E-2</v>
      </c>
    </row>
    <row r="24" spans="1:12" ht="15" thickBot="1" x14ac:dyDescent="0.35">
      <c r="A24" s="872"/>
      <c r="B24" s="874"/>
      <c r="C24" s="874"/>
      <c r="D24" s="874"/>
      <c r="E24" s="874"/>
      <c r="F24" s="10" t="s">
        <v>3259</v>
      </c>
      <c r="G24" s="10">
        <v>18741</v>
      </c>
      <c r="H24" s="10"/>
      <c r="I24" s="10">
        <v>119</v>
      </c>
      <c r="J24" s="11">
        <v>6000.8</v>
      </c>
      <c r="K24" s="1046"/>
      <c r="L24" s="880"/>
    </row>
    <row r="25" spans="1:12" ht="15" thickBot="1" x14ac:dyDescent="0.35">
      <c r="A25" s="313">
        <v>275</v>
      </c>
      <c r="B25" s="27">
        <v>14291.5</v>
      </c>
      <c r="C25" s="27" t="s">
        <v>3495</v>
      </c>
      <c r="D25" s="8">
        <f>+I25</f>
        <v>265</v>
      </c>
      <c r="E25" s="8">
        <f>+J25</f>
        <v>13433.7</v>
      </c>
      <c r="F25" s="62" t="s">
        <v>3496</v>
      </c>
      <c r="G25" s="45">
        <v>18841</v>
      </c>
      <c r="H25" s="14"/>
      <c r="I25" s="45">
        <v>265</v>
      </c>
      <c r="J25" s="46">
        <v>13433.7</v>
      </c>
      <c r="K25" s="219">
        <f>+A25-D25</f>
        <v>10</v>
      </c>
      <c r="L25" s="53">
        <f t="shared" ref="L25" si="8">((+B25/A25)-(E25/D25))/(B25/A25)</f>
        <v>2.4550811638267601E-2</v>
      </c>
    </row>
    <row r="26" spans="1:12" ht="15" thickBot="1" x14ac:dyDescent="0.35">
      <c r="A26" s="175">
        <v>270</v>
      </c>
      <c r="B26" s="8">
        <v>14368.5</v>
      </c>
      <c r="C26" s="8" t="s">
        <v>3625</v>
      </c>
      <c r="D26" s="8">
        <v>270</v>
      </c>
      <c r="E26" s="8">
        <v>14080.8</v>
      </c>
      <c r="F26" s="45" t="s">
        <v>3626</v>
      </c>
      <c r="G26" s="45">
        <v>18931</v>
      </c>
      <c r="H26" s="14"/>
      <c r="I26" s="45">
        <v>102</v>
      </c>
      <c r="J26" s="46">
        <v>5475.4</v>
      </c>
      <c r="K26" s="219">
        <f>+A26-D26</f>
        <v>0</v>
      </c>
      <c r="L26" s="53">
        <f t="shared" ref="L26" si="9">((+B26/A26)-(E26/D26))/(B26/A26)</f>
        <v>2.0022966906775363E-2</v>
      </c>
    </row>
    <row r="27" spans="1:12" ht="15" thickBot="1" x14ac:dyDescent="0.35">
      <c r="A27" s="175">
        <v>281</v>
      </c>
      <c r="B27" s="8">
        <v>14041.25</v>
      </c>
      <c r="C27" s="8" t="s">
        <v>3815</v>
      </c>
      <c r="D27" s="8">
        <f>+I27</f>
        <v>281</v>
      </c>
      <c r="E27" s="8">
        <f>+J27</f>
        <v>13704.2</v>
      </c>
      <c r="F27" s="45" t="s">
        <v>3816</v>
      </c>
      <c r="G27" s="45">
        <v>18991</v>
      </c>
      <c r="H27" s="14"/>
      <c r="I27" s="45">
        <v>281</v>
      </c>
      <c r="J27" s="46">
        <v>13704.2</v>
      </c>
      <c r="K27" s="219">
        <f>+A27-D27</f>
        <v>0</v>
      </c>
      <c r="L27" s="53">
        <f t="shared" ref="L27" si="10">((+B27/A27)-(E27/D27))/(B27/A27)</f>
        <v>2.4004273123831538E-2</v>
      </c>
    </row>
    <row r="28" spans="1:12" ht="15" thickBot="1" x14ac:dyDescent="0.35">
      <c r="A28" s="175">
        <v>178</v>
      </c>
      <c r="B28" s="8">
        <v>8882.75</v>
      </c>
      <c r="C28" s="8" t="s">
        <v>4088</v>
      </c>
      <c r="D28" s="8">
        <f t="shared" ref="D28:E30" si="11">+I28</f>
        <v>178</v>
      </c>
      <c r="E28" s="8">
        <f t="shared" si="11"/>
        <v>8554.2999999999993</v>
      </c>
      <c r="F28" s="45" t="s">
        <v>4089</v>
      </c>
      <c r="G28" s="45">
        <v>19031</v>
      </c>
      <c r="H28" s="14"/>
      <c r="I28" s="45">
        <v>178</v>
      </c>
      <c r="J28" s="46">
        <v>8554.2999999999993</v>
      </c>
      <c r="K28" s="219">
        <f t="shared" ref="K28:K30" si="12">+A28-D28</f>
        <v>0</v>
      </c>
      <c r="L28" s="53">
        <f t="shared" ref="L28:L30" si="13">((+B28/A28)-(E28/D28))/(B28/A28)</f>
        <v>3.6976161661647612E-2</v>
      </c>
    </row>
    <row r="29" spans="1:12" ht="15" thickBot="1" x14ac:dyDescent="0.35">
      <c r="A29" s="175">
        <v>250</v>
      </c>
      <c r="B29" s="8">
        <v>11175.25</v>
      </c>
      <c r="C29" s="8" t="s">
        <v>4090</v>
      </c>
      <c r="D29" s="8">
        <f t="shared" si="11"/>
        <v>250</v>
      </c>
      <c r="E29" s="8">
        <f t="shared" si="11"/>
        <v>11035.5</v>
      </c>
      <c r="F29" s="45" t="s">
        <v>4091</v>
      </c>
      <c r="G29" s="45">
        <v>19051</v>
      </c>
      <c r="H29" s="14"/>
      <c r="I29" s="45">
        <v>250</v>
      </c>
      <c r="J29" s="46">
        <v>11035.5</v>
      </c>
      <c r="K29" s="219">
        <f t="shared" si="12"/>
        <v>0</v>
      </c>
      <c r="L29" s="53">
        <f t="shared" si="13"/>
        <v>1.2505313080244234E-2</v>
      </c>
    </row>
    <row r="30" spans="1:12" ht="15" thickBot="1" x14ac:dyDescent="0.35">
      <c r="A30" s="175">
        <v>161</v>
      </c>
      <c r="B30" s="8">
        <v>7188.25</v>
      </c>
      <c r="C30" s="8" t="s">
        <v>4092</v>
      </c>
      <c r="D30" s="8">
        <f t="shared" si="11"/>
        <v>161</v>
      </c>
      <c r="E30" s="8">
        <f t="shared" si="11"/>
        <v>7121.9</v>
      </c>
      <c r="F30" s="45" t="s">
        <v>4093</v>
      </c>
      <c r="G30" s="45">
        <v>19101</v>
      </c>
      <c r="H30" s="14"/>
      <c r="I30" s="45">
        <v>161</v>
      </c>
      <c r="J30" s="46">
        <v>7121.9</v>
      </c>
      <c r="K30" s="219">
        <f t="shared" si="12"/>
        <v>0</v>
      </c>
      <c r="L30" s="53">
        <f t="shared" si="13"/>
        <v>9.2303411817898154E-3</v>
      </c>
    </row>
    <row r="31" spans="1:12" ht="15" thickBot="1" x14ac:dyDescent="0.35">
      <c r="A31" s="175">
        <v>250</v>
      </c>
      <c r="B31" s="8">
        <v>11434</v>
      </c>
      <c r="C31" s="8" t="s">
        <v>4371</v>
      </c>
      <c r="D31" s="8">
        <v>250</v>
      </c>
      <c r="E31" s="8">
        <v>11471.8</v>
      </c>
      <c r="F31" s="45" t="s">
        <v>4372</v>
      </c>
      <c r="G31" s="46">
        <v>19151</v>
      </c>
      <c r="I31" s="50">
        <v>200</v>
      </c>
      <c r="J31" s="50">
        <v>9155.2999999999993</v>
      </c>
      <c r="K31" s="219">
        <f t="shared" ref="K31" si="14">+A31-D31</f>
        <v>0</v>
      </c>
      <c r="L31" s="53">
        <f t="shared" ref="L31" si="15">((+B31/A31)-(E31/D31))/(B31/A31)</f>
        <v>-3.3059296834004482E-3</v>
      </c>
    </row>
    <row r="32" spans="1:12" ht="15" thickBot="1" x14ac:dyDescent="0.35">
      <c r="A32" s="175">
        <v>250</v>
      </c>
      <c r="B32" s="8">
        <v>11305.75</v>
      </c>
      <c r="C32" s="8" t="s">
        <v>4735</v>
      </c>
      <c r="D32" s="8">
        <f t="shared" ref="D32:E33" si="16">+I32</f>
        <v>250</v>
      </c>
      <c r="E32" s="8">
        <f t="shared" si="16"/>
        <v>11354</v>
      </c>
      <c r="F32" s="45" t="s">
        <v>4736</v>
      </c>
      <c r="G32" s="45">
        <v>19281</v>
      </c>
      <c r="H32" s="14"/>
      <c r="I32" s="45">
        <v>250</v>
      </c>
      <c r="J32" s="46">
        <v>11354</v>
      </c>
      <c r="K32" s="219">
        <f t="shared" ref="K32:K33" si="17">+A32-D32</f>
        <v>0</v>
      </c>
      <c r="L32" s="53">
        <f t="shared" ref="L32:L33" si="18">((+B32/A32)-(E32/D32))/(B32/A32)</f>
        <v>-4.2677398668818489E-3</v>
      </c>
    </row>
    <row r="33" spans="1:12" ht="15" thickBot="1" x14ac:dyDescent="0.35">
      <c r="A33" s="175">
        <v>230</v>
      </c>
      <c r="B33" s="8">
        <v>9089.2000000000007</v>
      </c>
      <c r="C33" s="8" t="s">
        <v>4737</v>
      </c>
      <c r="D33" s="8">
        <f t="shared" si="16"/>
        <v>230</v>
      </c>
      <c r="E33" s="8">
        <f t="shared" si="16"/>
        <v>9050.4</v>
      </c>
      <c r="F33" s="45" t="s">
        <v>4738</v>
      </c>
      <c r="G33" s="45">
        <v>19321</v>
      </c>
      <c r="H33" s="14"/>
      <c r="I33" s="45">
        <v>230</v>
      </c>
      <c r="J33" s="46">
        <v>9050.4</v>
      </c>
      <c r="K33" s="219">
        <f t="shared" si="17"/>
        <v>0</v>
      </c>
      <c r="L33" s="53">
        <f t="shared" si="18"/>
        <v>4.2688025348766381E-3</v>
      </c>
    </row>
    <row r="34" spans="1:12" ht="15" thickBot="1" x14ac:dyDescent="0.35">
      <c r="A34" s="190">
        <v>133</v>
      </c>
      <c r="B34" s="161">
        <v>4679.8999999999996</v>
      </c>
      <c r="C34" s="161" t="s">
        <v>4927</v>
      </c>
      <c r="D34" s="8">
        <f>+I34</f>
        <v>132</v>
      </c>
      <c r="E34" s="8">
        <f>+J34</f>
        <v>4548.8999999999996</v>
      </c>
      <c r="F34" s="45" t="s">
        <v>4928</v>
      </c>
      <c r="G34" s="45">
        <v>19361</v>
      </c>
      <c r="H34" s="14"/>
      <c r="I34" s="45">
        <v>132</v>
      </c>
      <c r="J34" s="46">
        <v>4548.8999999999996</v>
      </c>
      <c r="K34" s="219">
        <f t="shared" ref="K34" si="19">+A34-D34</f>
        <v>1</v>
      </c>
      <c r="L34" s="53">
        <f t="shared" ref="L34" si="20">((+B34/A34)-(E34/D34))/(B34/A34)</f>
        <v>2.062835452971987E-2</v>
      </c>
    </row>
    <row r="35" spans="1:12" ht="15" thickBot="1" x14ac:dyDescent="0.35">
      <c r="A35" s="175">
        <v>220</v>
      </c>
      <c r="B35" s="8">
        <v>9371</v>
      </c>
      <c r="C35" s="8" t="s">
        <v>5023</v>
      </c>
      <c r="D35" s="8">
        <f>+I35</f>
        <v>220</v>
      </c>
      <c r="E35" s="8">
        <f>+J35</f>
        <v>9315</v>
      </c>
      <c r="F35" s="45" t="s">
        <v>5024</v>
      </c>
      <c r="G35" s="45">
        <v>19431</v>
      </c>
      <c r="H35" s="14"/>
      <c r="I35" s="45">
        <v>220</v>
      </c>
      <c r="J35" s="46">
        <v>9315</v>
      </c>
      <c r="K35" s="219">
        <f t="shared" ref="K35" si="21">+A35-D35</f>
        <v>0</v>
      </c>
      <c r="L35" s="53">
        <f t="shared" ref="L35" si="22">((+B35/A35)-(E35/D35))/(B35/A35)</f>
        <v>5.9758830434317673E-3</v>
      </c>
    </row>
    <row r="36" spans="1:12" ht="15" thickBot="1" x14ac:dyDescent="0.35">
      <c r="A36" s="175">
        <v>220</v>
      </c>
      <c r="B36" s="8">
        <v>9813.5</v>
      </c>
      <c r="C36" s="8" t="s">
        <v>5105</v>
      </c>
      <c r="D36" s="8">
        <f t="shared" ref="D36:E37" si="23">+I36</f>
        <v>220</v>
      </c>
      <c r="E36" s="8">
        <f t="shared" si="23"/>
        <v>9717.2000000000007</v>
      </c>
      <c r="F36" s="45" t="s">
        <v>5106</v>
      </c>
      <c r="G36" s="45">
        <v>19531</v>
      </c>
      <c r="H36" s="14"/>
      <c r="I36" s="45">
        <v>220</v>
      </c>
      <c r="J36" s="46">
        <v>9717.2000000000007</v>
      </c>
      <c r="K36" s="219">
        <f t="shared" ref="K36" si="24">+A36-D36</f>
        <v>0</v>
      </c>
      <c r="L36" s="53">
        <f t="shared" ref="L36" si="25">((+B36/A36)-(E36/D36))/(B36/A36)</f>
        <v>9.8130126866051819E-3</v>
      </c>
    </row>
    <row r="37" spans="1:12" ht="15" thickBot="1" x14ac:dyDescent="0.35">
      <c r="A37" s="175">
        <v>200</v>
      </c>
      <c r="B37" s="8">
        <v>9405</v>
      </c>
      <c r="C37" s="8" t="s">
        <v>5242</v>
      </c>
      <c r="D37" s="8">
        <f t="shared" si="23"/>
        <v>200</v>
      </c>
      <c r="E37" s="8">
        <f t="shared" si="23"/>
        <v>9371</v>
      </c>
      <c r="F37" s="45" t="s">
        <v>5243</v>
      </c>
      <c r="G37" s="45">
        <v>19601</v>
      </c>
      <c r="H37" s="14"/>
      <c r="I37" s="45">
        <v>200</v>
      </c>
      <c r="J37" s="46">
        <v>9371</v>
      </c>
      <c r="K37" s="219">
        <f t="shared" ref="K37" si="26">+A37-D37</f>
        <v>0</v>
      </c>
      <c r="L37" s="53">
        <f t="shared" ref="L37" si="27">((+B37/A37)-(E37/D37))/(B37/A37)</f>
        <v>3.6150983519404934E-3</v>
      </c>
    </row>
    <row r="38" spans="1:12" ht="15" thickBot="1" x14ac:dyDescent="0.35">
      <c r="A38" s="175">
        <v>269</v>
      </c>
      <c r="B38" s="8">
        <v>12464.44</v>
      </c>
      <c r="C38" s="8" t="s">
        <v>5342</v>
      </c>
      <c r="D38" s="8">
        <f>+I38+111</f>
        <v>266</v>
      </c>
      <c r="E38" s="8">
        <f>+J38+5138.7</f>
        <v>12588.2</v>
      </c>
      <c r="F38" s="45" t="s">
        <v>5343</v>
      </c>
      <c r="G38" s="45">
        <v>19681</v>
      </c>
      <c r="H38" s="14"/>
      <c r="I38" s="45">
        <v>155</v>
      </c>
      <c r="J38" s="46">
        <v>7449.5</v>
      </c>
      <c r="K38" s="219">
        <f t="shared" ref="K38" si="28">+A38-D38</f>
        <v>3</v>
      </c>
      <c r="L38" s="53">
        <f t="shared" ref="L38" si="29">((+B38/A38)-(E38/D38))/(B38/A38)</f>
        <v>-2.1319223362712549E-2</v>
      </c>
    </row>
    <row r="39" spans="1:12" ht="15" thickBot="1" x14ac:dyDescent="0.35">
      <c r="A39" s="175">
        <v>200</v>
      </c>
      <c r="B39" s="8">
        <f>E39*1.02</f>
        <v>9547.7100000000009</v>
      </c>
      <c r="C39" s="8" t="s">
        <v>5600</v>
      </c>
      <c r="D39" s="8">
        <v>200</v>
      </c>
      <c r="E39" s="8">
        <v>9360.5</v>
      </c>
      <c r="F39" s="45" t="s">
        <v>5601</v>
      </c>
      <c r="G39" s="45">
        <v>19741</v>
      </c>
      <c r="H39" s="14"/>
      <c r="I39" s="45"/>
      <c r="J39" s="45"/>
      <c r="K39" s="219">
        <f t="shared" ref="K39" si="30">+A39-D39</f>
        <v>0</v>
      </c>
      <c r="L39" s="53">
        <f t="shared" ref="L39" si="31">((+B39/A39)-(E39/D39))/(B39/A39)</f>
        <v>1.9607843137254933E-2</v>
      </c>
    </row>
    <row r="40" spans="1:12" ht="15" thickBot="1" x14ac:dyDescent="0.35">
      <c r="A40" s="175">
        <v>200</v>
      </c>
      <c r="B40" s="8">
        <v>9454.75</v>
      </c>
      <c r="C40" s="8" t="s">
        <v>5655</v>
      </c>
      <c r="D40" s="8">
        <v>200</v>
      </c>
      <c r="E40" s="8">
        <v>9580.7999999999993</v>
      </c>
      <c r="F40" s="45" t="s">
        <v>5656</v>
      </c>
      <c r="G40" s="45">
        <v>19811</v>
      </c>
      <c r="H40" s="14"/>
      <c r="I40" s="45">
        <v>120</v>
      </c>
      <c r="J40" s="46">
        <v>5776.3</v>
      </c>
      <c r="K40" s="219">
        <f t="shared" ref="K40" si="32">+A40-D40</f>
        <v>0</v>
      </c>
      <c r="L40" s="53">
        <f t="shared" ref="L40" si="33">((+B40/A40)-(E40/D40))/(B40/A40)</f>
        <v>-1.3331923107432701E-2</v>
      </c>
    </row>
    <row r="41" spans="1:12" ht="15" thickBot="1" x14ac:dyDescent="0.35">
      <c r="A41" s="175">
        <v>211</v>
      </c>
      <c r="B41" s="8">
        <v>9896.75</v>
      </c>
      <c r="C41" s="8" t="s">
        <v>5847</v>
      </c>
      <c r="D41" s="8">
        <f>101+111</f>
        <v>212</v>
      </c>
      <c r="E41" s="8">
        <f>4770.3+5085.1</f>
        <v>9855.4000000000015</v>
      </c>
      <c r="F41" s="45" t="s">
        <v>5848</v>
      </c>
      <c r="G41" s="45">
        <v>19871</v>
      </c>
      <c r="H41" s="14"/>
      <c r="I41" s="45">
        <v>120</v>
      </c>
      <c r="J41" s="46">
        <v>5776.3</v>
      </c>
      <c r="K41" s="219">
        <f t="shared" ref="K41" si="34">+A41-D41</f>
        <v>-1</v>
      </c>
      <c r="L41" s="53">
        <f t="shared" ref="L41" si="35">((+B41/A41)-(E41/D41))/(B41/A41)</f>
        <v>8.8754122160359921E-3</v>
      </c>
    </row>
    <row r="42" spans="1:12" ht="15" thickBot="1" x14ac:dyDescent="0.35">
      <c r="A42" s="175">
        <v>100</v>
      </c>
      <c r="B42" s="8">
        <v>3798</v>
      </c>
      <c r="C42" s="8" t="s">
        <v>5927</v>
      </c>
      <c r="D42" s="8">
        <f t="shared" ref="D42:E42" si="36">+I42</f>
        <v>100</v>
      </c>
      <c r="E42" s="8">
        <f t="shared" si="36"/>
        <v>3704.8</v>
      </c>
      <c r="F42" s="45" t="s">
        <v>5928</v>
      </c>
      <c r="G42" s="45">
        <v>19961</v>
      </c>
      <c r="H42" s="14"/>
      <c r="I42" s="45">
        <v>100</v>
      </c>
      <c r="J42" s="46">
        <v>3704.8</v>
      </c>
      <c r="K42" s="219">
        <f t="shared" ref="K42" si="37">+A42-D42</f>
        <v>0</v>
      </c>
      <c r="L42" s="53">
        <f t="shared" ref="L42" si="38">((+B42/A42)-(E42/D42))/(B42/A42)</f>
        <v>2.4539231174302137E-2</v>
      </c>
    </row>
    <row r="43" spans="1:12" x14ac:dyDescent="0.3">
      <c r="A43" s="463"/>
      <c r="B43" s="463"/>
      <c r="C43" s="463"/>
      <c r="D43" s="463"/>
      <c r="E43" s="463"/>
      <c r="F43" s="364"/>
      <c r="G43" s="364"/>
      <c r="H43" s="363"/>
      <c r="I43" s="364"/>
      <c r="J43" s="364"/>
      <c r="K43" s="364"/>
      <c r="L43" s="395"/>
    </row>
    <row r="44" spans="1:12" x14ac:dyDescent="0.3">
      <c r="A44" s="196">
        <f>SUM(A5:A40)</f>
        <v>7166</v>
      </c>
      <c r="B44" s="264">
        <f>SUM(B5:B40)</f>
        <v>344991.75000000006</v>
      </c>
      <c r="D44" s="196">
        <f>SUM(D5:D40)</f>
        <v>7159</v>
      </c>
      <c r="E44" s="264">
        <f>SUM(E5:E40)</f>
        <v>337726.2</v>
      </c>
    </row>
  </sheetData>
  <mergeCells count="47">
    <mergeCell ref="K21:K22"/>
    <mergeCell ref="L21:L22"/>
    <mergeCell ref="A21:A22"/>
    <mergeCell ref="B21:B22"/>
    <mergeCell ref="C21:C22"/>
    <mergeCell ref="D21:D22"/>
    <mergeCell ref="E21:E22"/>
    <mergeCell ref="K19:K20"/>
    <mergeCell ref="L19:L20"/>
    <mergeCell ref="A19:A20"/>
    <mergeCell ref="B19:B20"/>
    <mergeCell ref="C19:C20"/>
    <mergeCell ref="D19:D20"/>
    <mergeCell ref="E19:E20"/>
    <mergeCell ref="K16:K17"/>
    <mergeCell ref="L16:L17"/>
    <mergeCell ref="A16:A17"/>
    <mergeCell ref="B16:B17"/>
    <mergeCell ref="C16:C17"/>
    <mergeCell ref="D16:D17"/>
    <mergeCell ref="E16:E17"/>
    <mergeCell ref="K11:K12"/>
    <mergeCell ref="L11:L12"/>
    <mergeCell ref="A11:A12"/>
    <mergeCell ref="B11:B12"/>
    <mergeCell ref="C11:C12"/>
    <mergeCell ref="D11:D12"/>
    <mergeCell ref="E11:E12"/>
    <mergeCell ref="K7:K8"/>
    <mergeCell ref="L7:L8"/>
    <mergeCell ref="A7:A8"/>
    <mergeCell ref="B7:B8"/>
    <mergeCell ref="C7:C8"/>
    <mergeCell ref="D7:D8"/>
    <mergeCell ref="E7:E8"/>
    <mergeCell ref="A3:C3"/>
    <mergeCell ref="D3:E3"/>
    <mergeCell ref="G3:G4"/>
    <mergeCell ref="K3:K4"/>
    <mergeCell ref="L3:L4"/>
    <mergeCell ref="K23:K24"/>
    <mergeCell ref="L23:L24"/>
    <mergeCell ref="A23:A24"/>
    <mergeCell ref="B23:B24"/>
    <mergeCell ref="C23:C24"/>
    <mergeCell ref="D23:D24"/>
    <mergeCell ref="E23:E24"/>
  </mergeCells>
  <phoneticPr fontId="15" type="noConversion"/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83"/>
  <sheetViews>
    <sheetView topLeftCell="A55" zoomScale="80" zoomScaleNormal="80" workbookViewId="0">
      <selection activeCell="G94" sqref="G94"/>
    </sheetView>
  </sheetViews>
  <sheetFormatPr baseColWidth="10" defaultColWidth="8.88671875" defaultRowHeight="14.4" x14ac:dyDescent="0.3"/>
  <cols>
    <col min="1" max="1" width="12.88671875" customWidth="1"/>
    <col min="2" max="2" width="12.33203125" bestFit="1" customWidth="1"/>
    <col min="3" max="3" width="13.5546875" customWidth="1"/>
    <col min="4" max="4" width="13.109375" customWidth="1"/>
    <col min="5" max="5" width="13.88671875" customWidth="1"/>
    <col min="8" max="8" width="13.109375" hidden="1" customWidth="1"/>
    <col min="9" max="9" width="6.33203125" hidden="1" customWidth="1"/>
    <col min="10" max="10" width="14.44140625" hidden="1" customWidth="1"/>
    <col min="12" max="12" width="11.33203125" customWidth="1"/>
  </cols>
  <sheetData>
    <row r="1" spans="1:12" ht="24.75" customHeight="1" x14ac:dyDescent="0.65">
      <c r="A1" s="104" t="s">
        <v>253</v>
      </c>
      <c r="D1" s="95"/>
      <c r="E1" s="95"/>
      <c r="F1" s="95"/>
      <c r="G1" s="95"/>
      <c r="H1" s="95"/>
      <c r="I1" s="95"/>
    </row>
    <row r="2" spans="1:12" ht="22.5" customHeight="1" thickBot="1" x14ac:dyDescent="0.35">
      <c r="D2" s="50"/>
      <c r="E2" s="50"/>
      <c r="F2" s="50"/>
      <c r="G2" s="50"/>
    </row>
    <row r="3" spans="1:12" ht="23.25" customHeight="1" x14ac:dyDescent="0.3">
      <c r="A3" s="920" t="s">
        <v>270</v>
      </c>
      <c r="B3" s="921"/>
      <c r="C3" s="922"/>
      <c r="D3" s="920" t="s">
        <v>2</v>
      </c>
      <c r="E3" s="922"/>
      <c r="F3" s="67"/>
      <c r="G3" s="915" t="s">
        <v>3</v>
      </c>
      <c r="H3" s="67" t="s">
        <v>4</v>
      </c>
      <c r="I3" s="68"/>
      <c r="J3" s="1054" t="s">
        <v>254</v>
      </c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94" t="s">
        <v>4</v>
      </c>
      <c r="D4" s="70" t="s">
        <v>7</v>
      </c>
      <c r="E4" s="71" t="s">
        <v>6</v>
      </c>
      <c r="F4" s="72" t="s">
        <v>8</v>
      </c>
      <c r="G4" s="923"/>
      <c r="H4" s="73" t="s">
        <v>9</v>
      </c>
      <c r="I4" s="72" t="s">
        <v>5</v>
      </c>
      <c r="J4" s="1055"/>
      <c r="K4" s="916"/>
      <c r="L4" s="985"/>
    </row>
    <row r="5" spans="1:12" x14ac:dyDescent="0.3">
      <c r="A5" s="891">
        <v>485</v>
      </c>
      <c r="B5" s="894">
        <v>21492.92</v>
      </c>
      <c r="C5" s="894" t="s">
        <v>271</v>
      </c>
      <c r="D5" s="905">
        <f>+I5+I6</f>
        <v>482</v>
      </c>
      <c r="E5" s="905">
        <f>+J5+J6</f>
        <v>20794</v>
      </c>
      <c r="F5" s="29" t="s">
        <v>272</v>
      </c>
      <c r="G5" s="29">
        <v>57431</v>
      </c>
      <c r="H5" s="12"/>
      <c r="I5" s="12">
        <v>250</v>
      </c>
      <c r="J5" s="107">
        <v>11120.1</v>
      </c>
      <c r="K5" s="1050">
        <f>+A5-D5</f>
        <v>3</v>
      </c>
      <c r="L5" s="879">
        <f>((+B5/A5)-(E5/D5))/(B5/A5)</f>
        <v>2.6496947063752854E-2</v>
      </c>
    </row>
    <row r="6" spans="1:12" ht="15" thickBot="1" x14ac:dyDescent="0.35">
      <c r="A6" s="892"/>
      <c r="B6" s="895"/>
      <c r="C6" s="895"/>
      <c r="D6" s="906"/>
      <c r="E6" s="906"/>
      <c r="F6" s="30" t="s">
        <v>272</v>
      </c>
      <c r="G6" s="30">
        <v>57431</v>
      </c>
      <c r="H6" s="15"/>
      <c r="I6" s="15">
        <v>232</v>
      </c>
      <c r="J6" s="108">
        <v>9673.9</v>
      </c>
      <c r="K6" s="1051"/>
      <c r="L6" s="880"/>
    </row>
    <row r="7" spans="1:12" x14ac:dyDescent="0.3">
      <c r="A7" s="891">
        <v>1027</v>
      </c>
      <c r="B7" s="894">
        <v>44026.25</v>
      </c>
      <c r="C7" s="894" t="s">
        <v>273</v>
      </c>
      <c r="D7" s="905">
        <f>+I7+I8</f>
        <v>1025</v>
      </c>
      <c r="E7" s="905">
        <f>+J7+J8</f>
        <v>42455.3</v>
      </c>
      <c r="F7" s="63" t="s">
        <v>274</v>
      </c>
      <c r="G7" s="63">
        <v>57571</v>
      </c>
      <c r="H7" s="39"/>
      <c r="I7" s="39">
        <v>748</v>
      </c>
      <c r="J7" s="106">
        <v>30787.3</v>
      </c>
      <c r="K7" s="1050">
        <f>+A7-D7</f>
        <v>2</v>
      </c>
      <c r="L7" s="879">
        <f>((+B7/A7)-(E7/D7))/(B7/A7)</f>
        <v>3.3800525601065244E-2</v>
      </c>
    </row>
    <row r="8" spans="1:12" ht="15" thickBot="1" x14ac:dyDescent="0.35">
      <c r="A8" s="893"/>
      <c r="B8" s="896"/>
      <c r="C8" s="896"/>
      <c r="D8" s="907"/>
      <c r="E8" s="907"/>
      <c r="F8" s="64" t="s">
        <v>274</v>
      </c>
      <c r="G8" s="64">
        <v>57571</v>
      </c>
      <c r="H8" s="42"/>
      <c r="I8" s="42">
        <v>277</v>
      </c>
      <c r="J8" s="109">
        <v>11668</v>
      </c>
      <c r="K8" s="1051"/>
      <c r="L8" s="880"/>
    </row>
    <row r="9" spans="1:12" x14ac:dyDescent="0.3">
      <c r="A9" s="891">
        <v>858</v>
      </c>
      <c r="B9" s="894">
        <v>38883</v>
      </c>
      <c r="C9" s="894" t="s">
        <v>275</v>
      </c>
      <c r="D9" s="905">
        <f>+I9+I12+I10+I11</f>
        <v>858</v>
      </c>
      <c r="E9" s="905">
        <f>+J9+J12+J10+J11</f>
        <v>37607.699999999997</v>
      </c>
      <c r="F9" s="63" t="s">
        <v>276</v>
      </c>
      <c r="G9" s="63">
        <v>57681</v>
      </c>
      <c r="H9" s="39"/>
      <c r="I9" s="39">
        <v>150</v>
      </c>
      <c r="J9" s="106">
        <v>6277.2</v>
      </c>
      <c r="K9" s="1050">
        <f>+A9-D9</f>
        <v>0</v>
      </c>
      <c r="L9" s="879">
        <f>+(B9-E9)/B9</f>
        <v>3.2798395185556745E-2</v>
      </c>
    </row>
    <row r="10" spans="1:12" x14ac:dyDescent="0.3">
      <c r="A10" s="892"/>
      <c r="B10" s="895"/>
      <c r="C10" s="895"/>
      <c r="D10" s="906"/>
      <c r="E10" s="906"/>
      <c r="F10" s="66" t="s">
        <v>276</v>
      </c>
      <c r="G10" s="66">
        <v>57681</v>
      </c>
      <c r="H10" s="50"/>
      <c r="I10" s="50">
        <v>200</v>
      </c>
      <c r="J10" s="101">
        <v>8792.4</v>
      </c>
      <c r="K10" s="1053"/>
      <c r="L10" s="885"/>
    </row>
    <row r="11" spans="1:12" x14ac:dyDescent="0.3">
      <c r="A11" s="892"/>
      <c r="B11" s="895"/>
      <c r="C11" s="895"/>
      <c r="D11" s="906"/>
      <c r="E11" s="906"/>
      <c r="F11" s="66" t="s">
        <v>276</v>
      </c>
      <c r="G11" s="66">
        <v>57681</v>
      </c>
      <c r="H11" s="50"/>
      <c r="I11" s="50">
        <v>97</v>
      </c>
      <c r="J11" s="101">
        <v>4289.7</v>
      </c>
      <c r="K11" s="1053"/>
      <c r="L11" s="885"/>
    </row>
    <row r="12" spans="1:12" ht="15" thickBot="1" x14ac:dyDescent="0.35">
      <c r="A12" s="893"/>
      <c r="B12" s="896"/>
      <c r="C12" s="896"/>
      <c r="D12" s="907"/>
      <c r="E12" s="907"/>
      <c r="F12" s="64" t="s">
        <v>276</v>
      </c>
      <c r="G12" s="64">
        <v>57681</v>
      </c>
      <c r="H12" s="42"/>
      <c r="I12" s="42">
        <v>411</v>
      </c>
      <c r="J12" s="109">
        <v>18248.400000000001</v>
      </c>
      <c r="K12" s="1051"/>
      <c r="L12" s="880"/>
    </row>
    <row r="13" spans="1:12" x14ac:dyDescent="0.3">
      <c r="A13" s="891">
        <v>250</v>
      </c>
      <c r="B13" s="894">
        <v>10970.5</v>
      </c>
      <c r="C13" s="894" t="s">
        <v>377</v>
      </c>
      <c r="D13" s="905">
        <f>+I13+I14</f>
        <v>250</v>
      </c>
      <c r="E13" s="905">
        <f>+J13+J14</f>
        <v>10524</v>
      </c>
      <c r="F13" s="63" t="s">
        <v>378</v>
      </c>
      <c r="G13" s="63">
        <v>57741</v>
      </c>
      <c r="H13" s="39"/>
      <c r="I13" s="39">
        <v>100</v>
      </c>
      <c r="J13" s="106">
        <v>4341.8</v>
      </c>
      <c r="K13" s="56">
        <f>+A13-D13</f>
        <v>0</v>
      </c>
      <c r="L13" s="911">
        <f>+(B13-E13)/B13</f>
        <v>4.0700059249806297E-2</v>
      </c>
    </row>
    <row r="14" spans="1:12" ht="15" thickBot="1" x14ac:dyDescent="0.35">
      <c r="A14" s="893"/>
      <c r="B14" s="896"/>
      <c r="C14" s="896"/>
      <c r="D14" s="907"/>
      <c r="E14" s="907"/>
      <c r="F14" s="64" t="s">
        <v>378</v>
      </c>
      <c r="G14" s="64">
        <v>57741</v>
      </c>
      <c r="H14" s="42"/>
      <c r="I14" s="42">
        <v>150</v>
      </c>
      <c r="J14" s="109">
        <v>6182.2</v>
      </c>
      <c r="K14" s="55"/>
      <c r="L14" s="912"/>
    </row>
    <row r="15" spans="1:12" ht="15" thickBot="1" x14ac:dyDescent="0.35">
      <c r="A15" s="19">
        <v>250</v>
      </c>
      <c r="B15" s="20">
        <v>10885.25</v>
      </c>
      <c r="C15" s="20" t="s">
        <v>379</v>
      </c>
      <c r="D15" s="27">
        <f>+I15</f>
        <v>250</v>
      </c>
      <c r="E15" s="27">
        <f>+J15</f>
        <v>10482.1</v>
      </c>
      <c r="F15" s="65" t="s">
        <v>380</v>
      </c>
      <c r="G15" s="65">
        <v>57781</v>
      </c>
      <c r="H15" s="45"/>
      <c r="I15" s="45">
        <v>250</v>
      </c>
      <c r="J15" s="142">
        <v>10482.1</v>
      </c>
      <c r="K15" s="54">
        <f t="shared" ref="K15:K22" si="0">+A15-D15</f>
        <v>0</v>
      </c>
      <c r="L15" s="33">
        <f t="shared" ref="L15:L17" si="1">(+B15-E15)/B15</f>
        <v>3.703635653751633E-2</v>
      </c>
    </row>
    <row r="16" spans="1:12" ht="15" thickBot="1" x14ac:dyDescent="0.35">
      <c r="A16" s="19">
        <v>261</v>
      </c>
      <c r="B16" s="20">
        <v>11929</v>
      </c>
      <c r="C16" s="20" t="s">
        <v>381</v>
      </c>
      <c r="D16" s="27">
        <f>+I16</f>
        <v>261</v>
      </c>
      <c r="E16" s="27">
        <f>+J16</f>
        <v>11558.4</v>
      </c>
      <c r="F16" s="65" t="s">
        <v>382</v>
      </c>
      <c r="G16" s="65">
        <v>57801</v>
      </c>
      <c r="H16" s="45"/>
      <c r="I16" s="45">
        <v>261</v>
      </c>
      <c r="J16" s="142">
        <v>11558.4</v>
      </c>
      <c r="K16" s="54">
        <f t="shared" si="0"/>
        <v>0</v>
      </c>
      <c r="L16" s="33">
        <f t="shared" si="1"/>
        <v>3.1067147288121415E-2</v>
      </c>
    </row>
    <row r="17" spans="1:12" ht="15" thickBot="1" x14ac:dyDescent="0.35">
      <c r="A17" s="19">
        <v>250</v>
      </c>
      <c r="B17" s="20">
        <v>11039.5</v>
      </c>
      <c r="C17" s="20" t="s">
        <v>459</v>
      </c>
      <c r="D17" s="27">
        <f t="shared" ref="D17:E17" si="2">+I17</f>
        <v>250</v>
      </c>
      <c r="E17" s="27">
        <f t="shared" si="2"/>
        <v>10771.4</v>
      </c>
      <c r="F17" s="65" t="s">
        <v>460</v>
      </c>
      <c r="G17" s="65">
        <v>57821</v>
      </c>
      <c r="H17" s="45"/>
      <c r="I17" s="45">
        <v>250</v>
      </c>
      <c r="J17" s="157">
        <v>10771.4</v>
      </c>
      <c r="K17" s="54">
        <f t="shared" si="0"/>
        <v>0</v>
      </c>
      <c r="L17" s="33">
        <f t="shared" si="1"/>
        <v>2.4285520177544307E-2</v>
      </c>
    </row>
    <row r="18" spans="1:12" ht="15" thickBot="1" x14ac:dyDescent="0.35">
      <c r="A18" s="19">
        <v>531</v>
      </c>
      <c r="B18" s="20">
        <v>24241.5</v>
      </c>
      <c r="C18" s="20" t="s">
        <v>543</v>
      </c>
      <c r="D18" s="27">
        <f t="shared" ref="D18:D22" si="3">+I18</f>
        <v>531</v>
      </c>
      <c r="E18" s="27">
        <f t="shared" ref="E18:E22" si="4">+J18</f>
        <v>23466.1</v>
      </c>
      <c r="F18" s="65" t="s">
        <v>544</v>
      </c>
      <c r="G18" s="65">
        <v>57871</v>
      </c>
      <c r="H18" s="45"/>
      <c r="I18" s="45">
        <v>531</v>
      </c>
      <c r="J18" s="157">
        <v>23466.1</v>
      </c>
      <c r="K18" s="54">
        <f t="shared" si="0"/>
        <v>0</v>
      </c>
      <c r="L18" s="33">
        <f t="shared" ref="L18" si="5">(+B18-E18)/B18</f>
        <v>3.1986469484149141E-2</v>
      </c>
    </row>
    <row r="19" spans="1:12" ht="15" thickBot="1" x14ac:dyDescent="0.35">
      <c r="A19" s="19">
        <v>635</v>
      </c>
      <c r="B19" s="20">
        <v>29072.75</v>
      </c>
      <c r="C19" s="20" t="s">
        <v>546</v>
      </c>
      <c r="D19" s="27">
        <f t="shared" si="3"/>
        <v>633</v>
      </c>
      <c r="E19" s="27">
        <f t="shared" si="4"/>
        <v>28134</v>
      </c>
      <c r="F19" s="65" t="s">
        <v>545</v>
      </c>
      <c r="G19" s="65">
        <v>57971</v>
      </c>
      <c r="H19" s="45"/>
      <c r="I19" s="45">
        <v>633</v>
      </c>
      <c r="J19" s="157">
        <v>28134</v>
      </c>
      <c r="K19" s="54">
        <f t="shared" si="0"/>
        <v>2</v>
      </c>
      <c r="L19" s="31">
        <f>((+B19/A19)-(E19/D19))/(B19/A19)</f>
        <v>2.9232150544387308E-2</v>
      </c>
    </row>
    <row r="20" spans="1:12" ht="15" thickBot="1" x14ac:dyDescent="0.35">
      <c r="A20" s="19">
        <v>260</v>
      </c>
      <c r="B20" s="20">
        <v>11350.25</v>
      </c>
      <c r="C20" s="20" t="s">
        <v>650</v>
      </c>
      <c r="D20" s="27">
        <f t="shared" si="3"/>
        <v>252</v>
      </c>
      <c r="E20" s="27">
        <v>10637.1</v>
      </c>
      <c r="F20" s="65" t="s">
        <v>649</v>
      </c>
      <c r="G20" s="65">
        <v>58001</v>
      </c>
      <c r="H20" s="45"/>
      <c r="I20" s="45">
        <v>252</v>
      </c>
      <c r="J20" s="142">
        <v>10637</v>
      </c>
      <c r="K20" s="54">
        <f t="shared" si="0"/>
        <v>8</v>
      </c>
      <c r="L20" s="31">
        <f>((+B20/A20)-(E20/D20))/(B20/A20)</f>
        <v>3.3079825176915469E-2</v>
      </c>
    </row>
    <row r="21" spans="1:12" ht="15" thickBot="1" x14ac:dyDescent="0.35">
      <c r="A21" s="19">
        <v>540</v>
      </c>
      <c r="B21" s="20">
        <v>22443</v>
      </c>
      <c r="C21" s="20" t="s">
        <v>711</v>
      </c>
      <c r="D21" s="27">
        <f t="shared" si="3"/>
        <v>539</v>
      </c>
      <c r="E21" s="27">
        <f t="shared" si="4"/>
        <v>21687.9</v>
      </c>
      <c r="F21" s="65" t="s">
        <v>712</v>
      </c>
      <c r="G21" s="65">
        <v>58031</v>
      </c>
      <c r="H21" s="45"/>
      <c r="I21" s="45">
        <v>539</v>
      </c>
      <c r="J21" s="142">
        <v>21687.9</v>
      </c>
      <c r="K21" s="54">
        <f t="shared" si="0"/>
        <v>1</v>
      </c>
      <c r="L21" s="31">
        <f>((+B21/A21)-(E21/D21))/(B21/A21)</f>
        <v>3.1852368610250384E-2</v>
      </c>
    </row>
    <row r="22" spans="1:12" ht="15" thickBot="1" x14ac:dyDescent="0.35">
      <c r="A22" s="19">
        <v>477</v>
      </c>
      <c r="B22" s="20">
        <v>22548.25</v>
      </c>
      <c r="C22" s="20" t="s">
        <v>713</v>
      </c>
      <c r="D22" s="27">
        <f t="shared" si="3"/>
        <v>461</v>
      </c>
      <c r="E22" s="27">
        <f t="shared" si="4"/>
        <v>21218.6</v>
      </c>
      <c r="F22" s="65" t="s">
        <v>714</v>
      </c>
      <c r="G22" s="65">
        <v>58061</v>
      </c>
      <c r="H22" s="45"/>
      <c r="I22" s="45">
        <v>461</v>
      </c>
      <c r="J22" s="142">
        <v>21218.6</v>
      </c>
      <c r="K22" s="54">
        <f t="shared" si="0"/>
        <v>16</v>
      </c>
      <c r="L22" s="31">
        <f>((+B22/A22)-(E22/D22))/(B22/A22)</f>
        <v>2.6308591123691334E-2</v>
      </c>
    </row>
    <row r="23" spans="1:12" ht="15" thickBot="1" x14ac:dyDescent="0.35">
      <c r="A23" s="19">
        <v>300</v>
      </c>
      <c r="B23" s="20">
        <v>13839.75</v>
      </c>
      <c r="C23" s="20" t="s">
        <v>848</v>
      </c>
      <c r="D23" s="27">
        <v>300</v>
      </c>
      <c r="E23" s="27">
        <v>13775.9</v>
      </c>
      <c r="F23" s="65" t="s">
        <v>1375</v>
      </c>
      <c r="G23" s="65">
        <v>58121</v>
      </c>
      <c r="H23" s="45"/>
      <c r="I23" s="45">
        <v>461</v>
      </c>
      <c r="J23" s="142">
        <v>21218.6</v>
      </c>
      <c r="K23" s="54">
        <f t="shared" ref="K23:K24" si="6">+A23-D23</f>
        <v>0</v>
      </c>
      <c r="L23" s="33">
        <f t="shared" ref="L23" si="7">(+B23-E23)/B23</f>
        <v>4.6135226431113542E-3</v>
      </c>
    </row>
    <row r="24" spans="1:12" ht="15" thickBot="1" x14ac:dyDescent="0.35">
      <c r="A24" s="19">
        <v>401</v>
      </c>
      <c r="B24" s="20">
        <v>19359</v>
      </c>
      <c r="C24" s="20" t="s">
        <v>849</v>
      </c>
      <c r="D24" s="27">
        <v>400</v>
      </c>
      <c r="E24" s="27">
        <v>18959.099999999999</v>
      </c>
      <c r="F24" s="65" t="s">
        <v>1376</v>
      </c>
      <c r="G24" s="65">
        <v>58171</v>
      </c>
      <c r="H24" s="45"/>
      <c r="I24" s="45">
        <v>461</v>
      </c>
      <c r="J24" s="142">
        <v>21218.6</v>
      </c>
      <c r="K24" s="54">
        <f t="shared" si="6"/>
        <v>1</v>
      </c>
      <c r="L24" s="31">
        <f t="shared" ref="L24" si="8">((+B24/A24)-(E24/D24))/(B24/A24)</f>
        <v>1.8208701379203548E-2</v>
      </c>
    </row>
    <row r="25" spans="1:12" x14ac:dyDescent="0.3">
      <c r="A25" s="873">
        <v>495</v>
      </c>
      <c r="B25" s="873">
        <v>25140</v>
      </c>
      <c r="C25" s="873" t="s">
        <v>914</v>
      </c>
      <c r="D25" s="873">
        <f>+I25+I28+I26+I27</f>
        <v>494</v>
      </c>
      <c r="E25" s="873">
        <f>+J25+J28+J26+J27</f>
        <v>24095</v>
      </c>
      <c r="F25" s="39" t="s">
        <v>915</v>
      </c>
      <c r="G25" s="39">
        <v>58231</v>
      </c>
      <c r="H25" s="39"/>
      <c r="I25" s="39">
        <v>200</v>
      </c>
      <c r="J25" s="106">
        <v>9755</v>
      </c>
      <c r="K25" s="1050">
        <f>+A25-D25</f>
        <v>1</v>
      </c>
      <c r="L25" s="879">
        <f>((+B25/A25)-(E25/D25))/(B25/A25)</f>
        <v>3.962707622737769E-2</v>
      </c>
    </row>
    <row r="26" spans="1:12" x14ac:dyDescent="0.3">
      <c r="A26" s="881"/>
      <c r="B26" s="881"/>
      <c r="C26" s="881"/>
      <c r="D26" s="881"/>
      <c r="E26" s="881"/>
      <c r="F26" s="50" t="s">
        <v>915</v>
      </c>
      <c r="G26" s="50">
        <v>58231</v>
      </c>
      <c r="H26" s="50"/>
      <c r="I26" s="50">
        <v>54</v>
      </c>
      <c r="J26" s="101">
        <v>2554</v>
      </c>
      <c r="K26" s="1053"/>
      <c r="L26" s="885"/>
    </row>
    <row r="27" spans="1:12" x14ac:dyDescent="0.3">
      <c r="A27" s="881"/>
      <c r="B27" s="881"/>
      <c r="C27" s="881"/>
      <c r="D27" s="881"/>
      <c r="E27" s="881"/>
      <c r="F27" s="50" t="s">
        <v>915</v>
      </c>
      <c r="G27" s="50">
        <v>58231</v>
      </c>
      <c r="H27" s="50"/>
      <c r="I27" s="50">
        <v>140</v>
      </c>
      <c r="J27" s="101">
        <v>6968</v>
      </c>
      <c r="K27" s="1053"/>
      <c r="L27" s="885"/>
    </row>
    <row r="28" spans="1:12" ht="15" thickBot="1" x14ac:dyDescent="0.35">
      <c r="A28" s="874"/>
      <c r="B28" s="874"/>
      <c r="C28" s="874"/>
      <c r="D28" s="874"/>
      <c r="E28" s="874"/>
      <c r="F28" s="42" t="s">
        <v>915</v>
      </c>
      <c r="G28" s="42">
        <v>58231</v>
      </c>
      <c r="H28" s="42"/>
      <c r="I28" s="42">
        <v>100</v>
      </c>
      <c r="J28" s="109">
        <v>4818</v>
      </c>
      <c r="K28" s="1051"/>
      <c r="L28" s="880"/>
    </row>
    <row r="29" spans="1:12" x14ac:dyDescent="0.3">
      <c r="A29" s="982">
        <v>300</v>
      </c>
      <c r="B29" s="982">
        <v>14199.5</v>
      </c>
      <c r="C29" s="873" t="s">
        <v>1334</v>
      </c>
      <c r="D29" s="873">
        <f>+I29+I30+I31</f>
        <v>301</v>
      </c>
      <c r="E29" s="873">
        <f>+J29+J30+J31</f>
        <v>13979</v>
      </c>
      <c r="F29" s="39" t="s">
        <v>1335</v>
      </c>
      <c r="G29" s="39">
        <v>58281</v>
      </c>
      <c r="H29" s="39"/>
      <c r="I29" s="39">
        <v>84</v>
      </c>
      <c r="J29" s="106">
        <v>3855.2</v>
      </c>
      <c r="K29" s="882">
        <f t="shared" ref="K29" si="9">+A29-D29</f>
        <v>-1</v>
      </c>
      <c r="L29" s="879">
        <f t="shared" ref="L29" si="10">((+B29/A29)-(E29/D29))/(B29/A29)</f>
        <v>1.8799384518124979E-2</v>
      </c>
    </row>
    <row r="30" spans="1:12" x14ac:dyDescent="0.3">
      <c r="A30" s="1005"/>
      <c r="B30" s="1005"/>
      <c r="C30" s="881"/>
      <c r="D30" s="881"/>
      <c r="E30" s="881"/>
      <c r="F30" s="50" t="s">
        <v>1335</v>
      </c>
      <c r="G30" s="50">
        <v>58281</v>
      </c>
      <c r="H30" s="50"/>
      <c r="I30" s="50">
        <v>71</v>
      </c>
      <c r="J30" s="101">
        <v>3239.4</v>
      </c>
      <c r="K30" s="883"/>
      <c r="L30" s="885"/>
    </row>
    <row r="31" spans="1:12" ht="15" thickBot="1" x14ac:dyDescent="0.35">
      <c r="A31" s="983"/>
      <c r="B31" s="983"/>
      <c r="C31" s="874"/>
      <c r="D31" s="874"/>
      <c r="E31" s="874"/>
      <c r="F31" s="42" t="s">
        <v>1335</v>
      </c>
      <c r="G31" s="42">
        <v>58281</v>
      </c>
      <c r="H31" s="42"/>
      <c r="I31" s="42">
        <v>146</v>
      </c>
      <c r="J31" s="109">
        <v>6884.4</v>
      </c>
      <c r="K31" s="884"/>
      <c r="L31" s="880"/>
    </row>
    <row r="32" spans="1:12" ht="15" thickBot="1" x14ac:dyDescent="0.35">
      <c r="A32" s="190">
        <v>190</v>
      </c>
      <c r="B32" s="161">
        <v>9921.75</v>
      </c>
      <c r="C32" s="8" t="s">
        <v>1336</v>
      </c>
      <c r="D32" s="8">
        <f t="shared" ref="D32:E34" si="11">+I32</f>
        <v>190</v>
      </c>
      <c r="E32" s="8">
        <f t="shared" si="11"/>
        <v>9698.2999999999993</v>
      </c>
      <c r="F32" s="45" t="s">
        <v>1337</v>
      </c>
      <c r="G32" s="45">
        <v>58311</v>
      </c>
      <c r="H32" s="45"/>
      <c r="I32" s="45">
        <v>190</v>
      </c>
      <c r="J32" s="142">
        <v>9698.2999999999993</v>
      </c>
      <c r="K32" s="54">
        <f t="shared" ref="K32:K33" si="12">+A32-D32</f>
        <v>0</v>
      </c>
      <c r="L32" s="33">
        <f t="shared" ref="L32:L33" si="13">(+B32-E32)/B32</f>
        <v>2.2521228613903869E-2</v>
      </c>
    </row>
    <row r="33" spans="1:12" ht="15" thickBot="1" x14ac:dyDescent="0.35">
      <c r="A33" s="175">
        <v>300</v>
      </c>
      <c r="B33" s="8">
        <v>15631.25</v>
      </c>
      <c r="C33" s="8" t="s">
        <v>1377</v>
      </c>
      <c r="D33" s="8">
        <v>300</v>
      </c>
      <c r="E33" s="8">
        <v>14700.2</v>
      </c>
      <c r="F33" s="45" t="s">
        <v>1378</v>
      </c>
      <c r="G33" s="45">
        <v>58401</v>
      </c>
      <c r="H33" s="45"/>
      <c r="I33" s="45">
        <v>229</v>
      </c>
      <c r="J33" s="142">
        <v>11381.5</v>
      </c>
      <c r="K33" s="54">
        <f t="shared" si="12"/>
        <v>0</v>
      </c>
      <c r="L33" s="33">
        <f t="shared" si="13"/>
        <v>5.9563374650139896E-2</v>
      </c>
    </row>
    <row r="34" spans="1:12" ht="15" thickBot="1" x14ac:dyDescent="0.35">
      <c r="A34" s="174">
        <v>111</v>
      </c>
      <c r="B34" s="12">
        <v>5015.5</v>
      </c>
      <c r="C34" s="12" t="s">
        <v>1441</v>
      </c>
      <c r="D34" s="12">
        <f t="shared" si="11"/>
        <v>106</v>
      </c>
      <c r="E34" s="12">
        <f t="shared" si="11"/>
        <v>4643.2</v>
      </c>
      <c r="F34" s="39" t="s">
        <v>1442</v>
      </c>
      <c r="G34" s="39">
        <v>58491</v>
      </c>
      <c r="H34" s="39"/>
      <c r="I34" s="39">
        <v>106</v>
      </c>
      <c r="J34" s="106">
        <v>4643.2</v>
      </c>
      <c r="K34" s="54">
        <f t="shared" ref="K34" si="14">+A34-D34</f>
        <v>5</v>
      </c>
      <c r="L34" s="31">
        <f t="shared" ref="L34" si="15">((+B34/A34)-(E34/D34))/(B34/A34)</f>
        <v>3.0561485809086235E-2</v>
      </c>
    </row>
    <row r="35" spans="1:12" x14ac:dyDescent="0.3">
      <c r="A35" s="873">
        <v>300</v>
      </c>
      <c r="B35" s="873">
        <v>13982.5</v>
      </c>
      <c r="C35" s="873" t="s">
        <v>1443</v>
      </c>
      <c r="D35" s="873">
        <f>+I35+I36</f>
        <v>302</v>
      </c>
      <c r="E35" s="873">
        <f>+J35+J36</f>
        <v>13824.300000000001</v>
      </c>
      <c r="F35" s="39" t="s">
        <v>1444</v>
      </c>
      <c r="G35" s="39">
        <v>58511</v>
      </c>
      <c r="H35" s="39"/>
      <c r="I35" s="39">
        <v>100</v>
      </c>
      <c r="J35" s="106">
        <v>4606.1000000000004</v>
      </c>
      <c r="K35" s="1050">
        <f>+A35-D35</f>
        <v>-2</v>
      </c>
      <c r="L35" s="879">
        <f>((+B35/A35)-(E35/D35))/(B35/A35)</f>
        <v>1.7861731137431697E-2</v>
      </c>
    </row>
    <row r="36" spans="1:12" ht="15" thickBot="1" x14ac:dyDescent="0.35">
      <c r="A36" s="874"/>
      <c r="B36" s="874"/>
      <c r="C36" s="874"/>
      <c r="D36" s="874"/>
      <c r="E36" s="874"/>
      <c r="F36" s="42" t="s">
        <v>1444</v>
      </c>
      <c r="G36" s="42">
        <v>58511</v>
      </c>
      <c r="H36" s="42"/>
      <c r="I36" s="42">
        <v>202</v>
      </c>
      <c r="J36" s="109">
        <v>9218.2000000000007</v>
      </c>
      <c r="K36" s="1051"/>
      <c r="L36" s="880"/>
    </row>
    <row r="37" spans="1:12" ht="15" thickBot="1" x14ac:dyDescent="0.35">
      <c r="A37" s="175">
        <v>419</v>
      </c>
      <c r="B37" s="8">
        <v>20180</v>
      </c>
      <c r="C37" s="8" t="s">
        <v>1445</v>
      </c>
      <c r="D37" s="8">
        <v>419</v>
      </c>
      <c r="E37" s="8">
        <v>19045.599999999999</v>
      </c>
      <c r="F37" s="45" t="s">
        <v>1446</v>
      </c>
      <c r="G37" s="45">
        <v>58521</v>
      </c>
      <c r="H37" s="45"/>
      <c r="I37" s="45">
        <v>200</v>
      </c>
      <c r="J37" s="142">
        <v>8950.5</v>
      </c>
      <c r="K37" s="54">
        <f t="shared" ref="K37:K38" si="16">+A37-D37</f>
        <v>0</v>
      </c>
      <c r="L37" s="33">
        <f t="shared" ref="L37:L38" si="17">(+B37-E37)/B37</f>
        <v>5.6214073339940607E-2</v>
      </c>
    </row>
    <row r="38" spans="1:12" ht="15" thickBot="1" x14ac:dyDescent="0.35">
      <c r="A38" s="175">
        <v>249</v>
      </c>
      <c r="B38" s="8">
        <v>11470.75</v>
      </c>
      <c r="C38" s="8" t="s">
        <v>1539</v>
      </c>
      <c r="D38" s="8">
        <v>249</v>
      </c>
      <c r="E38" s="8">
        <v>11259.1</v>
      </c>
      <c r="F38" s="45" t="s">
        <v>1540</v>
      </c>
      <c r="G38" s="45">
        <v>58591</v>
      </c>
      <c r="H38" s="45"/>
      <c r="I38" s="45">
        <v>129</v>
      </c>
      <c r="J38" s="142">
        <v>5755.6</v>
      </c>
      <c r="K38" s="54">
        <f t="shared" si="16"/>
        <v>0</v>
      </c>
      <c r="L38" s="33">
        <f t="shared" si="17"/>
        <v>1.8451278251204118E-2</v>
      </c>
    </row>
    <row r="39" spans="1:12" x14ac:dyDescent="0.3">
      <c r="A39" s="873">
        <v>507</v>
      </c>
      <c r="B39" s="873">
        <v>25527</v>
      </c>
      <c r="C39" s="873" t="s">
        <v>1628</v>
      </c>
      <c r="D39" s="1052">
        <v>506</v>
      </c>
      <c r="E39" s="1052">
        <v>24359</v>
      </c>
      <c r="F39" s="39" t="s">
        <v>1629</v>
      </c>
      <c r="G39" s="39">
        <v>58621</v>
      </c>
      <c r="H39" s="39"/>
      <c r="I39" s="39">
        <v>200</v>
      </c>
      <c r="J39" s="106">
        <v>9589.2000000000007</v>
      </c>
      <c r="K39" s="1050">
        <f>+A39-D39</f>
        <v>1</v>
      </c>
      <c r="L39" s="879">
        <f>((+B39/A39)-(E39/D39))/(B39/A39)</f>
        <v>4.3869615849667733E-2</v>
      </c>
    </row>
    <row r="40" spans="1:12" ht="15" thickBot="1" x14ac:dyDescent="0.35">
      <c r="A40" s="874"/>
      <c r="B40" s="874"/>
      <c r="C40" s="874"/>
      <c r="D40" s="874"/>
      <c r="E40" s="874"/>
      <c r="F40" s="42" t="s">
        <v>1629</v>
      </c>
      <c r="G40" s="42">
        <v>58621</v>
      </c>
      <c r="H40" s="42"/>
      <c r="I40" s="42">
        <v>50</v>
      </c>
      <c r="J40" s="109">
        <v>2412.8000000000002</v>
      </c>
      <c r="K40" s="1051"/>
      <c r="L40" s="880"/>
    </row>
    <row r="41" spans="1:12" ht="15" thickBot="1" x14ac:dyDescent="0.35">
      <c r="A41" s="175">
        <v>139</v>
      </c>
      <c r="B41" s="8">
        <v>6001.25</v>
      </c>
      <c r="C41" s="8" t="s">
        <v>1723</v>
      </c>
      <c r="D41" s="8">
        <f>+I41</f>
        <v>139</v>
      </c>
      <c r="E41" s="8">
        <f>+J41</f>
        <v>5788.1</v>
      </c>
      <c r="F41" s="45" t="s">
        <v>1724</v>
      </c>
      <c r="G41" s="45">
        <v>58671</v>
      </c>
      <c r="H41" s="45"/>
      <c r="I41" s="45">
        <v>139</v>
      </c>
      <c r="J41" s="142">
        <v>5788.1</v>
      </c>
      <c r="K41" s="54">
        <f t="shared" ref="K41:K42" si="18">+A41-D41</f>
        <v>0</v>
      </c>
      <c r="L41" s="33">
        <f t="shared" ref="L41:L42" si="19">(+B41-E41)/B41</f>
        <v>3.5517600499895795E-2</v>
      </c>
    </row>
    <row r="42" spans="1:12" ht="15" thickBot="1" x14ac:dyDescent="0.35">
      <c r="A42" s="174">
        <v>71</v>
      </c>
      <c r="B42" s="12">
        <v>3497.5</v>
      </c>
      <c r="C42" s="12" t="s">
        <v>1725</v>
      </c>
      <c r="D42" s="12">
        <f>+I42</f>
        <v>71</v>
      </c>
      <c r="E42" s="12">
        <f>+J42</f>
        <v>3329.3</v>
      </c>
      <c r="F42" s="39" t="s">
        <v>1726</v>
      </c>
      <c r="G42" s="39">
        <v>58681</v>
      </c>
      <c r="H42" s="39"/>
      <c r="I42" s="39">
        <v>71</v>
      </c>
      <c r="J42" s="106">
        <v>3329.3</v>
      </c>
      <c r="K42" s="54">
        <f t="shared" si="18"/>
        <v>0</v>
      </c>
      <c r="L42" s="33">
        <f t="shared" si="19"/>
        <v>4.8091493924231545E-2</v>
      </c>
    </row>
    <row r="43" spans="1:12" x14ac:dyDescent="0.3">
      <c r="A43" s="871">
        <v>285</v>
      </c>
      <c r="B43" s="873">
        <v>13630</v>
      </c>
      <c r="C43" s="873" t="s">
        <v>1727</v>
      </c>
      <c r="D43" s="873">
        <f>+I43+I44</f>
        <v>277</v>
      </c>
      <c r="E43" s="873">
        <f>+J43+J44</f>
        <v>12750.2</v>
      </c>
      <c r="F43" s="39" t="s">
        <v>1728</v>
      </c>
      <c r="G43" s="39">
        <v>58721</v>
      </c>
      <c r="H43" s="39"/>
      <c r="I43" s="39">
        <v>157</v>
      </c>
      <c r="J43" s="106">
        <v>7101.4</v>
      </c>
      <c r="K43" s="1050">
        <f>+A43-D43</f>
        <v>8</v>
      </c>
      <c r="L43" s="879">
        <f>((+B43/A43)-(E43/D43))/(B43/A43)</f>
        <v>3.7532147974710738E-2</v>
      </c>
    </row>
    <row r="44" spans="1:12" ht="15" thickBot="1" x14ac:dyDescent="0.35">
      <c r="A44" s="872"/>
      <c r="B44" s="874"/>
      <c r="C44" s="874"/>
      <c r="D44" s="874"/>
      <c r="E44" s="874"/>
      <c r="F44" s="42" t="s">
        <v>1728</v>
      </c>
      <c r="G44" s="42">
        <v>58721</v>
      </c>
      <c r="H44" s="42"/>
      <c r="I44" s="42">
        <v>120</v>
      </c>
      <c r="J44" s="109">
        <v>5648.8</v>
      </c>
      <c r="K44" s="1051"/>
      <c r="L44" s="880"/>
    </row>
    <row r="45" spans="1:12" ht="15" thickBot="1" x14ac:dyDescent="0.35">
      <c r="A45" s="175">
        <v>656</v>
      </c>
      <c r="B45" s="8">
        <v>32840.800000000003</v>
      </c>
      <c r="C45" s="8" t="s">
        <v>1939</v>
      </c>
      <c r="D45" s="8">
        <f>408+248</f>
        <v>656</v>
      </c>
      <c r="E45" s="8">
        <f>19516+12038</f>
        <v>31554</v>
      </c>
      <c r="F45" s="45" t="s">
        <v>1940</v>
      </c>
      <c r="G45" s="45">
        <v>58731</v>
      </c>
      <c r="H45" s="45"/>
      <c r="I45" s="45">
        <v>200</v>
      </c>
      <c r="J45" s="142">
        <v>9674</v>
      </c>
      <c r="K45" s="54">
        <f t="shared" ref="K45" si="20">+A45-D45</f>
        <v>0</v>
      </c>
      <c r="L45" s="33">
        <f t="shared" ref="L45" si="21">(+B45-E45)/B45</f>
        <v>3.9182967528196722E-2</v>
      </c>
    </row>
    <row r="46" spans="1:12" x14ac:dyDescent="0.3">
      <c r="A46" s="873">
        <f>+D46</f>
        <v>300</v>
      </c>
      <c r="B46" s="873">
        <v>13943</v>
      </c>
      <c r="C46" s="873" t="s">
        <v>1818</v>
      </c>
      <c r="D46" s="873">
        <f>+I46+I47</f>
        <v>300</v>
      </c>
      <c r="E46" s="873">
        <f>+J46+J47</f>
        <v>13402.400000000001</v>
      </c>
      <c r="F46" s="39" t="s">
        <v>1819</v>
      </c>
      <c r="G46" s="39">
        <v>58801</v>
      </c>
      <c r="H46" s="39"/>
      <c r="I46" s="39">
        <v>200</v>
      </c>
      <c r="J46" s="106">
        <v>8916.6</v>
      </c>
      <c r="K46" s="1050">
        <f>+A46-D46</f>
        <v>0</v>
      </c>
      <c r="L46" s="879">
        <f>(+B46-E46)/B46</f>
        <v>3.8772143728035467E-2</v>
      </c>
    </row>
    <row r="47" spans="1:12" ht="15" thickBot="1" x14ac:dyDescent="0.35">
      <c r="A47" s="874"/>
      <c r="B47" s="874"/>
      <c r="C47" s="874"/>
      <c r="D47" s="874"/>
      <c r="E47" s="874"/>
      <c r="F47" s="42" t="s">
        <v>1819</v>
      </c>
      <c r="G47" s="42">
        <v>58801</v>
      </c>
      <c r="H47" s="42"/>
      <c r="I47" s="42">
        <v>100</v>
      </c>
      <c r="J47" s="109">
        <v>4485.8</v>
      </c>
      <c r="K47" s="1051"/>
      <c r="L47" s="880"/>
    </row>
    <row r="48" spans="1:12" x14ac:dyDescent="0.3">
      <c r="A48" s="871">
        <v>99</v>
      </c>
      <c r="B48" s="873">
        <v>5962.75</v>
      </c>
      <c r="C48" s="873" t="s">
        <v>2372</v>
      </c>
      <c r="D48" s="1052">
        <f>+I48+I49</f>
        <v>99</v>
      </c>
      <c r="E48" s="1052">
        <f>+J48+J49</f>
        <v>5755.6</v>
      </c>
      <c r="F48" s="39" t="s">
        <v>2373</v>
      </c>
      <c r="G48" s="39">
        <v>58961</v>
      </c>
      <c r="H48" s="39"/>
      <c r="I48" s="39">
        <v>54</v>
      </c>
      <c r="J48" s="106">
        <v>3105.6</v>
      </c>
      <c r="K48" s="1050">
        <f>+A48-D48</f>
        <v>0</v>
      </c>
      <c r="L48" s="879">
        <f>(+B48-E48)/B48</f>
        <v>3.4740681732422063E-2</v>
      </c>
    </row>
    <row r="49" spans="1:12" ht="15" thickBot="1" x14ac:dyDescent="0.35">
      <c r="A49" s="872"/>
      <c r="B49" s="874"/>
      <c r="C49" s="874"/>
      <c r="D49" s="874"/>
      <c r="E49" s="874"/>
      <c r="F49" s="42" t="s">
        <v>2373</v>
      </c>
      <c r="G49" s="42">
        <v>58961</v>
      </c>
      <c r="H49" s="42"/>
      <c r="I49" s="42">
        <v>45</v>
      </c>
      <c r="J49" s="109">
        <v>2650</v>
      </c>
      <c r="K49" s="1051"/>
      <c r="L49" s="880"/>
    </row>
    <row r="50" spans="1:12" x14ac:dyDescent="0.3">
      <c r="A50" s="871">
        <v>96</v>
      </c>
      <c r="B50" s="873">
        <v>4765</v>
      </c>
      <c r="C50" s="873" t="s">
        <v>2374</v>
      </c>
      <c r="D50" s="873">
        <f>+I50+I51</f>
        <v>96</v>
      </c>
      <c r="E50" s="873">
        <f>+J50+J51</f>
        <v>4584.6000000000004</v>
      </c>
      <c r="F50" s="39" t="s">
        <v>2375</v>
      </c>
      <c r="G50" s="39">
        <v>58971</v>
      </c>
      <c r="H50" s="39"/>
      <c r="I50" s="39">
        <v>49</v>
      </c>
      <c r="J50" s="106">
        <v>2344</v>
      </c>
      <c r="K50" s="1050">
        <f>+A50-D50</f>
        <v>0</v>
      </c>
      <c r="L50" s="879">
        <f>(+B50-E50)/B50</f>
        <v>3.7859391395592787E-2</v>
      </c>
    </row>
    <row r="51" spans="1:12" ht="15" thickBot="1" x14ac:dyDescent="0.35">
      <c r="A51" s="872"/>
      <c r="B51" s="874"/>
      <c r="C51" s="874"/>
      <c r="D51" s="874"/>
      <c r="E51" s="874"/>
      <c r="F51" s="42" t="s">
        <v>2375</v>
      </c>
      <c r="G51" s="42">
        <v>58971</v>
      </c>
      <c r="H51" s="42"/>
      <c r="I51" s="42">
        <v>47</v>
      </c>
      <c r="J51" s="109">
        <v>2240.6</v>
      </c>
      <c r="K51" s="1051"/>
      <c r="L51" s="880"/>
    </row>
    <row r="52" spans="1:12" ht="15" thickBot="1" x14ac:dyDescent="0.35">
      <c r="A52" s="199">
        <v>68</v>
      </c>
      <c r="B52" s="10">
        <v>2318.5</v>
      </c>
      <c r="C52" s="10" t="s">
        <v>2376</v>
      </c>
      <c r="D52" s="10">
        <f t="shared" ref="D52:E54" si="22">+I52</f>
        <v>68</v>
      </c>
      <c r="E52" s="10">
        <f t="shared" si="22"/>
        <v>2284.5</v>
      </c>
      <c r="F52" s="42" t="s">
        <v>2377</v>
      </c>
      <c r="G52" s="42">
        <v>59041</v>
      </c>
      <c r="H52" s="42"/>
      <c r="I52" s="42">
        <v>68</v>
      </c>
      <c r="J52" s="109">
        <v>2284.5</v>
      </c>
      <c r="K52" s="54">
        <f t="shared" ref="K52:K54" si="23">+A52-D52</f>
        <v>0</v>
      </c>
      <c r="L52" s="33">
        <f t="shared" ref="L52:L54" si="24">(+B52-E52)/B52</f>
        <v>1.4664653871037308E-2</v>
      </c>
    </row>
    <row r="53" spans="1:12" ht="15" thickBot="1" x14ac:dyDescent="0.35">
      <c r="A53" s="175">
        <v>22</v>
      </c>
      <c r="B53" s="8">
        <v>1066</v>
      </c>
      <c r="C53" s="8" t="s">
        <v>2378</v>
      </c>
      <c r="D53" s="8">
        <f t="shared" si="22"/>
        <v>22</v>
      </c>
      <c r="E53" s="8">
        <f t="shared" si="22"/>
        <v>1049.5</v>
      </c>
      <c r="F53" s="45" t="s">
        <v>2379</v>
      </c>
      <c r="G53" s="45">
        <v>59051</v>
      </c>
      <c r="H53" s="45"/>
      <c r="I53" s="45">
        <v>22</v>
      </c>
      <c r="J53" s="46">
        <v>1049.5</v>
      </c>
      <c r="K53" s="54">
        <f t="shared" si="23"/>
        <v>0</v>
      </c>
      <c r="L53" s="33">
        <f t="shared" si="24"/>
        <v>1.547842401500938E-2</v>
      </c>
    </row>
    <row r="54" spans="1:12" ht="15" thickBot="1" x14ac:dyDescent="0.35">
      <c r="A54" s="174">
        <v>75</v>
      </c>
      <c r="B54" s="12">
        <v>2563.25</v>
      </c>
      <c r="C54" s="12" t="s">
        <v>2380</v>
      </c>
      <c r="D54" s="12">
        <f t="shared" si="22"/>
        <v>75</v>
      </c>
      <c r="E54" s="193">
        <f t="shared" si="22"/>
        <v>2530.6999999999998</v>
      </c>
      <c r="F54" s="39" t="s">
        <v>2381</v>
      </c>
      <c r="G54" s="39">
        <v>59061</v>
      </c>
      <c r="H54" s="39"/>
      <c r="I54" s="39">
        <v>75</v>
      </c>
      <c r="J54" s="106">
        <v>2530.6999999999998</v>
      </c>
      <c r="K54" s="54">
        <f t="shared" si="23"/>
        <v>0</v>
      </c>
      <c r="L54" s="33">
        <f t="shared" si="24"/>
        <v>1.2698722325173191E-2</v>
      </c>
    </row>
    <row r="55" spans="1:12" x14ac:dyDescent="0.3">
      <c r="A55" s="871">
        <v>220</v>
      </c>
      <c r="B55" s="873">
        <v>10006.5</v>
      </c>
      <c r="C55" s="873" t="s">
        <v>2382</v>
      </c>
      <c r="D55" s="873">
        <f>+I55+I56</f>
        <v>220</v>
      </c>
      <c r="E55" s="873">
        <f>+J55+J56</f>
        <v>9741.2000000000007</v>
      </c>
      <c r="F55" s="39" t="s">
        <v>2383</v>
      </c>
      <c r="G55" s="39">
        <v>59121</v>
      </c>
      <c r="H55" s="39"/>
      <c r="I55" s="39">
        <v>100</v>
      </c>
      <c r="J55" s="106">
        <v>4450.3</v>
      </c>
      <c r="K55" s="1050">
        <f>+A55-D55</f>
        <v>0</v>
      </c>
      <c r="L55" s="879">
        <f>(+B55-E55)/B55</f>
        <v>2.6512766701643858E-2</v>
      </c>
    </row>
    <row r="56" spans="1:12" ht="15" thickBot="1" x14ac:dyDescent="0.35">
      <c r="A56" s="872"/>
      <c r="B56" s="874"/>
      <c r="C56" s="874"/>
      <c r="D56" s="874"/>
      <c r="E56" s="874"/>
      <c r="F56" s="42" t="s">
        <v>2383</v>
      </c>
      <c r="G56" s="42">
        <v>59121</v>
      </c>
      <c r="H56" s="42"/>
      <c r="I56" s="42">
        <v>120</v>
      </c>
      <c r="J56" s="109">
        <v>5290.9</v>
      </c>
      <c r="K56" s="1051"/>
      <c r="L56" s="880"/>
    </row>
    <row r="57" spans="1:12" ht="15" thickBot="1" x14ac:dyDescent="0.35">
      <c r="A57" s="174">
        <v>107</v>
      </c>
      <c r="B57" s="12">
        <v>3706</v>
      </c>
      <c r="C57" s="12" t="s">
        <v>2548</v>
      </c>
      <c r="D57" s="12">
        <f>+I57</f>
        <v>109</v>
      </c>
      <c r="E57" s="12">
        <f>+J57</f>
        <v>3635.4</v>
      </c>
      <c r="F57" s="39" t="s">
        <v>2549</v>
      </c>
      <c r="G57" s="39">
        <v>59191</v>
      </c>
      <c r="H57" s="39"/>
      <c r="I57" s="39">
        <v>109</v>
      </c>
      <c r="J57" s="106">
        <v>3635.4</v>
      </c>
      <c r="K57" s="54">
        <f t="shared" ref="K57:K62" si="25">+A57-D57</f>
        <v>-2</v>
      </c>
      <c r="L57" s="31">
        <f t="shared" ref="L57:L62" si="26">((+B57/A57)-(E57/D57))/(B57/A57)</f>
        <v>3.7049267985958659E-2</v>
      </c>
    </row>
    <row r="58" spans="1:12" ht="15" thickBot="1" x14ac:dyDescent="0.35">
      <c r="A58" s="175">
        <v>109</v>
      </c>
      <c r="B58" s="8">
        <v>5359.75</v>
      </c>
      <c r="C58" s="8" t="s">
        <v>2550</v>
      </c>
      <c r="D58" s="8">
        <f>+I58</f>
        <v>107</v>
      </c>
      <c r="E58" s="8">
        <f>+J58</f>
        <v>5231</v>
      </c>
      <c r="F58" s="45" t="s">
        <v>2551</v>
      </c>
      <c r="G58" s="45">
        <v>59301</v>
      </c>
      <c r="H58" s="45"/>
      <c r="I58" s="45">
        <v>107</v>
      </c>
      <c r="J58" s="142">
        <v>5231</v>
      </c>
      <c r="K58" s="54">
        <f t="shared" si="25"/>
        <v>2</v>
      </c>
      <c r="L58" s="31">
        <f t="shared" si="26"/>
        <v>5.779056684625342E-3</v>
      </c>
    </row>
    <row r="59" spans="1:12" ht="15" thickBot="1" x14ac:dyDescent="0.35">
      <c r="A59" s="175">
        <v>55</v>
      </c>
      <c r="B59" s="8">
        <v>1860.25</v>
      </c>
      <c r="C59" s="8" t="s">
        <v>2701</v>
      </c>
      <c r="D59" s="8">
        <f t="shared" ref="D59:E61" si="27">+I59</f>
        <v>55</v>
      </c>
      <c r="E59" s="8">
        <f t="shared" si="27"/>
        <v>1813</v>
      </c>
      <c r="F59" s="45" t="s">
        <v>2702</v>
      </c>
      <c r="G59" s="45">
        <v>59241</v>
      </c>
      <c r="H59" s="45"/>
      <c r="I59" s="45">
        <v>55</v>
      </c>
      <c r="J59" s="142">
        <v>1813</v>
      </c>
      <c r="K59" s="54">
        <f t="shared" si="25"/>
        <v>0</v>
      </c>
      <c r="L59" s="33">
        <f t="shared" ref="L59" si="28">(+B59-E59)/B59</f>
        <v>2.5399811853245531E-2</v>
      </c>
    </row>
    <row r="60" spans="1:12" ht="15" thickBot="1" x14ac:dyDescent="0.35">
      <c r="A60" s="175">
        <v>87</v>
      </c>
      <c r="B60" s="8">
        <v>2747.5</v>
      </c>
      <c r="C60" s="8" t="s">
        <v>2703</v>
      </c>
      <c r="D60" s="8">
        <f t="shared" si="27"/>
        <v>88</v>
      </c>
      <c r="E60" s="8">
        <f t="shared" si="27"/>
        <v>2907.6</v>
      </c>
      <c r="F60" s="45" t="s">
        <v>2704</v>
      </c>
      <c r="G60" s="45">
        <v>59251</v>
      </c>
      <c r="H60" s="45"/>
      <c r="I60" s="45">
        <v>88</v>
      </c>
      <c r="J60" s="142">
        <v>2907.6</v>
      </c>
      <c r="K60" s="54">
        <f t="shared" si="25"/>
        <v>-1</v>
      </c>
      <c r="L60" s="31">
        <f t="shared" si="26"/>
        <v>-4.6245347009678188E-2</v>
      </c>
    </row>
    <row r="61" spans="1:12" ht="15" thickBot="1" x14ac:dyDescent="0.35">
      <c r="A61" s="175">
        <v>257</v>
      </c>
      <c r="B61" s="8">
        <v>11791</v>
      </c>
      <c r="C61" s="8" t="s">
        <v>2705</v>
      </c>
      <c r="D61" s="8">
        <f t="shared" si="27"/>
        <v>257</v>
      </c>
      <c r="E61" s="8">
        <f t="shared" si="27"/>
        <v>11607.599999999999</v>
      </c>
      <c r="F61" s="45" t="s">
        <v>2706</v>
      </c>
      <c r="G61" s="45">
        <v>59291</v>
      </c>
      <c r="H61" s="45"/>
      <c r="I61" s="45">
        <v>257</v>
      </c>
      <c r="J61" s="142">
        <v>11607.599999999999</v>
      </c>
      <c r="K61" s="54">
        <f t="shared" si="25"/>
        <v>0</v>
      </c>
      <c r="L61" s="33">
        <f t="shared" ref="L61" si="29">(+B61-E61)/B61</f>
        <v>1.5554236281910055E-2</v>
      </c>
    </row>
    <row r="62" spans="1:12" ht="15" thickBot="1" x14ac:dyDescent="0.35">
      <c r="A62" s="175">
        <f>300-21-19</f>
        <v>260</v>
      </c>
      <c r="B62" s="8">
        <f>14399.5-1008-911.97</f>
        <v>12479.53</v>
      </c>
      <c r="C62" s="8" t="s">
        <v>2842</v>
      </c>
      <c r="D62" s="8">
        <v>260</v>
      </c>
      <c r="E62" s="8">
        <v>12486.7</v>
      </c>
      <c r="F62" s="45" t="s">
        <v>2843</v>
      </c>
      <c r="G62" s="45">
        <v>59401</v>
      </c>
      <c r="H62" s="45"/>
      <c r="I62" s="45">
        <v>100</v>
      </c>
      <c r="J62" s="142">
        <v>4838.1000000000004</v>
      </c>
      <c r="K62" s="54">
        <f t="shared" si="25"/>
        <v>0</v>
      </c>
      <c r="L62" s="31">
        <f t="shared" si="26"/>
        <v>-5.7454086812575543E-4</v>
      </c>
    </row>
    <row r="63" spans="1:12" x14ac:dyDescent="0.3">
      <c r="A63" s="871">
        <v>230</v>
      </c>
      <c r="B63" s="873">
        <v>12670.75</v>
      </c>
      <c r="C63" s="873" t="s">
        <v>3128</v>
      </c>
      <c r="D63" s="873">
        <f>+I63+I64</f>
        <v>230</v>
      </c>
      <c r="E63" s="873">
        <f>+J63+J64</f>
        <v>12136.2</v>
      </c>
      <c r="F63" s="39" t="s">
        <v>3129</v>
      </c>
      <c r="G63" s="39">
        <v>59441</v>
      </c>
      <c r="H63" s="39"/>
      <c r="I63" s="39">
        <v>100</v>
      </c>
      <c r="J63" s="106">
        <v>5391.1</v>
      </c>
      <c r="K63" s="1050">
        <f>+A63-D63</f>
        <v>0</v>
      </c>
      <c r="L63" s="879">
        <f>(+B63-E63)/B63</f>
        <v>4.2187715802142672E-2</v>
      </c>
    </row>
    <row r="64" spans="1:12" ht="15" thickBot="1" x14ac:dyDescent="0.35">
      <c r="A64" s="872"/>
      <c r="B64" s="874"/>
      <c r="C64" s="874"/>
      <c r="D64" s="874"/>
      <c r="E64" s="874"/>
      <c r="F64" s="42" t="s">
        <v>3129</v>
      </c>
      <c r="G64" s="42">
        <v>59441</v>
      </c>
      <c r="H64" s="42"/>
      <c r="I64" s="42">
        <v>130</v>
      </c>
      <c r="J64" s="109">
        <v>6745.1</v>
      </c>
      <c r="K64" s="1051"/>
      <c r="L64" s="880"/>
    </row>
    <row r="65" spans="1:12" ht="15" thickBot="1" x14ac:dyDescent="0.35">
      <c r="A65" s="174">
        <v>152</v>
      </c>
      <c r="B65" s="12">
        <v>7114.75</v>
      </c>
      <c r="C65" s="12" t="s">
        <v>3260</v>
      </c>
      <c r="D65" s="12">
        <f>+I65</f>
        <v>152</v>
      </c>
      <c r="E65" s="12">
        <f>+J65</f>
        <v>6997.1</v>
      </c>
      <c r="F65" s="39" t="s">
        <v>3261</v>
      </c>
      <c r="G65" s="39">
        <v>59471</v>
      </c>
      <c r="H65" s="39"/>
      <c r="I65" s="39">
        <v>152</v>
      </c>
      <c r="J65" s="106">
        <v>6997.1</v>
      </c>
      <c r="K65" s="54">
        <f t="shared" ref="K65" si="30">+A65-D65</f>
        <v>0</v>
      </c>
      <c r="L65" s="31">
        <f t="shared" ref="L65" si="31">((+B65/A65)-(E65/D65))/(B65/A65)</f>
        <v>1.6536069433219693E-2</v>
      </c>
    </row>
    <row r="66" spans="1:12" x14ac:dyDescent="0.3">
      <c r="A66" s="871">
        <v>232</v>
      </c>
      <c r="B66" s="873">
        <v>11277</v>
      </c>
      <c r="C66" s="873" t="s">
        <v>3262</v>
      </c>
      <c r="D66" s="873">
        <f>+I66+I67</f>
        <v>232</v>
      </c>
      <c r="E66" s="873">
        <f>+J66+J67</f>
        <v>10932</v>
      </c>
      <c r="F66" s="39" t="s">
        <v>3263</v>
      </c>
      <c r="G66" s="39">
        <v>59501</v>
      </c>
      <c r="H66" s="39"/>
      <c r="I66" s="39">
        <v>100</v>
      </c>
      <c r="J66" s="106">
        <v>4699.7</v>
      </c>
      <c r="K66" s="1050">
        <f>+A66-D66</f>
        <v>0</v>
      </c>
      <c r="L66" s="879">
        <f>(+B66-E66)/B66</f>
        <v>3.0593242883745677E-2</v>
      </c>
    </row>
    <row r="67" spans="1:12" ht="15" thickBot="1" x14ac:dyDescent="0.35">
      <c r="A67" s="872"/>
      <c r="B67" s="874"/>
      <c r="C67" s="874"/>
      <c r="D67" s="874"/>
      <c r="E67" s="874"/>
      <c r="F67" s="42" t="s">
        <v>3263</v>
      </c>
      <c r="G67" s="42">
        <v>59501</v>
      </c>
      <c r="H67" s="42"/>
      <c r="I67" s="42">
        <v>132</v>
      </c>
      <c r="J67" s="109">
        <v>6232.3</v>
      </c>
      <c r="K67" s="1051"/>
      <c r="L67" s="880"/>
    </row>
    <row r="68" spans="1:12" x14ac:dyDescent="0.3">
      <c r="A68" s="871">
        <v>215</v>
      </c>
      <c r="B68" s="873">
        <v>11108.75</v>
      </c>
      <c r="C68" s="873" t="s">
        <v>3364</v>
      </c>
      <c r="D68" s="873">
        <f>+I68+I69</f>
        <v>214</v>
      </c>
      <c r="E68" s="873">
        <f>+J68+J69</f>
        <v>10537.8</v>
      </c>
      <c r="F68" s="39" t="s">
        <v>3365</v>
      </c>
      <c r="G68" s="39">
        <v>59591</v>
      </c>
      <c r="H68" s="39"/>
      <c r="I68" s="39">
        <v>100</v>
      </c>
      <c r="J68" s="106">
        <v>4691.1000000000004</v>
      </c>
      <c r="K68" s="1050">
        <f>+A68-D68</f>
        <v>1</v>
      </c>
      <c r="L68" s="879">
        <f>((+B68/A68)-(E68/D68))/(B68/A68)</f>
        <v>4.6963694738402929E-2</v>
      </c>
    </row>
    <row r="69" spans="1:12" ht="15" thickBot="1" x14ac:dyDescent="0.35">
      <c r="A69" s="872"/>
      <c r="B69" s="874"/>
      <c r="C69" s="874"/>
      <c r="D69" s="874"/>
      <c r="E69" s="874"/>
      <c r="F69" s="42" t="s">
        <v>3365</v>
      </c>
      <c r="G69" s="42">
        <v>59591</v>
      </c>
      <c r="H69" s="42"/>
      <c r="I69" s="42">
        <v>114</v>
      </c>
      <c r="J69" s="109">
        <v>5846.7</v>
      </c>
      <c r="K69" s="1051"/>
      <c r="L69" s="880"/>
    </row>
    <row r="70" spans="1:12" ht="15" thickBot="1" x14ac:dyDescent="0.35">
      <c r="A70" s="313">
        <v>342</v>
      </c>
      <c r="B70" s="27">
        <v>16998.25</v>
      </c>
      <c r="C70" s="27" t="s">
        <v>3497</v>
      </c>
      <c r="D70" s="8">
        <f>+I70</f>
        <v>342</v>
      </c>
      <c r="E70" s="8">
        <f>+J70</f>
        <v>16130.2</v>
      </c>
      <c r="F70" s="45" t="s">
        <v>3498</v>
      </c>
      <c r="G70" s="45">
        <v>59611</v>
      </c>
      <c r="H70" s="45"/>
      <c r="I70" s="45">
        <v>342</v>
      </c>
      <c r="J70" s="142">
        <v>16130.2</v>
      </c>
      <c r="K70" s="54">
        <f t="shared" ref="K70:K71" si="32">+A70-D70</f>
        <v>0</v>
      </c>
      <c r="L70" s="31">
        <f t="shared" ref="L70:L71" si="33">((+B70/A70)-(E70/D70))/(B70/A70)</f>
        <v>5.1067021605165214E-2</v>
      </c>
    </row>
    <row r="71" spans="1:12" ht="15" thickBot="1" x14ac:dyDescent="0.35">
      <c r="A71" s="313">
        <v>388</v>
      </c>
      <c r="B71" s="27">
        <v>17586.5</v>
      </c>
      <c r="C71" s="27" t="s">
        <v>3499</v>
      </c>
      <c r="D71" s="8">
        <f>+I71</f>
        <v>388</v>
      </c>
      <c r="E71" s="8">
        <f>+J71</f>
        <v>16834.5</v>
      </c>
      <c r="F71" s="45" t="s">
        <v>3500</v>
      </c>
      <c r="G71" s="45">
        <v>59711</v>
      </c>
      <c r="H71" s="45"/>
      <c r="I71" s="45">
        <v>388</v>
      </c>
      <c r="J71" s="142">
        <v>16834.5</v>
      </c>
      <c r="K71" s="54">
        <f t="shared" si="32"/>
        <v>0</v>
      </c>
      <c r="L71" s="31">
        <f t="shared" si="33"/>
        <v>4.2760071645864733E-2</v>
      </c>
    </row>
    <row r="72" spans="1:12" x14ac:dyDescent="0.3">
      <c r="A72" s="871">
        <v>300</v>
      </c>
      <c r="B72" s="873">
        <v>13789.5</v>
      </c>
      <c r="C72" s="873" t="s">
        <v>3817</v>
      </c>
      <c r="D72" s="873">
        <f>+I72+I73</f>
        <v>299</v>
      </c>
      <c r="E72" s="873">
        <f>+J72+J73</f>
        <v>13553.2</v>
      </c>
      <c r="F72" s="39" t="s">
        <v>3818</v>
      </c>
      <c r="G72" s="39">
        <v>59771</v>
      </c>
      <c r="H72" s="39"/>
      <c r="I72" s="39">
        <v>99</v>
      </c>
      <c r="J72" s="106">
        <v>4509.5</v>
      </c>
      <c r="K72" s="1050">
        <f>+A72-D72</f>
        <v>1</v>
      </c>
      <c r="L72" s="879">
        <f>((+B72/A72)-(E72/D72))/(B72/A72)</f>
        <v>1.3849057029359698E-2</v>
      </c>
    </row>
    <row r="73" spans="1:12" ht="15" thickBot="1" x14ac:dyDescent="0.35">
      <c r="A73" s="872"/>
      <c r="B73" s="874"/>
      <c r="C73" s="874"/>
      <c r="D73" s="874"/>
      <c r="E73" s="874"/>
      <c r="F73" s="42" t="s">
        <v>3818</v>
      </c>
      <c r="G73" s="42">
        <v>59771</v>
      </c>
      <c r="H73" s="42"/>
      <c r="I73" s="42">
        <v>200</v>
      </c>
      <c r="J73" s="109">
        <v>9043.7000000000007</v>
      </c>
      <c r="K73" s="1051"/>
      <c r="L73" s="880"/>
    </row>
    <row r="74" spans="1:12" ht="15" thickBot="1" x14ac:dyDescent="0.35">
      <c r="A74" s="174">
        <v>293</v>
      </c>
      <c r="B74" s="12">
        <v>13239.75</v>
      </c>
      <c r="C74" s="12" t="s">
        <v>4094</v>
      </c>
      <c r="D74" s="12">
        <f>+I74</f>
        <v>293</v>
      </c>
      <c r="E74" s="12">
        <f>+J74</f>
        <v>12882.199999999999</v>
      </c>
      <c r="F74" s="39" t="s">
        <v>4095</v>
      </c>
      <c r="G74" s="39">
        <v>59881</v>
      </c>
      <c r="H74" s="39"/>
      <c r="I74" s="39">
        <v>293</v>
      </c>
      <c r="J74" s="106">
        <v>12882.199999999999</v>
      </c>
      <c r="K74" s="54">
        <f t="shared" ref="K74:K75" si="34">+A74-D74</f>
        <v>0</v>
      </c>
      <c r="L74" s="31">
        <f t="shared" ref="L74:L75" si="35">((+B74/A74)-(E74/D74))/(B74/A74)</f>
        <v>2.7005796937253385E-2</v>
      </c>
    </row>
    <row r="75" spans="1:12" ht="15" thickBot="1" x14ac:dyDescent="0.35">
      <c r="A75" s="175">
        <v>300</v>
      </c>
      <c r="B75" s="8">
        <v>13483.5</v>
      </c>
      <c r="C75" s="8" t="s">
        <v>4096</v>
      </c>
      <c r="D75" s="8">
        <f>+I75</f>
        <v>300</v>
      </c>
      <c r="E75" s="8">
        <f>+J75</f>
        <v>13263.800000000001</v>
      </c>
      <c r="F75" s="45" t="s">
        <v>4097</v>
      </c>
      <c r="G75" s="45">
        <v>59991</v>
      </c>
      <c r="H75" s="45"/>
      <c r="I75" s="45">
        <v>300</v>
      </c>
      <c r="J75" s="142">
        <v>13263.800000000001</v>
      </c>
      <c r="K75" s="54">
        <f t="shared" si="34"/>
        <v>0</v>
      </c>
      <c r="L75" s="31">
        <f t="shared" si="35"/>
        <v>1.6293988949456658E-2</v>
      </c>
    </row>
    <row r="76" spans="1:12" x14ac:dyDescent="0.3">
      <c r="A76" s="871">
        <v>332</v>
      </c>
      <c r="B76" s="873">
        <v>14893.25</v>
      </c>
      <c r="C76" s="873" t="s">
        <v>4098</v>
      </c>
      <c r="D76" s="873">
        <f>+I76+I77</f>
        <v>332</v>
      </c>
      <c r="E76" s="873">
        <f>+J76+J77</f>
        <v>14433.05</v>
      </c>
      <c r="F76" s="39" t="s">
        <v>4099</v>
      </c>
      <c r="G76" s="39">
        <v>60041</v>
      </c>
      <c r="H76" s="39"/>
      <c r="I76" s="39">
        <v>200</v>
      </c>
      <c r="J76" s="106">
        <v>8710.75</v>
      </c>
      <c r="K76" s="1050">
        <f>+A76-D76</f>
        <v>0</v>
      </c>
      <c r="L76" s="879">
        <f>((+B76/A76)-(E76/D76))/(B76/A76)</f>
        <v>3.08999043190708E-2</v>
      </c>
    </row>
    <row r="77" spans="1:12" ht="15" thickBot="1" x14ac:dyDescent="0.35">
      <c r="A77" s="872"/>
      <c r="B77" s="874"/>
      <c r="C77" s="874"/>
      <c r="D77" s="874"/>
      <c r="E77" s="874"/>
      <c r="F77" s="42" t="s">
        <v>4099</v>
      </c>
      <c r="G77" s="42">
        <v>60041</v>
      </c>
      <c r="H77" s="42"/>
      <c r="I77" s="42">
        <v>132</v>
      </c>
      <c r="J77" s="109">
        <v>5722.3</v>
      </c>
      <c r="K77" s="1051"/>
      <c r="L77" s="880"/>
    </row>
    <row r="78" spans="1:12" ht="15" thickBot="1" x14ac:dyDescent="0.35">
      <c r="A78" s="175">
        <v>412</v>
      </c>
      <c r="B78" s="8">
        <v>18528.75</v>
      </c>
      <c r="C78" s="8" t="s">
        <v>4373</v>
      </c>
      <c r="D78" s="8">
        <v>375</v>
      </c>
      <c r="E78" s="8">
        <v>16668.5</v>
      </c>
      <c r="F78" s="45" t="s">
        <v>4374</v>
      </c>
      <c r="G78" s="45">
        <v>60051</v>
      </c>
      <c r="H78" s="45"/>
      <c r="I78" s="45">
        <v>274</v>
      </c>
      <c r="J78" s="142">
        <v>12329.9</v>
      </c>
      <c r="K78" s="54">
        <f t="shared" ref="K78" si="36">+A78-D78</f>
        <v>37</v>
      </c>
      <c r="L78" s="31">
        <f t="shared" ref="L78" si="37">((+B78/A78)-(E78/D78))/(B78/A78)</f>
        <v>1.1637302390429198E-2</v>
      </c>
    </row>
    <row r="79" spans="1:12" ht="15" thickBot="1" x14ac:dyDescent="0.35">
      <c r="A79" s="175">
        <v>204</v>
      </c>
      <c r="B79" s="8">
        <v>8677.25</v>
      </c>
      <c r="C79" s="8" t="s">
        <v>4661</v>
      </c>
      <c r="D79" s="8">
        <v>204</v>
      </c>
      <c r="E79" s="8">
        <v>8570.1</v>
      </c>
      <c r="F79" s="45" t="s">
        <v>4662</v>
      </c>
      <c r="G79" s="45" t="s">
        <v>4663</v>
      </c>
      <c r="H79" s="45"/>
      <c r="I79" s="45">
        <v>89</v>
      </c>
      <c r="J79" s="157">
        <v>3768.5</v>
      </c>
      <c r="K79" s="54">
        <f t="shared" ref="K79" si="38">+A79-D79</f>
        <v>0</v>
      </c>
      <c r="L79" s="31">
        <f t="shared" ref="L79" si="39">((+B79/A79)-(E79/D79))/(B79/A79)</f>
        <v>1.2348382263966078E-2</v>
      </c>
    </row>
    <row r="81" spans="1:5" x14ac:dyDescent="0.3">
      <c r="A81" s="124">
        <f>SUM(A5:A80)</f>
        <v>15702</v>
      </c>
      <c r="B81" s="124">
        <f>SUM(B5:B80)</f>
        <v>727055.75</v>
      </c>
      <c r="D81" s="124">
        <f>SUM(D5:D80)</f>
        <v>15619</v>
      </c>
      <c r="E81" s="124">
        <f>SUM(E5:E80)</f>
        <v>701065.34999999974</v>
      </c>
    </row>
    <row r="83" spans="1:5" ht="15.75" customHeight="1" x14ac:dyDescent="0.3"/>
  </sheetData>
  <mergeCells count="131">
    <mergeCell ref="D68:D69"/>
    <mergeCell ref="E68:E69"/>
    <mergeCell ref="K68:K69"/>
    <mergeCell ref="L68:L69"/>
    <mergeCell ref="K63:K64"/>
    <mergeCell ref="L63:L64"/>
    <mergeCell ref="A63:A64"/>
    <mergeCell ref="B63:B64"/>
    <mergeCell ref="C63:C64"/>
    <mergeCell ref="D63:D64"/>
    <mergeCell ref="E63:E64"/>
    <mergeCell ref="K46:K47"/>
    <mergeCell ref="L46:L47"/>
    <mergeCell ref="A46:A47"/>
    <mergeCell ref="B46:B47"/>
    <mergeCell ref="C46:C47"/>
    <mergeCell ref="D46:D47"/>
    <mergeCell ref="E46:E47"/>
    <mergeCell ref="K43:K44"/>
    <mergeCell ref="L43:L44"/>
    <mergeCell ref="A43:A44"/>
    <mergeCell ref="B43:B44"/>
    <mergeCell ref="C43:C44"/>
    <mergeCell ref="K55:K56"/>
    <mergeCell ref="L55:L56"/>
    <mergeCell ref="A3:C3"/>
    <mergeCell ref="D3:E3"/>
    <mergeCell ref="G3:G4"/>
    <mergeCell ref="A5:A6"/>
    <mergeCell ref="B5:B6"/>
    <mergeCell ref="C5:C6"/>
    <mergeCell ref="D5:D6"/>
    <mergeCell ref="E5:E6"/>
    <mergeCell ref="A7:A8"/>
    <mergeCell ref="B7:B8"/>
    <mergeCell ref="C7:C8"/>
    <mergeCell ref="D7:D8"/>
    <mergeCell ref="E7:E8"/>
    <mergeCell ref="J3:J4"/>
    <mergeCell ref="K3:K4"/>
    <mergeCell ref="L3:L4"/>
    <mergeCell ref="L5:L6"/>
    <mergeCell ref="L7:L8"/>
    <mergeCell ref="L9:L12"/>
    <mergeCell ref="K5:K6"/>
    <mergeCell ref="K7:K8"/>
    <mergeCell ref="K9:K12"/>
    <mergeCell ref="K39:K40"/>
    <mergeCell ref="L39:L40"/>
    <mergeCell ref="A9:A12"/>
    <mergeCell ref="B9:B12"/>
    <mergeCell ref="C9:C12"/>
    <mergeCell ref="L13:L14"/>
    <mergeCell ref="A13:A14"/>
    <mergeCell ref="B13:B14"/>
    <mergeCell ref="C13:C14"/>
    <mergeCell ref="D13:D14"/>
    <mergeCell ref="E13:E14"/>
    <mergeCell ref="D9:D12"/>
    <mergeCell ref="E9:E12"/>
    <mergeCell ref="K25:K28"/>
    <mergeCell ref="L25:L28"/>
    <mergeCell ref="A25:A28"/>
    <mergeCell ref="B25:B28"/>
    <mergeCell ref="C25:C28"/>
    <mergeCell ref="D25:D28"/>
    <mergeCell ref="E25:E28"/>
    <mergeCell ref="K29:K31"/>
    <mergeCell ref="L29:L31"/>
    <mergeCell ref="A29:A31"/>
    <mergeCell ref="B29:B31"/>
    <mergeCell ref="C29:C31"/>
    <mergeCell ref="D29:D31"/>
    <mergeCell ref="E29:E31"/>
    <mergeCell ref="K35:K36"/>
    <mergeCell ref="L35:L36"/>
    <mergeCell ref="A35:A36"/>
    <mergeCell ref="B35:B36"/>
    <mergeCell ref="C35:C36"/>
    <mergeCell ref="D35:D36"/>
    <mergeCell ref="E35:E36"/>
    <mergeCell ref="K48:K49"/>
    <mergeCell ref="L48:L49"/>
    <mergeCell ref="K50:K51"/>
    <mergeCell ref="L50:L51"/>
    <mergeCell ref="D48:D49"/>
    <mergeCell ref="E48:E49"/>
    <mergeCell ref="A50:A51"/>
    <mergeCell ref="B50:B51"/>
    <mergeCell ref="C50:C51"/>
    <mergeCell ref="D50:D51"/>
    <mergeCell ref="E50:E51"/>
    <mergeCell ref="A48:A49"/>
    <mergeCell ref="B48:B49"/>
    <mergeCell ref="C48:C49"/>
    <mergeCell ref="A55:A56"/>
    <mergeCell ref="B55:B56"/>
    <mergeCell ref="C55:C56"/>
    <mergeCell ref="D55:D56"/>
    <mergeCell ref="A39:A40"/>
    <mergeCell ref="B39:B40"/>
    <mergeCell ref="C39:C40"/>
    <mergeCell ref="D39:D40"/>
    <mergeCell ref="E39:E40"/>
    <mergeCell ref="E55:E56"/>
    <mergeCell ref="D43:D44"/>
    <mergeCell ref="E43:E44"/>
    <mergeCell ref="A76:A77"/>
    <mergeCell ref="B76:B77"/>
    <mergeCell ref="C76:C77"/>
    <mergeCell ref="D76:D77"/>
    <mergeCell ref="E76:E77"/>
    <mergeCell ref="K76:K77"/>
    <mergeCell ref="L76:L77"/>
    <mergeCell ref="A66:A67"/>
    <mergeCell ref="B66:B67"/>
    <mergeCell ref="C66:C67"/>
    <mergeCell ref="D66:D67"/>
    <mergeCell ref="E66:E67"/>
    <mergeCell ref="K66:K67"/>
    <mergeCell ref="L66:L67"/>
    <mergeCell ref="A72:A73"/>
    <mergeCell ref="B72:B73"/>
    <mergeCell ref="C72:C73"/>
    <mergeCell ref="D72:D73"/>
    <mergeCell ref="E72:E73"/>
    <mergeCell ref="K72:K73"/>
    <mergeCell ref="L72:L73"/>
    <mergeCell ref="A68:A69"/>
    <mergeCell ref="B68:B69"/>
    <mergeCell ref="C68:C6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68"/>
  <sheetViews>
    <sheetView topLeftCell="A34" zoomScale="80" zoomScaleNormal="80" workbookViewId="0">
      <selection activeCell="D74" sqref="D74"/>
    </sheetView>
  </sheetViews>
  <sheetFormatPr baseColWidth="10" defaultColWidth="8.88671875" defaultRowHeight="14.4" x14ac:dyDescent="0.3"/>
  <cols>
    <col min="1" max="2" width="15.5546875" customWidth="1"/>
    <col min="3" max="3" width="11" bestFit="1" customWidth="1"/>
    <col min="4" max="4" width="10.109375" bestFit="1" customWidth="1"/>
    <col min="5" max="5" width="12.33203125" bestFit="1" customWidth="1"/>
    <col min="8" max="8" width="13.109375" hidden="1" customWidth="1"/>
    <col min="9" max="9" width="6.33203125" hidden="1" customWidth="1"/>
    <col min="10" max="10" width="9.109375" hidden="1" customWidth="1"/>
    <col min="12" max="12" width="12" bestFit="1" customWidth="1"/>
  </cols>
  <sheetData>
    <row r="1" spans="1:12" ht="24" customHeight="1" x14ac:dyDescent="0.65">
      <c r="A1" s="104" t="s">
        <v>277</v>
      </c>
      <c r="D1" s="95"/>
      <c r="E1" s="95"/>
      <c r="F1" s="95"/>
      <c r="G1" s="95"/>
      <c r="H1" s="95"/>
      <c r="I1" s="95"/>
    </row>
    <row r="2" spans="1:12" ht="20.25" customHeight="1" thickBot="1" x14ac:dyDescent="0.35">
      <c r="D2" s="50"/>
      <c r="E2" s="50"/>
      <c r="F2" s="50"/>
      <c r="G2" s="50"/>
    </row>
    <row r="3" spans="1:12" ht="28.8" x14ac:dyDescent="0.3">
      <c r="A3" s="920" t="s">
        <v>270</v>
      </c>
      <c r="B3" s="921"/>
      <c r="C3" s="922"/>
      <c r="D3" s="920" t="s">
        <v>2</v>
      </c>
      <c r="E3" s="922"/>
      <c r="F3" s="67"/>
      <c r="G3" s="915" t="s">
        <v>3</v>
      </c>
      <c r="H3" s="96" t="s">
        <v>4</v>
      </c>
      <c r="I3" s="98"/>
      <c r="J3" s="97" t="s">
        <v>254</v>
      </c>
      <c r="K3" s="915" t="s">
        <v>91</v>
      </c>
      <c r="L3" s="984" t="s">
        <v>92</v>
      </c>
    </row>
    <row r="4" spans="1:12" ht="15" thickBot="1" x14ac:dyDescent="0.35">
      <c r="A4" s="89" t="s">
        <v>5</v>
      </c>
      <c r="B4" s="90" t="s">
        <v>6</v>
      </c>
      <c r="C4" s="115" t="s">
        <v>4</v>
      </c>
      <c r="D4" s="90" t="s">
        <v>7</v>
      </c>
      <c r="E4" s="91" t="s">
        <v>6</v>
      </c>
      <c r="F4" s="92" t="s">
        <v>8</v>
      </c>
      <c r="G4" s="916"/>
      <c r="H4" s="111" t="s">
        <v>9</v>
      </c>
      <c r="I4" s="110" t="s">
        <v>5</v>
      </c>
      <c r="J4" s="110"/>
      <c r="K4" s="916"/>
      <c r="L4" s="985"/>
    </row>
    <row r="5" spans="1:12" ht="15" thickBot="1" x14ac:dyDescent="0.35">
      <c r="A5" s="113">
        <v>75</v>
      </c>
      <c r="B5" s="22">
        <v>3180.83</v>
      </c>
      <c r="C5" s="114" t="s">
        <v>278</v>
      </c>
      <c r="D5" s="28">
        <f>+I5</f>
        <v>75</v>
      </c>
      <c r="E5" s="112">
        <f>+J5</f>
        <v>3154.4</v>
      </c>
      <c r="F5" s="28" t="s">
        <v>279</v>
      </c>
      <c r="G5" s="28">
        <v>57531</v>
      </c>
      <c r="H5" s="42"/>
      <c r="I5" s="10">
        <v>75</v>
      </c>
      <c r="J5" s="146">
        <v>3154.4</v>
      </c>
      <c r="K5" s="147">
        <f>+A5-D5</f>
        <v>0</v>
      </c>
      <c r="L5" s="32">
        <f t="shared" ref="L5:L6" si="0">(+B5-E5)/B5</f>
        <v>8.3091520137825153E-3</v>
      </c>
    </row>
    <row r="6" spans="1:12" x14ac:dyDescent="0.3">
      <c r="A6" s="1065">
        <v>500</v>
      </c>
      <c r="B6" s="894">
        <v>21147.75</v>
      </c>
      <c r="C6" s="1062" t="s">
        <v>280</v>
      </c>
      <c r="D6" s="905">
        <f>+I6+I7</f>
        <v>500</v>
      </c>
      <c r="E6" s="905">
        <f>+J6+J7</f>
        <v>20484.3</v>
      </c>
      <c r="F6" s="63" t="s">
        <v>281</v>
      </c>
      <c r="G6" s="63">
        <v>57581</v>
      </c>
      <c r="H6" s="39"/>
      <c r="I6" s="39">
        <v>201</v>
      </c>
      <c r="J6" s="144">
        <v>8195.2000000000007</v>
      </c>
      <c r="K6" s="1050">
        <f t="shared" ref="K6" si="1">+A6-D6</f>
        <v>0</v>
      </c>
      <c r="L6" s="911">
        <f t="shared" si="0"/>
        <v>3.1372131787069581E-2</v>
      </c>
    </row>
    <row r="7" spans="1:12" ht="15" thickBot="1" x14ac:dyDescent="0.35">
      <c r="A7" s="1066"/>
      <c r="B7" s="895"/>
      <c r="C7" s="1063"/>
      <c r="D7" s="906"/>
      <c r="E7" s="906"/>
      <c r="F7" s="66" t="s">
        <v>281</v>
      </c>
      <c r="G7" s="66">
        <v>57581</v>
      </c>
      <c r="H7" s="50"/>
      <c r="I7" s="50">
        <v>299</v>
      </c>
      <c r="J7" s="143">
        <v>12289.099999999999</v>
      </c>
      <c r="K7" s="1053"/>
      <c r="L7" s="919"/>
    </row>
    <row r="8" spans="1:12" x14ac:dyDescent="0.3">
      <c r="A8" s="1065">
        <v>511</v>
      </c>
      <c r="B8" s="894">
        <v>21799.5</v>
      </c>
      <c r="C8" s="1062" t="s">
        <v>282</v>
      </c>
      <c r="D8" s="905">
        <f>+I8+I9+I10</f>
        <v>511</v>
      </c>
      <c r="E8" s="905">
        <f>+J8+J9+J10</f>
        <v>21259.199999999997</v>
      </c>
      <c r="F8" s="63" t="s">
        <v>283</v>
      </c>
      <c r="G8" s="63">
        <v>57691</v>
      </c>
      <c r="H8" s="39"/>
      <c r="I8" s="39">
        <v>200</v>
      </c>
      <c r="J8" s="144">
        <v>8323.9</v>
      </c>
      <c r="K8" s="1050">
        <f>+A8-D8</f>
        <v>0</v>
      </c>
      <c r="L8" s="879">
        <f>((+B8/A8)-(E8/D8))/(B8/A8)</f>
        <v>2.4784972132388616E-2</v>
      </c>
    </row>
    <row r="9" spans="1:12" x14ac:dyDescent="0.3">
      <c r="A9" s="1066"/>
      <c r="B9" s="895"/>
      <c r="C9" s="1063"/>
      <c r="D9" s="906"/>
      <c r="E9" s="906"/>
      <c r="F9" s="66" t="s">
        <v>283</v>
      </c>
      <c r="G9" s="66">
        <v>57691</v>
      </c>
      <c r="H9" s="50"/>
      <c r="I9" s="50">
        <v>200</v>
      </c>
      <c r="J9" s="143">
        <v>8296.9</v>
      </c>
      <c r="K9" s="1053"/>
      <c r="L9" s="885"/>
    </row>
    <row r="10" spans="1:12" ht="15" thickBot="1" x14ac:dyDescent="0.35">
      <c r="A10" s="1067"/>
      <c r="B10" s="896"/>
      <c r="C10" s="1064"/>
      <c r="D10" s="907"/>
      <c r="E10" s="907"/>
      <c r="F10" s="64" t="s">
        <v>283</v>
      </c>
      <c r="G10" s="64">
        <v>57691</v>
      </c>
      <c r="H10" s="42"/>
      <c r="I10" s="42">
        <v>111</v>
      </c>
      <c r="J10" s="145">
        <v>4638.3999999999996</v>
      </c>
      <c r="K10" s="1051"/>
      <c r="L10" s="880"/>
    </row>
    <row r="11" spans="1:12" x14ac:dyDescent="0.3">
      <c r="A11" s="1065">
        <v>250</v>
      </c>
      <c r="B11" s="894">
        <v>11591.75</v>
      </c>
      <c r="C11" s="1062" t="s">
        <v>383</v>
      </c>
      <c r="D11" s="905">
        <f>+I11+I12</f>
        <v>250</v>
      </c>
      <c r="E11" s="905">
        <f>+J11+J12</f>
        <v>11188.2</v>
      </c>
      <c r="F11" s="63" t="s">
        <v>384</v>
      </c>
      <c r="G11" s="63">
        <v>57731</v>
      </c>
      <c r="H11" s="39"/>
      <c r="I11" s="39">
        <v>100</v>
      </c>
      <c r="J11" s="106">
        <v>4353.5</v>
      </c>
      <c r="K11" s="877">
        <f>+A11-D11</f>
        <v>0</v>
      </c>
      <c r="L11" s="911">
        <f t="shared" ref="L11:L13" si="2">(+B11-E11)/B11</f>
        <v>3.4813552742251973E-2</v>
      </c>
    </row>
    <row r="12" spans="1:12" ht="15" thickBot="1" x14ac:dyDescent="0.35">
      <c r="A12" s="1067"/>
      <c r="B12" s="896"/>
      <c r="C12" s="1064"/>
      <c r="D12" s="907"/>
      <c r="E12" s="907"/>
      <c r="F12" s="64" t="s">
        <v>384</v>
      </c>
      <c r="G12" s="64">
        <v>57731</v>
      </c>
      <c r="H12" s="42"/>
      <c r="I12" s="42">
        <v>150</v>
      </c>
      <c r="J12" s="109">
        <v>6834.7</v>
      </c>
      <c r="K12" s="878"/>
      <c r="L12" s="912"/>
    </row>
    <row r="13" spans="1:12" x14ac:dyDescent="0.3">
      <c r="A13" s="1065">
        <v>250</v>
      </c>
      <c r="B13" s="894">
        <v>12166.75</v>
      </c>
      <c r="C13" s="1062" t="s">
        <v>461</v>
      </c>
      <c r="D13" s="905">
        <f>+I13+I14</f>
        <v>250</v>
      </c>
      <c r="E13" s="905">
        <f>+J13+J14</f>
        <v>11830.5</v>
      </c>
      <c r="F13" s="63" t="s">
        <v>462</v>
      </c>
      <c r="G13" s="63">
        <v>57861</v>
      </c>
      <c r="H13" s="39"/>
      <c r="I13" s="39">
        <v>130</v>
      </c>
      <c r="J13" s="144">
        <v>6127.6</v>
      </c>
      <c r="K13" s="877">
        <f>+A13-D13</f>
        <v>0</v>
      </c>
      <c r="L13" s="911">
        <f t="shared" si="2"/>
        <v>2.7636797008239671E-2</v>
      </c>
    </row>
    <row r="14" spans="1:12" ht="15" thickBot="1" x14ac:dyDescent="0.35">
      <c r="A14" s="1067"/>
      <c r="B14" s="896"/>
      <c r="C14" s="1064"/>
      <c r="D14" s="907"/>
      <c r="E14" s="907"/>
      <c r="F14" s="64" t="s">
        <v>462</v>
      </c>
      <c r="G14" s="64">
        <v>57861</v>
      </c>
      <c r="H14" s="42"/>
      <c r="I14" s="42">
        <v>120</v>
      </c>
      <c r="J14" s="145">
        <v>5702.9</v>
      </c>
      <c r="K14" s="878"/>
      <c r="L14" s="912"/>
    </row>
    <row r="15" spans="1:12" ht="15" thickBot="1" x14ac:dyDescent="0.35">
      <c r="A15" s="158">
        <v>250</v>
      </c>
      <c r="B15" s="20">
        <v>10645.5</v>
      </c>
      <c r="C15" s="159" t="s">
        <v>463</v>
      </c>
      <c r="D15" s="27">
        <f>+I15</f>
        <v>250</v>
      </c>
      <c r="E15" s="27">
        <f>+J15</f>
        <v>10320.5</v>
      </c>
      <c r="F15" s="65" t="s">
        <v>464</v>
      </c>
      <c r="G15" s="65">
        <v>57921</v>
      </c>
      <c r="H15" s="45"/>
      <c r="I15" s="45">
        <v>250</v>
      </c>
      <c r="J15" s="157">
        <v>10320.5</v>
      </c>
      <c r="K15" s="54">
        <f>+A15-D15</f>
        <v>0</v>
      </c>
      <c r="L15" s="32">
        <f t="shared" ref="L15:L16" si="3">(+B15-E15)/B15</f>
        <v>3.0529331642478043E-2</v>
      </c>
    </row>
    <row r="16" spans="1:12" ht="15" thickBot="1" x14ac:dyDescent="0.35">
      <c r="A16" s="158">
        <v>405</v>
      </c>
      <c r="B16" s="20">
        <v>19023.75</v>
      </c>
      <c r="C16" s="159" t="s">
        <v>547</v>
      </c>
      <c r="D16" s="27">
        <f>+I16</f>
        <v>405</v>
      </c>
      <c r="E16" s="27">
        <f>+J16</f>
        <v>18670.400000000001</v>
      </c>
      <c r="F16" s="65" t="s">
        <v>548</v>
      </c>
      <c r="G16" s="65">
        <v>57981</v>
      </c>
      <c r="H16" s="45"/>
      <c r="I16" s="45">
        <v>405</v>
      </c>
      <c r="J16" s="157">
        <v>18670.400000000001</v>
      </c>
      <c r="K16" s="54">
        <f>+A16-D16</f>
        <v>0</v>
      </c>
      <c r="L16" s="33">
        <f t="shared" si="3"/>
        <v>1.8574150732636758E-2</v>
      </c>
    </row>
    <row r="17" spans="1:12" x14ac:dyDescent="0.3">
      <c r="A17" s="1065">
        <v>250</v>
      </c>
      <c r="B17" s="894">
        <v>10952.25</v>
      </c>
      <c r="C17" s="1062" t="s">
        <v>651</v>
      </c>
      <c r="D17" s="905">
        <f>+I17+I18</f>
        <v>248</v>
      </c>
      <c r="E17" s="905">
        <f>+J17+J18</f>
        <v>10413.299999999999</v>
      </c>
      <c r="F17" s="63" t="s">
        <v>652</v>
      </c>
      <c r="G17" s="63">
        <v>58021</v>
      </c>
      <c r="H17" s="39"/>
      <c r="I17" s="39">
        <v>200</v>
      </c>
      <c r="J17" s="106">
        <v>8406.5</v>
      </c>
      <c r="K17" s="882">
        <f>+A17-D17</f>
        <v>2</v>
      </c>
      <c r="L17" s="879">
        <f>((+B17/A17)-(E17/D17))/(B17/A17)</f>
        <v>4.1541397812645701E-2</v>
      </c>
    </row>
    <row r="18" spans="1:12" ht="15" thickBot="1" x14ac:dyDescent="0.35">
      <c r="A18" s="1067"/>
      <c r="B18" s="896"/>
      <c r="C18" s="1064"/>
      <c r="D18" s="907"/>
      <c r="E18" s="907"/>
      <c r="F18" s="64" t="s">
        <v>652</v>
      </c>
      <c r="G18" s="64">
        <v>58021</v>
      </c>
      <c r="H18" s="42"/>
      <c r="I18" s="42">
        <v>48</v>
      </c>
      <c r="J18" s="109">
        <v>2006.8</v>
      </c>
      <c r="K18" s="884"/>
      <c r="L18" s="880"/>
    </row>
    <row r="19" spans="1:12" ht="15" thickBot="1" x14ac:dyDescent="0.35">
      <c r="A19" s="158">
        <v>250</v>
      </c>
      <c r="B19" s="20">
        <v>11574.75</v>
      </c>
      <c r="C19" s="159" t="s">
        <v>653</v>
      </c>
      <c r="D19" s="27">
        <f>+I19</f>
        <v>250</v>
      </c>
      <c r="E19" s="27">
        <f>+J19</f>
        <v>11275.9</v>
      </c>
      <c r="F19" s="65" t="s">
        <v>654</v>
      </c>
      <c r="G19" s="65">
        <v>58071</v>
      </c>
      <c r="H19" s="45"/>
      <c r="I19" s="45">
        <v>250</v>
      </c>
      <c r="J19" s="142">
        <v>11275.9</v>
      </c>
      <c r="K19" s="54">
        <f t="shared" ref="K19:K20" si="4">+A19-D19</f>
        <v>0</v>
      </c>
      <c r="L19" s="31">
        <f>((+B19/A19)-(E19/D19))/(B19/A19)</f>
        <v>2.5819132162681686E-2</v>
      </c>
    </row>
    <row r="20" spans="1:12" ht="15" thickBot="1" x14ac:dyDescent="0.35">
      <c r="A20" s="113">
        <v>115</v>
      </c>
      <c r="B20" s="22">
        <v>5189.5</v>
      </c>
      <c r="C20" s="114" t="s">
        <v>655</v>
      </c>
      <c r="D20" s="28">
        <f>+I20</f>
        <v>115</v>
      </c>
      <c r="E20" s="28">
        <f>+J20</f>
        <v>5056.6000000000004</v>
      </c>
      <c r="F20" s="64" t="s">
        <v>656</v>
      </c>
      <c r="G20" s="64">
        <v>58101</v>
      </c>
      <c r="H20" s="42"/>
      <c r="I20" s="42">
        <v>115</v>
      </c>
      <c r="J20" s="109">
        <v>5056.6000000000004</v>
      </c>
      <c r="K20" s="54">
        <f t="shared" si="4"/>
        <v>0</v>
      </c>
      <c r="L20" s="33">
        <f t="shared" ref="L20" si="5">(+B20-E20)/B20</f>
        <v>2.5609403603429934E-2</v>
      </c>
    </row>
    <row r="21" spans="1:12" x14ac:dyDescent="0.3">
      <c r="A21" s="1065">
        <v>250</v>
      </c>
      <c r="B21" s="894">
        <v>11142.25</v>
      </c>
      <c r="C21" s="1062" t="s">
        <v>769</v>
      </c>
      <c r="D21" s="905">
        <f>+I21+I22+I23</f>
        <v>250</v>
      </c>
      <c r="E21" s="905">
        <f>+J21+J22+J23</f>
        <v>10856.400000000001</v>
      </c>
      <c r="F21" s="63" t="s">
        <v>770</v>
      </c>
      <c r="G21" s="63">
        <v>58141</v>
      </c>
      <c r="H21" s="39"/>
      <c r="I21" s="39">
        <v>100</v>
      </c>
      <c r="J21" s="144">
        <v>4440.1000000000004</v>
      </c>
      <c r="K21" s="877">
        <f t="shared" ref="K21" si="6">+A21-D21</f>
        <v>0</v>
      </c>
      <c r="L21" s="879">
        <f t="shared" ref="L21" si="7">(+B21-E21)/B21</f>
        <v>2.5654602975161978E-2</v>
      </c>
    </row>
    <row r="22" spans="1:12" x14ac:dyDescent="0.3">
      <c r="A22" s="1066"/>
      <c r="B22" s="895"/>
      <c r="C22" s="1063"/>
      <c r="D22" s="906"/>
      <c r="E22" s="906"/>
      <c r="F22" s="66" t="s">
        <v>770</v>
      </c>
      <c r="G22" s="66">
        <v>58141</v>
      </c>
      <c r="H22" s="50"/>
      <c r="I22" s="50">
        <v>100</v>
      </c>
      <c r="J22" s="143">
        <v>4299.5</v>
      </c>
      <c r="K22" s="886"/>
      <c r="L22" s="885"/>
    </row>
    <row r="23" spans="1:12" ht="15" thickBot="1" x14ac:dyDescent="0.35">
      <c r="A23" s="1067"/>
      <c r="B23" s="896"/>
      <c r="C23" s="1064"/>
      <c r="D23" s="907"/>
      <c r="E23" s="907"/>
      <c r="F23" s="64" t="s">
        <v>770</v>
      </c>
      <c r="G23" s="64">
        <v>58141</v>
      </c>
      <c r="H23" s="42"/>
      <c r="I23" s="42">
        <v>50</v>
      </c>
      <c r="J23" s="145">
        <v>2116.8000000000002</v>
      </c>
      <c r="K23" s="878"/>
      <c r="L23" s="880"/>
    </row>
    <row r="24" spans="1:12" x14ac:dyDescent="0.3">
      <c r="A24" s="167">
        <v>250</v>
      </c>
      <c r="B24" s="24">
        <v>12646.25</v>
      </c>
      <c r="C24" s="168" t="s">
        <v>771</v>
      </c>
      <c r="D24" s="29">
        <v>250</v>
      </c>
      <c r="E24" s="29">
        <v>12076.1</v>
      </c>
      <c r="F24" s="63" t="s">
        <v>772</v>
      </c>
      <c r="G24" s="63">
        <v>58181</v>
      </c>
      <c r="H24" s="39"/>
      <c r="I24" s="39">
        <v>50</v>
      </c>
      <c r="J24" s="144">
        <v>2335.3000000000002</v>
      </c>
      <c r="K24" s="882">
        <f>+A24-D24</f>
        <v>0</v>
      </c>
      <c r="L24" s="879">
        <f>((+B24/A24)-(E24/D24))/(B24/A24)</f>
        <v>4.5084511218740728E-2</v>
      </c>
    </row>
    <row r="25" spans="1:12" ht="15" thickBot="1" x14ac:dyDescent="0.35">
      <c r="A25" s="113"/>
      <c r="B25" s="22"/>
      <c r="C25" s="114"/>
      <c r="D25" s="28"/>
      <c r="E25" s="28"/>
      <c r="F25" s="64" t="s">
        <v>772</v>
      </c>
      <c r="G25" s="64">
        <v>58181</v>
      </c>
      <c r="H25" s="42"/>
      <c r="I25" s="42">
        <v>100</v>
      </c>
      <c r="J25" s="145">
        <v>4869.3</v>
      </c>
      <c r="K25" s="884"/>
      <c r="L25" s="880"/>
    </row>
    <row r="26" spans="1:12" ht="15" thickBot="1" x14ac:dyDescent="0.35">
      <c r="A26" s="113">
        <v>249</v>
      </c>
      <c r="B26" s="22">
        <v>12693.75</v>
      </c>
      <c r="C26" s="114" t="s">
        <v>850</v>
      </c>
      <c r="D26" s="28">
        <v>249</v>
      </c>
      <c r="E26" s="28">
        <v>12219.3</v>
      </c>
      <c r="F26" s="64" t="s">
        <v>852</v>
      </c>
      <c r="G26" s="64">
        <v>58201</v>
      </c>
      <c r="H26" s="42"/>
      <c r="I26" s="42">
        <v>115</v>
      </c>
      <c r="J26" s="109">
        <v>5056.6000000000004</v>
      </c>
      <c r="K26" s="54">
        <f t="shared" ref="K26:K28" si="8">+A26-D26</f>
        <v>0</v>
      </c>
      <c r="L26" s="33">
        <f t="shared" ref="L26:L28" si="9">(+B26-E26)/B26</f>
        <v>3.7376661742983812E-2</v>
      </c>
    </row>
    <row r="27" spans="1:12" ht="15" thickBot="1" x14ac:dyDescent="0.35">
      <c r="A27" s="113">
        <v>221</v>
      </c>
      <c r="B27" s="22">
        <v>11219.5</v>
      </c>
      <c r="C27" s="114" t="s">
        <v>851</v>
      </c>
      <c r="D27" s="28">
        <v>221</v>
      </c>
      <c r="E27" s="28">
        <v>10908.4</v>
      </c>
      <c r="F27" s="64" t="s">
        <v>853</v>
      </c>
      <c r="G27" s="64">
        <v>58261</v>
      </c>
      <c r="H27" s="42"/>
      <c r="I27" s="42">
        <v>115</v>
      </c>
      <c r="J27" s="109">
        <v>5056.6000000000004</v>
      </c>
      <c r="K27" s="54">
        <f t="shared" si="8"/>
        <v>0</v>
      </c>
      <c r="L27" s="33">
        <f t="shared" si="9"/>
        <v>2.7728508400552642E-2</v>
      </c>
    </row>
    <row r="28" spans="1:12" ht="15" thickBot="1" x14ac:dyDescent="0.35">
      <c r="A28" s="197">
        <v>159</v>
      </c>
      <c r="B28" s="8">
        <v>6457.25</v>
      </c>
      <c r="C28" s="198" t="s">
        <v>1001</v>
      </c>
      <c r="D28" s="8">
        <f>+I28</f>
        <v>159</v>
      </c>
      <c r="E28" s="188">
        <f>+J28</f>
        <v>6457.5</v>
      </c>
      <c r="F28" s="45" t="s">
        <v>1002</v>
      </c>
      <c r="G28" s="45">
        <v>58341</v>
      </c>
      <c r="H28" s="45"/>
      <c r="I28" s="45">
        <v>159</v>
      </c>
      <c r="J28" s="142">
        <v>6457.5</v>
      </c>
      <c r="K28" s="54">
        <f t="shared" si="8"/>
        <v>0</v>
      </c>
      <c r="L28" s="33">
        <f t="shared" si="9"/>
        <v>-3.8716171744937858E-5</v>
      </c>
    </row>
    <row r="29" spans="1:12" x14ac:dyDescent="0.3">
      <c r="A29" s="901">
        <v>286</v>
      </c>
      <c r="B29" s="873">
        <v>13898.5</v>
      </c>
      <c r="C29" s="897" t="s">
        <v>1338</v>
      </c>
      <c r="D29" s="873">
        <f>+I29+I30</f>
        <v>286</v>
      </c>
      <c r="E29" s="873">
        <f>+J29+J30</f>
        <v>13729.8</v>
      </c>
      <c r="F29" s="39" t="s">
        <v>1339</v>
      </c>
      <c r="G29" s="39">
        <v>58441</v>
      </c>
      <c r="H29" s="39"/>
      <c r="I29" s="39">
        <v>144</v>
      </c>
      <c r="J29" s="106">
        <v>6884.2</v>
      </c>
      <c r="K29" s="877">
        <f t="shared" ref="K29" si="10">+A29-D29</f>
        <v>0</v>
      </c>
      <c r="L29" s="879">
        <f t="shared" ref="L29" si="11">(+B29-E29)/B29</f>
        <v>1.2138000503651526E-2</v>
      </c>
    </row>
    <row r="30" spans="1:12" ht="15" thickBot="1" x14ac:dyDescent="0.35">
      <c r="A30" s="888"/>
      <c r="B30" s="874"/>
      <c r="C30" s="890"/>
      <c r="D30" s="874"/>
      <c r="E30" s="874"/>
      <c r="F30" s="42" t="s">
        <v>1339</v>
      </c>
      <c r="G30" s="42">
        <v>58441</v>
      </c>
      <c r="H30" s="42"/>
      <c r="I30" s="42">
        <v>142</v>
      </c>
      <c r="J30" s="109">
        <v>6845.5999999999995</v>
      </c>
      <c r="K30" s="878"/>
      <c r="L30" s="880"/>
    </row>
    <row r="31" spans="1:12" ht="15" thickBot="1" x14ac:dyDescent="0.35">
      <c r="A31" s="197">
        <v>282</v>
      </c>
      <c r="B31" s="8">
        <v>14406</v>
      </c>
      <c r="C31" s="198" t="s">
        <v>1379</v>
      </c>
      <c r="D31" s="8">
        <v>285</v>
      </c>
      <c r="E31" s="8">
        <v>13944.9</v>
      </c>
      <c r="F31" s="45" t="s">
        <v>1380</v>
      </c>
      <c r="G31" s="45">
        <v>58531</v>
      </c>
      <c r="H31" s="45"/>
      <c r="I31" s="45">
        <v>200</v>
      </c>
      <c r="J31" s="142">
        <v>9954.7000000000007</v>
      </c>
      <c r="K31" s="54">
        <f t="shared" ref="K31" si="12">+A31-D31</f>
        <v>-3</v>
      </c>
      <c r="L31" s="31">
        <f t="shared" ref="L31" si="13">((+B31/A31)-(E31/D31))/(B31/A31)</f>
        <v>4.219689164602463E-2</v>
      </c>
    </row>
    <row r="32" spans="1:12" x14ac:dyDescent="0.3">
      <c r="A32" s="901">
        <v>421</v>
      </c>
      <c r="B32" s="873">
        <v>20964</v>
      </c>
      <c r="C32" s="897" t="s">
        <v>1447</v>
      </c>
      <c r="D32" s="873">
        <v>419</v>
      </c>
      <c r="E32" s="873">
        <v>20763.099999999999</v>
      </c>
      <c r="F32" s="39" t="s">
        <v>1448</v>
      </c>
      <c r="G32" s="39">
        <v>58581</v>
      </c>
      <c r="H32" s="39"/>
      <c r="I32" s="39">
        <v>119</v>
      </c>
      <c r="J32" s="106">
        <v>5770.3</v>
      </c>
      <c r="K32" s="882">
        <f>+A32-D32</f>
        <v>2</v>
      </c>
      <c r="L32" s="879">
        <f>((+B32/A32)-(E32/D32))/(B32/A32)</f>
        <v>4.8555678355759538E-3</v>
      </c>
    </row>
    <row r="33" spans="1:12" ht="15" thickBot="1" x14ac:dyDescent="0.35">
      <c r="A33" s="888"/>
      <c r="B33" s="874"/>
      <c r="C33" s="890"/>
      <c r="D33" s="874"/>
      <c r="E33" s="874"/>
      <c r="F33" s="42" t="s">
        <v>1448</v>
      </c>
      <c r="G33" s="42">
        <v>58581</v>
      </c>
      <c r="H33" s="42"/>
      <c r="I33" s="42">
        <v>200</v>
      </c>
      <c r="J33" s="109">
        <v>9918.2999999999993</v>
      </c>
      <c r="K33" s="884"/>
      <c r="L33" s="880"/>
    </row>
    <row r="34" spans="1:12" ht="15" thickBot="1" x14ac:dyDescent="0.35">
      <c r="A34" s="197">
        <v>113</v>
      </c>
      <c r="B34" s="8">
        <v>5816</v>
      </c>
      <c r="C34" s="198" t="s">
        <v>1630</v>
      </c>
      <c r="D34" s="8">
        <f>+I34</f>
        <v>113</v>
      </c>
      <c r="E34" s="8">
        <f>+J34</f>
        <v>5565.6</v>
      </c>
      <c r="F34" s="45" t="s">
        <v>1631</v>
      </c>
      <c r="G34" s="45">
        <v>58661</v>
      </c>
      <c r="H34" s="45"/>
      <c r="I34" s="45">
        <v>113</v>
      </c>
      <c r="J34" s="142">
        <v>5565.6</v>
      </c>
      <c r="K34" s="54">
        <f t="shared" ref="K34:K35" si="14">+A34-D34</f>
        <v>0</v>
      </c>
      <c r="L34" s="33">
        <f t="shared" ref="L34:L35" si="15">(+B34-E34)/B34</f>
        <v>4.3053645116918782E-2</v>
      </c>
    </row>
    <row r="35" spans="1:12" ht="15" thickBot="1" x14ac:dyDescent="0.35">
      <c r="A35" s="197">
        <v>166</v>
      </c>
      <c r="B35" s="8">
        <v>8753</v>
      </c>
      <c r="C35" s="198" t="s">
        <v>1632</v>
      </c>
      <c r="D35" s="8">
        <f>+I35</f>
        <v>166</v>
      </c>
      <c r="E35" s="8">
        <f>+J35</f>
        <v>8426.2999999999993</v>
      </c>
      <c r="F35" s="45" t="s">
        <v>1633</v>
      </c>
      <c r="G35" s="45">
        <v>58691</v>
      </c>
      <c r="H35" s="45"/>
      <c r="I35" s="45">
        <v>166</v>
      </c>
      <c r="J35" s="142">
        <v>8426.2999999999993</v>
      </c>
      <c r="K35" s="54">
        <f t="shared" si="14"/>
        <v>0</v>
      </c>
      <c r="L35" s="33">
        <f t="shared" si="15"/>
        <v>3.7324345938535446E-2</v>
      </c>
    </row>
    <row r="36" spans="1:12" x14ac:dyDescent="0.3">
      <c r="A36" s="873">
        <v>405</v>
      </c>
      <c r="B36" s="873">
        <v>20654.25</v>
      </c>
      <c r="C36" s="897" t="s">
        <v>1729</v>
      </c>
      <c r="D36" s="873">
        <f>+I36+I37</f>
        <v>406</v>
      </c>
      <c r="E36" s="873">
        <f>+J36+J37</f>
        <v>20208.699999999997</v>
      </c>
      <c r="F36" s="39" t="s">
        <v>1730</v>
      </c>
      <c r="G36" s="39">
        <v>58701</v>
      </c>
      <c r="H36" s="39"/>
      <c r="I36" s="39">
        <v>200</v>
      </c>
      <c r="J36" s="106">
        <v>9977.6</v>
      </c>
      <c r="K36" s="882">
        <f>+A36-D36</f>
        <v>-1</v>
      </c>
      <c r="L36" s="879">
        <f>((+B36/A36)-(E36/D36))/(B36/A36)</f>
        <v>2.3981753060639363E-2</v>
      </c>
    </row>
    <row r="37" spans="1:12" ht="15" thickBot="1" x14ac:dyDescent="0.35">
      <c r="A37" s="874"/>
      <c r="B37" s="874"/>
      <c r="C37" s="890"/>
      <c r="D37" s="874"/>
      <c r="E37" s="874"/>
      <c r="F37" s="42" t="s">
        <v>1730</v>
      </c>
      <c r="G37" s="42">
        <v>58701</v>
      </c>
      <c r="H37" s="42"/>
      <c r="I37" s="42">
        <v>206</v>
      </c>
      <c r="J37" s="109">
        <v>10231.099999999999</v>
      </c>
      <c r="K37" s="884"/>
      <c r="L37" s="880"/>
    </row>
    <row r="38" spans="1:12" ht="15" thickBot="1" x14ac:dyDescent="0.35">
      <c r="A38" s="197">
        <v>300</v>
      </c>
      <c r="B38" s="188">
        <v>15267.25</v>
      </c>
      <c r="C38" s="198" t="s">
        <v>1731</v>
      </c>
      <c r="D38" s="8">
        <v>300</v>
      </c>
      <c r="E38" s="188">
        <v>14823.3</v>
      </c>
      <c r="F38" s="45" t="s">
        <v>1732</v>
      </c>
      <c r="G38" s="45">
        <v>58771</v>
      </c>
      <c r="H38" s="45"/>
      <c r="I38" s="45">
        <v>200</v>
      </c>
      <c r="J38" s="142">
        <v>9960</v>
      </c>
      <c r="K38" s="54">
        <f t="shared" ref="K38:K41" si="16">+A38-D38</f>
        <v>0</v>
      </c>
      <c r="L38" s="33">
        <f t="shared" ref="L38:L42" si="17">(+B38-E38)/B38</f>
        <v>2.9078583241906743E-2</v>
      </c>
    </row>
    <row r="39" spans="1:12" ht="15" thickBot="1" x14ac:dyDescent="0.35">
      <c r="A39" s="197">
        <v>99</v>
      </c>
      <c r="B39" s="253">
        <v>4876.5</v>
      </c>
      <c r="C39" s="198" t="s">
        <v>2080</v>
      </c>
      <c r="D39" s="8">
        <f t="shared" ref="D39:E40" si="18">+I39</f>
        <v>99</v>
      </c>
      <c r="E39" s="8">
        <f t="shared" si="18"/>
        <v>4680.8</v>
      </c>
      <c r="F39" s="45" t="s">
        <v>2081</v>
      </c>
      <c r="G39" s="45">
        <v>58811</v>
      </c>
      <c r="H39" s="45"/>
      <c r="I39" s="45">
        <v>99</v>
      </c>
      <c r="J39" s="142">
        <v>4680.8</v>
      </c>
      <c r="K39" s="54">
        <f t="shared" si="16"/>
        <v>0</v>
      </c>
      <c r="L39" s="33">
        <f t="shared" si="17"/>
        <v>4.013124166922994E-2</v>
      </c>
    </row>
    <row r="40" spans="1:12" ht="15" thickBot="1" x14ac:dyDescent="0.35">
      <c r="A40" s="197">
        <v>77</v>
      </c>
      <c r="B40" s="253">
        <v>2591.75</v>
      </c>
      <c r="C40" s="198" t="s">
        <v>2082</v>
      </c>
      <c r="D40" s="8">
        <f t="shared" si="18"/>
        <v>77</v>
      </c>
      <c r="E40" s="8">
        <f t="shared" si="18"/>
        <v>2539.8000000000002</v>
      </c>
      <c r="F40" s="45" t="s">
        <v>2083</v>
      </c>
      <c r="G40" s="45">
        <v>58851</v>
      </c>
      <c r="H40" s="45"/>
      <c r="I40" s="45">
        <v>77</v>
      </c>
      <c r="J40" s="142">
        <v>2539.8000000000002</v>
      </c>
      <c r="K40" s="54">
        <f t="shared" si="16"/>
        <v>0</v>
      </c>
      <c r="L40" s="33">
        <f t="shared" si="17"/>
        <v>2.0044371563615247E-2</v>
      </c>
    </row>
    <row r="41" spans="1:12" ht="15" thickBot="1" x14ac:dyDescent="0.35">
      <c r="A41" s="257">
        <v>212</v>
      </c>
      <c r="B41" s="258">
        <v>10866</v>
      </c>
      <c r="C41" s="259" t="s">
        <v>2230</v>
      </c>
      <c r="D41" s="8">
        <v>212</v>
      </c>
      <c r="E41" s="8">
        <v>10685.4</v>
      </c>
      <c r="F41" s="45" t="s">
        <v>2231</v>
      </c>
      <c r="G41" s="46">
        <v>58881</v>
      </c>
      <c r="H41" s="50"/>
      <c r="I41" s="50">
        <v>100</v>
      </c>
      <c r="J41" s="143">
        <v>5069.7</v>
      </c>
      <c r="K41" s="54">
        <f t="shared" si="16"/>
        <v>0</v>
      </c>
      <c r="L41" s="33">
        <f t="shared" si="17"/>
        <v>1.6620651573716214E-2</v>
      </c>
    </row>
    <row r="42" spans="1:12" x14ac:dyDescent="0.3">
      <c r="A42" s="901">
        <v>300</v>
      </c>
      <c r="B42" s="1001">
        <v>14812.25</v>
      </c>
      <c r="C42" s="897" t="s">
        <v>2384</v>
      </c>
      <c r="D42" s="873">
        <v>300</v>
      </c>
      <c r="E42" s="873">
        <v>14397.7</v>
      </c>
      <c r="F42" s="39" t="s">
        <v>2385</v>
      </c>
      <c r="G42" s="39">
        <v>59131</v>
      </c>
      <c r="H42" s="39"/>
      <c r="I42" s="39">
        <v>100</v>
      </c>
      <c r="J42" s="106">
        <v>4949</v>
      </c>
      <c r="K42" s="882">
        <f>+A42-D42</f>
        <v>0</v>
      </c>
      <c r="L42" s="879">
        <f t="shared" si="17"/>
        <v>2.7986970244223482E-2</v>
      </c>
    </row>
    <row r="43" spans="1:12" ht="15" thickBot="1" x14ac:dyDescent="0.35">
      <c r="A43" s="888"/>
      <c r="B43" s="1002"/>
      <c r="C43" s="890"/>
      <c r="D43" s="874"/>
      <c r="E43" s="874"/>
      <c r="F43" s="42" t="s">
        <v>2385</v>
      </c>
      <c r="G43" s="42">
        <v>59131</v>
      </c>
      <c r="H43" s="42"/>
      <c r="I43" s="42">
        <v>100</v>
      </c>
      <c r="J43" s="109">
        <v>4833.1000000000004</v>
      </c>
      <c r="K43" s="884"/>
      <c r="L43" s="880"/>
    </row>
    <row r="44" spans="1:12" x14ac:dyDescent="0.3">
      <c r="A44" s="901">
        <v>336</v>
      </c>
      <c r="B44" s="1001">
        <v>16239</v>
      </c>
      <c r="C44" s="897" t="s">
        <v>2707</v>
      </c>
      <c r="D44" s="873">
        <f>+I44+I46+I45</f>
        <v>335</v>
      </c>
      <c r="E44" s="873">
        <f>+J44+J46+J45</f>
        <v>15736.1</v>
      </c>
      <c r="F44" s="39" t="s">
        <v>2708</v>
      </c>
      <c r="G44" s="39">
        <v>59231</v>
      </c>
      <c r="H44" s="39"/>
      <c r="I44" s="39">
        <v>100</v>
      </c>
      <c r="J44" s="106">
        <v>4619.8</v>
      </c>
      <c r="K44" s="877">
        <f t="shared" ref="K44" si="19">+A44-D44</f>
        <v>1</v>
      </c>
      <c r="L44" s="879">
        <f t="shared" ref="L44" si="20">((+B44/A44)-(E44/D44))/(B44/A44)</f>
        <v>2.8076024826909327E-2</v>
      </c>
    </row>
    <row r="45" spans="1:12" x14ac:dyDescent="0.3">
      <c r="A45" s="887"/>
      <c r="B45" s="1011"/>
      <c r="C45" s="889"/>
      <c r="D45" s="881"/>
      <c r="E45" s="881"/>
      <c r="F45" s="50" t="s">
        <v>2708</v>
      </c>
      <c r="G45" s="50">
        <v>59231</v>
      </c>
      <c r="H45" s="50"/>
      <c r="I45" s="50">
        <v>92</v>
      </c>
      <c r="J45" s="101">
        <v>4284.6000000000004</v>
      </c>
      <c r="K45" s="886"/>
      <c r="L45" s="885"/>
    </row>
    <row r="46" spans="1:12" ht="15" thickBot="1" x14ac:dyDescent="0.35">
      <c r="A46" s="888"/>
      <c r="B46" s="1002"/>
      <c r="C46" s="890"/>
      <c r="D46" s="874"/>
      <c r="E46" s="874"/>
      <c r="F46" s="42" t="s">
        <v>2708</v>
      </c>
      <c r="G46" s="42">
        <v>59231</v>
      </c>
      <c r="H46" s="42"/>
      <c r="I46" s="42">
        <v>143</v>
      </c>
      <c r="J46" s="109">
        <v>6831.7</v>
      </c>
      <c r="K46" s="878"/>
      <c r="L46" s="880"/>
    </row>
    <row r="47" spans="1:12" x14ac:dyDescent="0.3">
      <c r="A47" s="901">
        <v>158</v>
      </c>
      <c r="B47" s="1001">
        <v>7681</v>
      </c>
      <c r="C47" s="897" t="s">
        <v>2844</v>
      </c>
      <c r="D47" s="873">
        <f>+I47+I48</f>
        <v>159</v>
      </c>
      <c r="E47" s="873">
        <f>+J47+J48</f>
        <v>7652.4</v>
      </c>
      <c r="F47" s="39" t="s">
        <v>2845</v>
      </c>
      <c r="G47" s="39">
        <v>59301</v>
      </c>
      <c r="H47" s="39"/>
      <c r="I47" s="39">
        <v>84</v>
      </c>
      <c r="J47" s="106">
        <v>4002.4</v>
      </c>
      <c r="K47" s="882">
        <f>+A47-D47</f>
        <v>-1</v>
      </c>
      <c r="L47" s="879">
        <f>((+B47/A47)-(E47/D47))/(B47/A47)</f>
        <v>9.9893636097894492E-3</v>
      </c>
    </row>
    <row r="48" spans="1:12" ht="15" thickBot="1" x14ac:dyDescent="0.35">
      <c r="A48" s="888"/>
      <c r="B48" s="1002"/>
      <c r="C48" s="890"/>
      <c r="D48" s="874"/>
      <c r="E48" s="874"/>
      <c r="F48" s="42" t="s">
        <v>2845</v>
      </c>
      <c r="G48" s="42">
        <v>59301</v>
      </c>
      <c r="H48" s="42"/>
      <c r="I48" s="42">
        <v>75</v>
      </c>
      <c r="J48" s="109">
        <v>3650</v>
      </c>
      <c r="K48" s="884"/>
      <c r="L48" s="880"/>
    </row>
    <row r="49" spans="1:13" ht="15" thickBot="1" x14ac:dyDescent="0.35">
      <c r="A49" s="197">
        <v>131</v>
      </c>
      <c r="B49" s="253">
        <v>4397.25</v>
      </c>
      <c r="C49" s="198" t="s">
        <v>3130</v>
      </c>
      <c r="D49" s="8">
        <f>+I49</f>
        <v>131</v>
      </c>
      <c r="E49" s="8">
        <f>+J49</f>
        <v>4376.7</v>
      </c>
      <c r="F49" s="45" t="s">
        <v>3131</v>
      </c>
      <c r="G49" s="45">
        <v>59421</v>
      </c>
      <c r="H49" s="45"/>
      <c r="I49" s="45">
        <v>131</v>
      </c>
      <c r="J49" s="142">
        <v>4376.7</v>
      </c>
      <c r="K49" s="54">
        <f t="shared" ref="K49:K51" si="21">+A49-D49</f>
        <v>0</v>
      </c>
      <c r="L49" s="33">
        <f t="shared" ref="L49:L50" si="22">(+B49-E49)/B49</f>
        <v>4.6733754050827638E-3</v>
      </c>
    </row>
    <row r="50" spans="1:13" ht="15" thickBot="1" x14ac:dyDescent="0.35">
      <c r="A50" s="197">
        <v>50</v>
      </c>
      <c r="B50" s="253">
        <v>1670.25</v>
      </c>
      <c r="C50" s="198" t="s">
        <v>3132</v>
      </c>
      <c r="D50" s="8">
        <f>+I50</f>
        <v>50</v>
      </c>
      <c r="E50" s="8">
        <f>+J50</f>
        <v>1669.4</v>
      </c>
      <c r="F50" s="45" t="s">
        <v>3133</v>
      </c>
      <c r="G50" s="45">
        <v>59431</v>
      </c>
      <c r="H50" s="45"/>
      <c r="I50" s="45">
        <v>50</v>
      </c>
      <c r="J50" s="142">
        <v>1669.4</v>
      </c>
      <c r="K50" s="54">
        <f t="shared" si="21"/>
        <v>0</v>
      </c>
      <c r="L50" s="33">
        <f t="shared" si="22"/>
        <v>5.0890585241724837E-4</v>
      </c>
    </row>
    <row r="51" spans="1:13" x14ac:dyDescent="0.3">
      <c r="A51" s="901">
        <v>341</v>
      </c>
      <c r="B51" s="1001">
        <v>16323</v>
      </c>
      <c r="C51" s="897" t="s">
        <v>3264</v>
      </c>
      <c r="D51" s="873">
        <f>+I51+I53+I52</f>
        <v>341</v>
      </c>
      <c r="E51" s="873">
        <f>+J51+J53+J52</f>
        <v>15034.3</v>
      </c>
      <c r="F51" s="39" t="s">
        <v>3265</v>
      </c>
      <c r="G51" s="39">
        <v>59451</v>
      </c>
      <c r="H51" s="39"/>
      <c r="I51" s="39">
        <v>200</v>
      </c>
      <c r="J51" s="106">
        <v>9249.2999999999993</v>
      </c>
      <c r="K51" s="877">
        <f t="shared" si="21"/>
        <v>0</v>
      </c>
      <c r="L51" s="879">
        <f t="shared" ref="L51" si="23">((+B51/A51)-(E51/D51))/(B51/A51)</f>
        <v>7.8949947926239092E-2</v>
      </c>
      <c r="M51" s="302"/>
    </row>
    <row r="52" spans="1:13" x14ac:dyDescent="0.3">
      <c r="A52" s="887"/>
      <c r="B52" s="1011"/>
      <c r="C52" s="889"/>
      <c r="D52" s="881"/>
      <c r="E52" s="881"/>
      <c r="F52" s="50" t="s">
        <v>3265</v>
      </c>
      <c r="G52" s="50">
        <v>59451</v>
      </c>
      <c r="H52" s="50"/>
      <c r="I52" s="50">
        <v>51</v>
      </c>
      <c r="J52" s="101">
        <v>2370.3000000000002</v>
      </c>
      <c r="K52" s="886"/>
      <c r="L52" s="885"/>
    </row>
    <row r="53" spans="1:13" ht="15" thickBot="1" x14ac:dyDescent="0.35">
      <c r="A53" s="888"/>
      <c r="B53" s="1002"/>
      <c r="C53" s="890"/>
      <c r="D53" s="874"/>
      <c r="E53" s="874"/>
      <c r="F53" s="42" t="s">
        <v>3265</v>
      </c>
      <c r="G53" s="42">
        <v>59451</v>
      </c>
      <c r="H53" s="42"/>
      <c r="I53" s="42">
        <v>90</v>
      </c>
      <c r="J53" s="109">
        <v>3414.7</v>
      </c>
      <c r="K53" s="878"/>
      <c r="L53" s="880"/>
    </row>
    <row r="54" spans="1:13" ht="15" thickBot="1" x14ac:dyDescent="0.35">
      <c r="A54" s="305">
        <v>225</v>
      </c>
      <c r="B54" s="253">
        <v>10257.25</v>
      </c>
      <c r="C54" s="198" t="s">
        <v>3366</v>
      </c>
      <c r="D54" s="8">
        <f>+I54+129</f>
        <v>225</v>
      </c>
      <c r="E54" s="188">
        <f>+J54+5824</f>
        <v>10069.6</v>
      </c>
      <c r="F54" s="45" t="s">
        <v>3367</v>
      </c>
      <c r="G54" s="46">
        <v>59551</v>
      </c>
      <c r="H54" s="50"/>
      <c r="I54" s="50">
        <v>96</v>
      </c>
      <c r="J54" s="143">
        <v>4245.6000000000004</v>
      </c>
      <c r="K54" s="54">
        <f t="shared" ref="K54" si="24">+A54-D54</f>
        <v>0</v>
      </c>
      <c r="L54" s="31">
        <f t="shared" ref="L54" si="25">((+B54/A54)-(E54/D54))/(B54/A54)</f>
        <v>1.8294377147871087E-2</v>
      </c>
    </row>
    <row r="55" spans="1:13" x14ac:dyDescent="0.3">
      <c r="A55" s="1056">
        <v>268</v>
      </c>
      <c r="B55" s="1058">
        <v>12432.5</v>
      </c>
      <c r="C55" s="1060" t="s">
        <v>3501</v>
      </c>
      <c r="D55" s="881">
        <f>+I55+I56</f>
        <v>270</v>
      </c>
      <c r="E55" s="881">
        <f>+J55+J56</f>
        <v>12403.2</v>
      </c>
      <c r="F55" s="50" t="s">
        <v>3502</v>
      </c>
      <c r="G55" s="50">
        <v>59671</v>
      </c>
      <c r="H55" s="50"/>
      <c r="I55" s="50">
        <v>71</v>
      </c>
      <c r="J55" s="101">
        <v>3196.5</v>
      </c>
      <c r="K55" s="882">
        <f>+A55-D55</f>
        <v>-2</v>
      </c>
      <c r="L55" s="879">
        <f>((+B55/A55)-(E55/D55))/(B55/A55)</f>
        <v>9.7466764975309463E-3</v>
      </c>
    </row>
    <row r="56" spans="1:13" ht="15" thickBot="1" x14ac:dyDescent="0.35">
      <c r="A56" s="1057"/>
      <c r="B56" s="1059"/>
      <c r="C56" s="1061"/>
      <c r="D56" s="874"/>
      <c r="E56" s="874"/>
      <c r="F56" s="42" t="s">
        <v>3502</v>
      </c>
      <c r="G56" s="42">
        <v>59671</v>
      </c>
      <c r="H56" s="42"/>
      <c r="I56" s="42">
        <v>199</v>
      </c>
      <c r="J56" s="109">
        <v>9206.7000000000007</v>
      </c>
      <c r="K56" s="884"/>
      <c r="L56" s="880"/>
    </row>
    <row r="57" spans="1:13" x14ac:dyDescent="0.3">
      <c r="A57" s="901">
        <v>276</v>
      </c>
      <c r="B57" s="1001">
        <v>13499.75</v>
      </c>
      <c r="C57" s="897" t="s">
        <v>3819</v>
      </c>
      <c r="D57" s="873">
        <f>+I57+I58</f>
        <v>276</v>
      </c>
      <c r="E57" s="873">
        <f>+J57+J58</f>
        <v>13088.7</v>
      </c>
      <c r="F57" s="39" t="s">
        <v>3820</v>
      </c>
      <c r="G57" s="39">
        <v>59781</v>
      </c>
      <c r="H57" s="39"/>
      <c r="I57" s="39">
        <v>200</v>
      </c>
      <c r="J57" s="106">
        <v>9352.4</v>
      </c>
      <c r="K57" s="882">
        <f>+A57-D57</f>
        <v>0</v>
      </c>
      <c r="L57" s="879">
        <f>((+B57/A57)-(E57/D57))/(B57/A57)</f>
        <v>3.0448712013185369E-2</v>
      </c>
    </row>
    <row r="58" spans="1:13" ht="15" thickBot="1" x14ac:dyDescent="0.35">
      <c r="A58" s="888"/>
      <c r="B58" s="1002"/>
      <c r="C58" s="890"/>
      <c r="D58" s="874"/>
      <c r="E58" s="874"/>
      <c r="F58" s="42" t="s">
        <v>3820</v>
      </c>
      <c r="G58" s="42">
        <v>59781</v>
      </c>
      <c r="H58" s="42"/>
      <c r="I58" s="42">
        <v>76</v>
      </c>
      <c r="J58" s="109">
        <v>3736.3</v>
      </c>
      <c r="K58" s="884"/>
      <c r="L58" s="880"/>
    </row>
    <row r="59" spans="1:13" ht="15" thickBot="1" x14ac:dyDescent="0.35">
      <c r="A59" s="321">
        <v>133</v>
      </c>
      <c r="B59" s="320">
        <v>5470.9</v>
      </c>
      <c r="C59" s="322" t="s">
        <v>4100</v>
      </c>
      <c r="D59" s="12">
        <f>+I59</f>
        <v>133</v>
      </c>
      <c r="E59" s="12">
        <f>+J59</f>
        <v>5330.9</v>
      </c>
      <c r="F59" s="39" t="s">
        <v>4101</v>
      </c>
      <c r="G59" s="39">
        <v>59911</v>
      </c>
      <c r="H59" s="39"/>
      <c r="I59" s="39">
        <v>133</v>
      </c>
      <c r="J59" s="106">
        <v>5330.9</v>
      </c>
      <c r="K59" s="54">
        <f t="shared" ref="K59" si="26">+A59-D59</f>
        <v>0</v>
      </c>
      <c r="L59" s="31">
        <f t="shared" ref="L59" si="27">((+B59/A59)-(E59/D59))/(B59/A59)</f>
        <v>2.5589939498071656E-2</v>
      </c>
    </row>
    <row r="60" spans="1:13" x14ac:dyDescent="0.3">
      <c r="A60" s="901">
        <v>333</v>
      </c>
      <c r="B60" s="1001">
        <v>15371.5</v>
      </c>
      <c r="C60" s="897" t="s">
        <v>4102</v>
      </c>
      <c r="D60" s="873">
        <f>+I60+I61+I62</f>
        <v>332</v>
      </c>
      <c r="E60" s="873">
        <f>+J60+J61+J62</f>
        <v>14726.699999999999</v>
      </c>
      <c r="F60" s="39" t="s">
        <v>2469</v>
      </c>
      <c r="G60" s="39">
        <v>60031</v>
      </c>
      <c r="H60" s="39"/>
      <c r="I60" s="39">
        <v>50</v>
      </c>
      <c r="J60" s="106">
        <v>2141.5</v>
      </c>
      <c r="K60" s="877">
        <f t="shared" ref="K60" si="28">+A60-D60</f>
        <v>1</v>
      </c>
      <c r="L60" s="879">
        <f t="shared" ref="L60" si="29">((+B60/A60)-(E60/D60))/(B60/A60)</f>
        <v>3.9062060949127848E-2</v>
      </c>
    </row>
    <row r="61" spans="1:13" x14ac:dyDescent="0.3">
      <c r="A61" s="887"/>
      <c r="B61" s="1011"/>
      <c r="C61" s="889"/>
      <c r="D61" s="881"/>
      <c r="E61" s="881"/>
      <c r="F61" s="50" t="s">
        <v>2469</v>
      </c>
      <c r="G61" s="50">
        <v>60031</v>
      </c>
      <c r="H61" s="50"/>
      <c r="I61" s="50">
        <v>50</v>
      </c>
      <c r="J61" s="101">
        <v>2054.9</v>
      </c>
      <c r="K61" s="886"/>
      <c r="L61" s="885"/>
    </row>
    <row r="62" spans="1:13" ht="15" thickBot="1" x14ac:dyDescent="0.35">
      <c r="A62" s="888"/>
      <c r="B62" s="1002"/>
      <c r="C62" s="890"/>
      <c r="D62" s="874"/>
      <c r="E62" s="874"/>
      <c r="F62" s="42" t="s">
        <v>2469</v>
      </c>
      <c r="G62" s="42">
        <v>60031</v>
      </c>
      <c r="H62" s="42"/>
      <c r="I62" s="42">
        <v>232</v>
      </c>
      <c r="J62" s="109">
        <v>10530.3</v>
      </c>
      <c r="K62" s="878"/>
      <c r="L62" s="880"/>
    </row>
    <row r="63" spans="1:13" x14ac:dyDescent="0.3">
      <c r="A63" s="901">
        <v>309</v>
      </c>
      <c r="B63" s="1001">
        <v>14646</v>
      </c>
      <c r="C63" s="897" t="s">
        <v>4375</v>
      </c>
      <c r="D63" s="873">
        <f>+I63+I65+I64</f>
        <v>311</v>
      </c>
      <c r="E63" s="873">
        <f>+J63+J65+J64</f>
        <v>14351.9</v>
      </c>
      <c r="F63" s="39" t="s">
        <v>4376</v>
      </c>
      <c r="G63" s="39">
        <v>60081</v>
      </c>
      <c r="H63" s="39"/>
      <c r="I63" s="39">
        <v>99</v>
      </c>
      <c r="J63" s="106">
        <v>4689.2</v>
      </c>
      <c r="K63" s="877">
        <f t="shared" ref="K63" si="30">+A63-D63</f>
        <v>-2</v>
      </c>
      <c r="L63" s="879">
        <f t="shared" ref="L63" si="31">((+B63/A63)-(E63/D63))/(B63/A63)</f>
        <v>2.6382300754395446E-2</v>
      </c>
    </row>
    <row r="64" spans="1:13" x14ac:dyDescent="0.3">
      <c r="A64" s="887"/>
      <c r="B64" s="1011"/>
      <c r="C64" s="889"/>
      <c r="D64" s="881"/>
      <c r="E64" s="881"/>
      <c r="F64" s="50" t="s">
        <v>4376</v>
      </c>
      <c r="G64" s="50">
        <v>60081</v>
      </c>
      <c r="H64" s="50"/>
      <c r="I64" s="50">
        <v>160</v>
      </c>
      <c r="J64" s="101">
        <v>7508.9</v>
      </c>
      <c r="K64" s="886"/>
      <c r="L64" s="885"/>
    </row>
    <row r="65" spans="1:12" ht="15" thickBot="1" x14ac:dyDescent="0.35">
      <c r="A65" s="888"/>
      <c r="B65" s="1002"/>
      <c r="C65" s="890"/>
      <c r="D65" s="874"/>
      <c r="E65" s="874"/>
      <c r="F65" s="42" t="s">
        <v>4376</v>
      </c>
      <c r="G65" s="42">
        <v>60081</v>
      </c>
      <c r="H65" s="42"/>
      <c r="I65" s="42">
        <v>52</v>
      </c>
      <c r="J65" s="109">
        <v>2153.8000000000002</v>
      </c>
      <c r="K65" s="878"/>
      <c r="L65" s="880"/>
    </row>
    <row r="66" spans="1:12" ht="15" thickBot="1" x14ac:dyDescent="0.35">
      <c r="A66" s="197">
        <v>319</v>
      </c>
      <c r="B66" s="253">
        <v>14692</v>
      </c>
      <c r="C66" s="198" t="s">
        <v>4739</v>
      </c>
      <c r="D66" s="8">
        <f>+I66</f>
        <v>100</v>
      </c>
      <c r="E66" s="8">
        <f>+J66</f>
        <v>4356.3999999999996</v>
      </c>
      <c r="F66" s="45" t="s">
        <v>4740</v>
      </c>
      <c r="G66" s="45" t="s">
        <v>4741</v>
      </c>
      <c r="H66" s="45"/>
      <c r="I66" s="45">
        <v>100</v>
      </c>
      <c r="J66" s="142">
        <v>4356.3999999999996</v>
      </c>
      <c r="K66" s="54">
        <f t="shared" ref="K66" si="32">+A66-D66</f>
        <v>219</v>
      </c>
      <c r="L66" s="31">
        <f t="shared" ref="L66" si="33">((+B66/A66)-(E66/D66))/(B66/A66)</f>
        <v>5.4116798257555325E-2</v>
      </c>
    </row>
    <row r="68" spans="1:12" x14ac:dyDescent="0.3">
      <c r="A68" s="124">
        <f>SUM(A5:A67)</f>
        <v>9525</v>
      </c>
      <c r="B68" s="124">
        <f>SUM(B5:B67)</f>
        <v>447017.23000000004</v>
      </c>
      <c r="D68" s="124">
        <f>SUM(D5:D67)</f>
        <v>9309</v>
      </c>
      <c r="E68" s="124">
        <f>SUM(E5:E67)</f>
        <v>424732.70000000007</v>
      </c>
    </row>
  </sheetData>
  <mergeCells count="126">
    <mergeCell ref="A63:A65"/>
    <mergeCell ref="B63:B65"/>
    <mergeCell ref="C63:C65"/>
    <mergeCell ref="D63:D65"/>
    <mergeCell ref="E63:E65"/>
    <mergeCell ref="K63:K65"/>
    <mergeCell ref="L63:L65"/>
    <mergeCell ref="K44:K46"/>
    <mergeCell ref="L44:L46"/>
    <mergeCell ref="A44:A46"/>
    <mergeCell ref="B44:B46"/>
    <mergeCell ref="C44:C46"/>
    <mergeCell ref="D44:D46"/>
    <mergeCell ref="E44:E46"/>
    <mergeCell ref="K47:K48"/>
    <mergeCell ref="L47:L48"/>
    <mergeCell ref="A47:A48"/>
    <mergeCell ref="K51:K53"/>
    <mergeCell ref="L51:L53"/>
    <mergeCell ref="A51:A53"/>
    <mergeCell ref="B51:B53"/>
    <mergeCell ref="C51:C53"/>
    <mergeCell ref="D51:D53"/>
    <mergeCell ref="E51:E53"/>
    <mergeCell ref="L3:L4"/>
    <mergeCell ref="L6:L7"/>
    <mergeCell ref="K6:K7"/>
    <mergeCell ref="K3:K4"/>
    <mergeCell ref="A13:A14"/>
    <mergeCell ref="B13:B14"/>
    <mergeCell ref="C13:C14"/>
    <mergeCell ref="D13:D14"/>
    <mergeCell ref="E13:E14"/>
    <mergeCell ref="K13:K14"/>
    <mergeCell ref="L13:L14"/>
    <mergeCell ref="A3:C3"/>
    <mergeCell ref="D3:E3"/>
    <mergeCell ref="G3:G4"/>
    <mergeCell ref="A6:A7"/>
    <mergeCell ref="B6:B7"/>
    <mergeCell ref="A8:A10"/>
    <mergeCell ref="B8:B10"/>
    <mergeCell ref="C8:C10"/>
    <mergeCell ref="D8:D10"/>
    <mergeCell ref="E8:E10"/>
    <mergeCell ref="C6:C7"/>
    <mergeCell ref="D6:D7"/>
    <mergeCell ref="E6:E7"/>
    <mergeCell ref="K8:K10"/>
    <mergeCell ref="L8:L10"/>
    <mergeCell ref="K17:K18"/>
    <mergeCell ref="L17:L18"/>
    <mergeCell ref="A17:A18"/>
    <mergeCell ref="B17:B18"/>
    <mergeCell ref="C17:C18"/>
    <mergeCell ref="D17:D18"/>
    <mergeCell ref="E17:E18"/>
    <mergeCell ref="A11:A12"/>
    <mergeCell ref="B11:B12"/>
    <mergeCell ref="C11:C12"/>
    <mergeCell ref="D11:D12"/>
    <mergeCell ref="E11:E12"/>
    <mergeCell ref="C21:C23"/>
    <mergeCell ref="D21:D23"/>
    <mergeCell ref="E21:E23"/>
    <mergeCell ref="K21:K23"/>
    <mergeCell ref="L21:L23"/>
    <mergeCell ref="A21:A23"/>
    <mergeCell ref="B21:B23"/>
    <mergeCell ref="L11:L12"/>
    <mergeCell ref="K11:K12"/>
    <mergeCell ref="K29:K30"/>
    <mergeCell ref="L29:L30"/>
    <mergeCell ref="A29:A30"/>
    <mergeCell ref="B29:B30"/>
    <mergeCell ref="C29:C30"/>
    <mergeCell ref="D29:D30"/>
    <mergeCell ref="E29:E30"/>
    <mergeCell ref="K24:K25"/>
    <mergeCell ref="L24:L25"/>
    <mergeCell ref="K42:K43"/>
    <mergeCell ref="L42:L43"/>
    <mergeCell ref="A42:A43"/>
    <mergeCell ref="B42:B43"/>
    <mergeCell ref="C42:C43"/>
    <mergeCell ref="D42:D43"/>
    <mergeCell ref="E42:E43"/>
    <mergeCell ref="K32:K33"/>
    <mergeCell ref="L32:L33"/>
    <mergeCell ref="A32:A33"/>
    <mergeCell ref="B32:B33"/>
    <mergeCell ref="C32:C33"/>
    <mergeCell ref="D32:D33"/>
    <mergeCell ref="E32:E33"/>
    <mergeCell ref="K36:K37"/>
    <mergeCell ref="L36:L37"/>
    <mergeCell ref="A36:A37"/>
    <mergeCell ref="B36:B37"/>
    <mergeCell ref="C36:C37"/>
    <mergeCell ref="D36:D37"/>
    <mergeCell ref="E36:E37"/>
    <mergeCell ref="B47:B48"/>
    <mergeCell ref="C47:C48"/>
    <mergeCell ref="D47:D48"/>
    <mergeCell ref="E47:E48"/>
    <mergeCell ref="A60:A62"/>
    <mergeCell ref="B60:B62"/>
    <mergeCell ref="C60:C62"/>
    <mergeCell ref="D60:D62"/>
    <mergeCell ref="E60:E62"/>
    <mergeCell ref="K60:K62"/>
    <mergeCell ref="L60:L62"/>
    <mergeCell ref="K55:K56"/>
    <mergeCell ref="L55:L56"/>
    <mergeCell ref="A55:A56"/>
    <mergeCell ref="B55:B56"/>
    <mergeCell ref="C55:C56"/>
    <mergeCell ref="D55:D56"/>
    <mergeCell ref="E55:E56"/>
    <mergeCell ref="A57:A58"/>
    <mergeCell ref="B57:B58"/>
    <mergeCell ref="C57:C58"/>
    <mergeCell ref="D57:D58"/>
    <mergeCell ref="E57:E58"/>
    <mergeCell ref="K57:K58"/>
    <mergeCell ref="L57:L5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134"/>
  <sheetViews>
    <sheetView zoomScale="80" zoomScaleNormal="80" workbookViewId="0">
      <pane ySplit="4" topLeftCell="A1117" activePane="bottomLeft" state="frozen"/>
      <selection pane="bottomLeft" activeCell="A3" sqref="A3:C3"/>
    </sheetView>
  </sheetViews>
  <sheetFormatPr baseColWidth="10" defaultColWidth="8.88671875" defaultRowHeight="14.4" x14ac:dyDescent="0.3"/>
  <cols>
    <col min="1" max="1" width="12.5546875" customWidth="1"/>
    <col min="2" max="2" width="15.109375" bestFit="1" customWidth="1"/>
    <col min="3" max="3" width="12.5546875" customWidth="1"/>
    <col min="4" max="4" width="12.88671875" customWidth="1"/>
    <col min="5" max="5" width="15.109375" bestFit="1" customWidth="1"/>
    <col min="6" max="6" width="8.88671875" bestFit="1" customWidth="1"/>
    <col min="7" max="7" width="13.6640625" customWidth="1"/>
    <col min="8" max="8" width="11.44140625" hidden="1" customWidth="1"/>
    <col min="9" max="9" width="5.44140625" hidden="1" customWidth="1"/>
    <col min="10" max="10" width="7.88671875" hidden="1" customWidth="1"/>
    <col min="12" max="12" width="12" bestFit="1" customWidth="1"/>
  </cols>
  <sheetData>
    <row r="1" spans="1:12" ht="23.4" x14ac:dyDescent="0.3">
      <c r="A1" s="1" t="s">
        <v>93</v>
      </c>
      <c r="B1" s="1"/>
      <c r="C1" s="1"/>
      <c r="D1" s="1"/>
      <c r="E1" s="1"/>
      <c r="F1" s="1"/>
      <c r="G1" s="1"/>
      <c r="H1" s="1"/>
      <c r="I1" s="1"/>
      <c r="J1" s="2"/>
    </row>
    <row r="2" spans="1:12" ht="24" thickBot="1" x14ac:dyDescent="0.35">
      <c r="A2" s="1"/>
      <c r="B2" s="1"/>
      <c r="C2" s="1"/>
      <c r="D2" s="1"/>
      <c r="E2" s="1"/>
      <c r="F2" s="1"/>
      <c r="G2" s="1"/>
      <c r="H2" s="1"/>
      <c r="I2" s="1"/>
      <c r="J2" s="2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67" t="s">
        <v>4</v>
      </c>
      <c r="I3" s="68"/>
      <c r="J3" s="153"/>
      <c r="K3" s="915" t="s">
        <v>91</v>
      </c>
      <c r="L3" s="917" t="s">
        <v>92</v>
      </c>
    </row>
    <row r="4" spans="1:12" ht="15.75" customHeight="1" thickBot="1" x14ac:dyDescent="0.35">
      <c r="A4" s="69" t="s">
        <v>5</v>
      </c>
      <c r="B4" s="74" t="s">
        <v>6</v>
      </c>
      <c r="C4" s="71" t="s">
        <v>4</v>
      </c>
      <c r="D4" s="70" t="s">
        <v>7</v>
      </c>
      <c r="E4" s="71" t="s">
        <v>6</v>
      </c>
      <c r="F4" s="72" t="s">
        <v>8</v>
      </c>
      <c r="G4" s="923"/>
      <c r="H4" s="73" t="s">
        <v>9</v>
      </c>
      <c r="I4" s="72" t="s">
        <v>5</v>
      </c>
      <c r="J4" s="154" t="s">
        <v>10</v>
      </c>
      <c r="K4" s="916"/>
      <c r="L4" s="918"/>
    </row>
    <row r="5" spans="1:12" x14ac:dyDescent="0.3">
      <c r="A5" s="891">
        <v>209</v>
      </c>
      <c r="B5" s="978">
        <v>8916.5611659999995</v>
      </c>
      <c r="C5" s="894" t="s">
        <v>94</v>
      </c>
      <c r="D5" s="905">
        <f>+I5+I6</f>
        <v>209</v>
      </c>
      <c r="E5" s="905">
        <f>+J5+J6</f>
        <v>8193.7999999999993</v>
      </c>
      <c r="F5" s="29" t="s">
        <v>95</v>
      </c>
      <c r="G5" s="29">
        <v>85061</v>
      </c>
      <c r="H5" s="39"/>
      <c r="I5" s="12">
        <v>100</v>
      </c>
      <c r="J5" s="12">
        <v>3880.1</v>
      </c>
      <c r="K5" s="877">
        <f t="shared" ref="K5:K16" si="0">+A5-D5</f>
        <v>0</v>
      </c>
      <c r="L5" s="911">
        <f>(+B5-E5)/B5</f>
        <v>8.105828609755765E-2</v>
      </c>
    </row>
    <row r="6" spans="1:12" ht="15" thickBot="1" x14ac:dyDescent="0.35">
      <c r="A6" s="892"/>
      <c r="B6" s="979"/>
      <c r="C6" s="895"/>
      <c r="D6" s="906"/>
      <c r="E6" s="906"/>
      <c r="F6" s="30" t="s">
        <v>95</v>
      </c>
      <c r="G6" s="30">
        <v>85061</v>
      </c>
      <c r="H6" s="50"/>
      <c r="I6" s="15">
        <v>109</v>
      </c>
      <c r="J6" s="15">
        <v>4313.7</v>
      </c>
      <c r="K6" s="886"/>
      <c r="L6" s="919"/>
    </row>
    <row r="7" spans="1:12" x14ac:dyDescent="0.3">
      <c r="A7" s="891">
        <v>320</v>
      </c>
      <c r="B7" s="894">
        <v>13882.5</v>
      </c>
      <c r="C7" s="894" t="s">
        <v>96</v>
      </c>
      <c r="D7" s="905">
        <f>+I7+I8</f>
        <v>315</v>
      </c>
      <c r="E7" s="905">
        <f>+J7+J8</f>
        <v>13128.2</v>
      </c>
      <c r="F7" s="29" t="s">
        <v>97</v>
      </c>
      <c r="G7" s="29">
        <v>85521</v>
      </c>
      <c r="H7" s="40"/>
      <c r="I7" s="39">
        <v>99</v>
      </c>
      <c r="J7" s="39">
        <v>3920.7</v>
      </c>
      <c r="K7" s="877">
        <f t="shared" si="0"/>
        <v>5</v>
      </c>
      <c r="L7" s="911">
        <f>((+B7/A7)-(E7/D7))/(B7/A7)</f>
        <v>3.9324031911822217E-2</v>
      </c>
    </row>
    <row r="8" spans="1:12" ht="15" thickBot="1" x14ac:dyDescent="0.35">
      <c r="A8" s="893"/>
      <c r="B8" s="896"/>
      <c r="C8" s="896"/>
      <c r="D8" s="907"/>
      <c r="E8" s="907"/>
      <c r="F8" s="28" t="s">
        <v>97</v>
      </c>
      <c r="G8" s="28">
        <v>85521</v>
      </c>
      <c r="H8" s="43"/>
      <c r="I8" s="42">
        <v>216</v>
      </c>
      <c r="J8" s="42">
        <v>9207.5</v>
      </c>
      <c r="K8" s="878"/>
      <c r="L8" s="912"/>
    </row>
    <row r="9" spans="1:12" ht="15" thickBot="1" x14ac:dyDescent="0.35">
      <c r="A9" s="21">
        <v>338</v>
      </c>
      <c r="B9" s="22">
        <v>14771</v>
      </c>
      <c r="C9" s="22" t="s">
        <v>347</v>
      </c>
      <c r="D9" s="28">
        <f>+I9</f>
        <v>338</v>
      </c>
      <c r="E9" s="28">
        <f>+J9</f>
        <v>14182.6</v>
      </c>
      <c r="F9" s="28" t="s">
        <v>348</v>
      </c>
      <c r="G9" s="28">
        <v>85831</v>
      </c>
      <c r="H9" s="43"/>
      <c r="I9" s="42">
        <v>338</v>
      </c>
      <c r="J9" s="42">
        <v>14182.6</v>
      </c>
      <c r="K9" s="55">
        <f t="shared" ref="K9" si="1">+A9-D9</f>
        <v>0</v>
      </c>
      <c r="L9" s="33">
        <f t="shared" ref="L9:L13" si="2">(+B9-E9)/B9</f>
        <v>3.9834811454877779E-2</v>
      </c>
    </row>
    <row r="10" spans="1:12" ht="15" thickBot="1" x14ac:dyDescent="0.35">
      <c r="A10" s="21">
        <v>150</v>
      </c>
      <c r="B10" s="75">
        <v>6424.0714289999996</v>
      </c>
      <c r="C10" s="22" t="s">
        <v>98</v>
      </c>
      <c r="D10" s="28">
        <f t="shared" ref="D10:E19" si="3">+I10</f>
        <v>150</v>
      </c>
      <c r="E10" s="28">
        <f t="shared" si="3"/>
        <v>5850.5</v>
      </c>
      <c r="F10" s="28" t="s">
        <v>99</v>
      </c>
      <c r="G10" s="28">
        <v>863311</v>
      </c>
      <c r="H10" s="43"/>
      <c r="I10" s="42">
        <v>150</v>
      </c>
      <c r="J10" s="42">
        <v>5850.5</v>
      </c>
      <c r="K10" s="58">
        <f t="shared" si="0"/>
        <v>0</v>
      </c>
      <c r="L10" s="34">
        <f t="shared" si="2"/>
        <v>8.9284721588048149E-2</v>
      </c>
    </row>
    <row r="11" spans="1:12" ht="15" thickBot="1" x14ac:dyDescent="0.35">
      <c r="A11" s="19">
        <v>732</v>
      </c>
      <c r="B11" s="20">
        <v>33741</v>
      </c>
      <c r="C11" s="20" t="s">
        <v>100</v>
      </c>
      <c r="D11" s="27">
        <f t="shared" si="3"/>
        <v>732</v>
      </c>
      <c r="E11" s="27">
        <f t="shared" si="3"/>
        <v>31286.999999999996</v>
      </c>
      <c r="F11" s="27" t="s">
        <v>101</v>
      </c>
      <c r="G11" s="27">
        <v>86341</v>
      </c>
      <c r="H11" s="14"/>
      <c r="I11" s="45">
        <v>732</v>
      </c>
      <c r="J11" s="45">
        <v>31286.999999999996</v>
      </c>
      <c r="K11" s="52">
        <f t="shared" si="0"/>
        <v>0</v>
      </c>
      <c r="L11" s="32">
        <f t="shared" si="2"/>
        <v>7.273050591268794E-2</v>
      </c>
    </row>
    <row r="12" spans="1:12" ht="15" thickBot="1" x14ac:dyDescent="0.35">
      <c r="A12" s="19">
        <v>412</v>
      </c>
      <c r="B12" s="20">
        <v>17183.25</v>
      </c>
      <c r="C12" s="20" t="s">
        <v>102</v>
      </c>
      <c r="D12" s="27">
        <f t="shared" si="3"/>
        <v>412</v>
      </c>
      <c r="E12" s="27">
        <f t="shared" si="3"/>
        <v>16026.800000000001</v>
      </c>
      <c r="F12" s="27" t="s">
        <v>103</v>
      </c>
      <c r="G12" s="27">
        <v>86351</v>
      </c>
      <c r="H12" s="14"/>
      <c r="I12" s="45">
        <v>412</v>
      </c>
      <c r="J12" s="45">
        <v>16026.800000000001</v>
      </c>
      <c r="K12" s="52">
        <f t="shared" si="0"/>
        <v>0</v>
      </c>
      <c r="L12" s="32">
        <f t="shared" si="2"/>
        <v>6.7301005339502062E-2</v>
      </c>
    </row>
    <row r="13" spans="1:12" ht="15" thickBot="1" x14ac:dyDescent="0.35">
      <c r="A13" s="19">
        <v>746</v>
      </c>
      <c r="B13" s="20">
        <v>34618.25</v>
      </c>
      <c r="C13" s="20" t="s">
        <v>104</v>
      </c>
      <c r="D13" s="27">
        <f t="shared" si="3"/>
        <v>746</v>
      </c>
      <c r="E13" s="27">
        <f t="shared" si="3"/>
        <v>33027.5</v>
      </c>
      <c r="F13" s="27" t="s">
        <v>105</v>
      </c>
      <c r="G13" s="27">
        <v>86381</v>
      </c>
      <c r="H13" s="14"/>
      <c r="I13" s="45">
        <v>746</v>
      </c>
      <c r="J13" s="45">
        <v>33027.5</v>
      </c>
      <c r="K13" s="52">
        <f t="shared" si="0"/>
        <v>0</v>
      </c>
      <c r="L13" s="32">
        <f t="shared" si="2"/>
        <v>4.5951196262087192E-2</v>
      </c>
    </row>
    <row r="14" spans="1:12" ht="15" thickBot="1" x14ac:dyDescent="0.35">
      <c r="A14" s="19">
        <v>2166</v>
      </c>
      <c r="B14" s="20">
        <v>97598.5</v>
      </c>
      <c r="C14" s="20" t="s">
        <v>106</v>
      </c>
      <c r="D14" s="27">
        <f t="shared" si="3"/>
        <v>2165</v>
      </c>
      <c r="E14" s="27">
        <f t="shared" si="3"/>
        <v>92178.000000000015</v>
      </c>
      <c r="F14" s="27" t="s">
        <v>107</v>
      </c>
      <c r="G14" s="27">
        <v>86391</v>
      </c>
      <c r="H14" s="14"/>
      <c r="I14" s="45">
        <v>2165</v>
      </c>
      <c r="J14" s="45">
        <v>92178.000000000015</v>
      </c>
      <c r="K14" s="52">
        <f>+A14-D14</f>
        <v>1</v>
      </c>
      <c r="L14" s="138">
        <f>((+B14/A14)-(E14/D14))/(B14/A14)</f>
        <v>5.5102522647191898E-2</v>
      </c>
    </row>
    <row r="15" spans="1:12" ht="15" thickBot="1" x14ac:dyDescent="0.35">
      <c r="A15" s="19">
        <v>350</v>
      </c>
      <c r="B15" s="20">
        <v>14588.5</v>
      </c>
      <c r="C15" s="20" t="s">
        <v>108</v>
      </c>
      <c r="D15" s="27">
        <f t="shared" si="3"/>
        <v>350</v>
      </c>
      <c r="E15" s="27">
        <f t="shared" si="3"/>
        <v>13671.2</v>
      </c>
      <c r="F15" s="27" t="s">
        <v>109</v>
      </c>
      <c r="G15" s="27">
        <v>86431</v>
      </c>
      <c r="H15" s="14"/>
      <c r="I15" s="45">
        <v>350</v>
      </c>
      <c r="J15" s="45">
        <v>13671.2</v>
      </c>
      <c r="K15" s="52">
        <f>+A15-D15</f>
        <v>0</v>
      </c>
      <c r="L15" s="32">
        <f t="shared" ref="L15:L17" si="4">(+B15-E15)/B15</f>
        <v>6.2878294547074706E-2</v>
      </c>
    </row>
    <row r="16" spans="1:12" ht="15" thickBot="1" x14ac:dyDescent="0.35">
      <c r="A16" s="19">
        <v>560</v>
      </c>
      <c r="B16" s="20">
        <v>24943.9</v>
      </c>
      <c r="C16" s="20" t="s">
        <v>110</v>
      </c>
      <c r="D16" s="27">
        <f t="shared" si="3"/>
        <v>560</v>
      </c>
      <c r="E16" s="27">
        <f t="shared" si="3"/>
        <v>23241.200000000001</v>
      </c>
      <c r="F16" s="27" t="s">
        <v>111</v>
      </c>
      <c r="G16" s="27">
        <v>86441</v>
      </c>
      <c r="H16" s="14"/>
      <c r="I16" s="45">
        <v>560</v>
      </c>
      <c r="J16" s="45">
        <v>23241.200000000001</v>
      </c>
      <c r="K16" s="52">
        <f t="shared" si="0"/>
        <v>0</v>
      </c>
      <c r="L16" s="32">
        <f t="shared" si="4"/>
        <v>6.8261178083619672E-2</v>
      </c>
    </row>
    <row r="17" spans="1:12" ht="15" thickBot="1" x14ac:dyDescent="0.35">
      <c r="A17" s="23">
        <v>410</v>
      </c>
      <c r="B17" s="24">
        <v>17798.900000000001</v>
      </c>
      <c r="C17" s="24" t="s">
        <v>112</v>
      </c>
      <c r="D17" s="29">
        <f t="shared" si="3"/>
        <v>410</v>
      </c>
      <c r="E17" s="29">
        <f t="shared" si="3"/>
        <v>16604.900000000001</v>
      </c>
      <c r="F17" s="29" t="s">
        <v>113</v>
      </c>
      <c r="G17" s="29">
        <v>86451</v>
      </c>
      <c r="H17" s="40"/>
      <c r="I17" s="39">
        <v>410</v>
      </c>
      <c r="J17" s="39">
        <v>16604.900000000001</v>
      </c>
      <c r="K17" s="18">
        <f>+A17-D17</f>
        <v>0</v>
      </c>
      <c r="L17" s="32">
        <f t="shared" si="4"/>
        <v>6.7082797251515544E-2</v>
      </c>
    </row>
    <row r="18" spans="1:12" ht="15" thickBot="1" x14ac:dyDescent="0.35">
      <c r="A18" s="23">
        <v>1795</v>
      </c>
      <c r="B18" s="24">
        <v>82538</v>
      </c>
      <c r="C18" s="24" t="s">
        <v>114</v>
      </c>
      <c r="D18" s="29">
        <f>+I18</f>
        <v>1794</v>
      </c>
      <c r="E18" s="29">
        <f>+J18</f>
        <v>79062.799999999988</v>
      </c>
      <c r="F18" s="29" t="s">
        <v>115</v>
      </c>
      <c r="G18" s="29">
        <v>86461</v>
      </c>
      <c r="H18" s="48"/>
      <c r="I18" s="49">
        <v>1794</v>
      </c>
      <c r="J18" s="49">
        <v>79062.799999999988</v>
      </c>
      <c r="K18" s="18">
        <f>+A18-D18</f>
        <v>1</v>
      </c>
      <c r="L18" s="138">
        <f t="shared" ref="L18:L19" si="5">((+B18/A18)-(E18/D18))/(B18/A18)</f>
        <v>4.157029877093487E-2</v>
      </c>
    </row>
    <row r="19" spans="1:12" ht="15" thickBot="1" x14ac:dyDescent="0.35">
      <c r="A19" s="59">
        <v>1488</v>
      </c>
      <c r="B19" s="60">
        <v>66787.7</v>
      </c>
      <c r="C19" s="60" t="s">
        <v>116</v>
      </c>
      <c r="D19" s="63">
        <f t="shared" si="3"/>
        <v>1484</v>
      </c>
      <c r="E19" s="63">
        <f t="shared" si="3"/>
        <v>61571.19999999999</v>
      </c>
      <c r="F19" s="63" t="s">
        <v>117</v>
      </c>
      <c r="G19" s="63">
        <v>86531</v>
      </c>
      <c r="H19" s="40"/>
      <c r="I19" s="39">
        <v>1484</v>
      </c>
      <c r="J19" s="39">
        <v>61571.19999999999</v>
      </c>
      <c r="K19" s="18">
        <f>+A19-D19</f>
        <v>4</v>
      </c>
      <c r="L19" s="138">
        <f t="shared" si="5"/>
        <v>7.5620808804365086E-2</v>
      </c>
    </row>
    <row r="20" spans="1:12" x14ac:dyDescent="0.3">
      <c r="A20" s="891">
        <v>1461</v>
      </c>
      <c r="B20" s="894">
        <v>60024.25</v>
      </c>
      <c r="C20" s="894" t="s">
        <v>118</v>
      </c>
      <c r="D20" s="905">
        <f>+I20+I21</f>
        <v>1463</v>
      </c>
      <c r="E20" s="905">
        <f>+J20+J21</f>
        <v>55203.6</v>
      </c>
      <c r="F20" s="63" t="s">
        <v>119</v>
      </c>
      <c r="G20" s="63">
        <v>86581</v>
      </c>
      <c r="H20" s="40"/>
      <c r="I20" s="39">
        <v>116</v>
      </c>
      <c r="J20" s="39">
        <v>4432.6000000000004</v>
      </c>
      <c r="K20" s="877">
        <f>+A20-D20</f>
        <v>-2</v>
      </c>
      <c r="L20" s="911">
        <f>((+B20/A20)-(E20/D20))/(B20/A20)</f>
        <v>8.1568970909572963E-2</v>
      </c>
    </row>
    <row r="21" spans="1:12" ht="15" thickBot="1" x14ac:dyDescent="0.35">
      <c r="A21" s="893"/>
      <c r="B21" s="896"/>
      <c r="C21" s="896"/>
      <c r="D21" s="907"/>
      <c r="E21" s="907"/>
      <c r="F21" s="64" t="s">
        <v>119</v>
      </c>
      <c r="G21" s="64">
        <v>86581</v>
      </c>
      <c r="H21" s="43"/>
      <c r="I21" s="42">
        <v>1347</v>
      </c>
      <c r="J21" s="42">
        <v>50771</v>
      </c>
      <c r="K21" s="878"/>
      <c r="L21" s="912"/>
    </row>
    <row r="22" spans="1:12" ht="15" thickBot="1" x14ac:dyDescent="0.35">
      <c r="A22" s="61">
        <v>587</v>
      </c>
      <c r="B22" s="20">
        <v>25258</v>
      </c>
      <c r="C22" s="62" t="s">
        <v>120</v>
      </c>
      <c r="D22" s="65">
        <f>+I22</f>
        <v>586</v>
      </c>
      <c r="E22" s="65">
        <f>+J22</f>
        <v>23226.1</v>
      </c>
      <c r="F22" s="65" t="s">
        <v>121</v>
      </c>
      <c r="G22" s="65">
        <v>86611</v>
      </c>
      <c r="H22" s="14"/>
      <c r="I22" s="45">
        <v>586</v>
      </c>
      <c r="J22" s="45">
        <v>23226.1</v>
      </c>
      <c r="K22" s="52">
        <f>+A22-D22</f>
        <v>1</v>
      </c>
      <c r="L22" s="138">
        <f>((+B22/A22)-(E22/D22))/(B22/A22)</f>
        <v>7.8876594230138888E-2</v>
      </c>
    </row>
    <row r="23" spans="1:12" x14ac:dyDescent="0.3">
      <c r="A23" s="891">
        <v>1680</v>
      </c>
      <c r="B23" s="894">
        <v>74840.5</v>
      </c>
      <c r="C23" s="894" t="s">
        <v>122</v>
      </c>
      <c r="D23" s="905">
        <f>+I23+I24</f>
        <v>1680</v>
      </c>
      <c r="E23" s="905">
        <f>+J23+J24</f>
        <v>68918.200000000012</v>
      </c>
      <c r="F23" s="63" t="s">
        <v>123</v>
      </c>
      <c r="G23" s="63">
        <v>86621</v>
      </c>
      <c r="H23" s="40"/>
      <c r="I23" s="39">
        <v>1670</v>
      </c>
      <c r="J23" s="39">
        <v>68541.700000000012</v>
      </c>
      <c r="K23" s="877">
        <f>+A23-D23</f>
        <v>0</v>
      </c>
      <c r="L23" s="911">
        <f t="shared" ref="L23:L32" si="6">(+B23-E23)/B23</f>
        <v>7.9132287999144693E-2</v>
      </c>
    </row>
    <row r="24" spans="1:12" ht="15" thickBot="1" x14ac:dyDescent="0.35">
      <c r="A24" s="893"/>
      <c r="B24" s="896"/>
      <c r="C24" s="896"/>
      <c r="D24" s="907"/>
      <c r="E24" s="907"/>
      <c r="F24" s="64" t="s">
        <v>123</v>
      </c>
      <c r="G24" s="64">
        <v>86621</v>
      </c>
      <c r="H24" s="43"/>
      <c r="I24" s="42">
        <v>10</v>
      </c>
      <c r="J24" s="42">
        <v>376.5</v>
      </c>
      <c r="K24" s="878"/>
      <c r="L24" s="912"/>
    </row>
    <row r="25" spans="1:12" ht="15" thickBot="1" x14ac:dyDescent="0.35">
      <c r="A25" s="61">
        <v>450</v>
      </c>
      <c r="B25" s="20">
        <v>18759.25</v>
      </c>
      <c r="C25" s="62" t="s">
        <v>124</v>
      </c>
      <c r="D25" s="65">
        <f t="shared" ref="D25:E40" si="7">+I25</f>
        <v>450</v>
      </c>
      <c r="E25" s="65">
        <f t="shared" si="7"/>
        <v>17070.3</v>
      </c>
      <c r="F25" s="65" t="s">
        <v>125</v>
      </c>
      <c r="G25" s="65">
        <v>86691</v>
      </c>
      <c r="H25" s="14"/>
      <c r="I25" s="45">
        <v>450</v>
      </c>
      <c r="J25" s="45">
        <f>7572.2+8101.3+1396.8</f>
        <v>17070.3</v>
      </c>
      <c r="K25" s="52">
        <f>+A25-D25</f>
        <v>0</v>
      </c>
      <c r="L25" s="32">
        <f t="shared" si="6"/>
        <v>9.0032917094233555E-2</v>
      </c>
    </row>
    <row r="26" spans="1:12" ht="15" thickBot="1" x14ac:dyDescent="0.35">
      <c r="A26" s="61">
        <v>925</v>
      </c>
      <c r="B26" s="20">
        <v>43017</v>
      </c>
      <c r="C26" s="62" t="s">
        <v>126</v>
      </c>
      <c r="D26" s="65">
        <f t="shared" si="7"/>
        <v>925</v>
      </c>
      <c r="E26" s="65">
        <f t="shared" si="7"/>
        <v>40850.399999999994</v>
      </c>
      <c r="F26" s="65" t="s">
        <v>127</v>
      </c>
      <c r="G26" s="65">
        <v>86701</v>
      </c>
      <c r="H26" s="14"/>
      <c r="I26" s="45">
        <v>925</v>
      </c>
      <c r="J26" s="45">
        <v>40850.399999999994</v>
      </c>
      <c r="K26" s="52">
        <f t="shared" ref="K26:K37" si="8">+A26-D26</f>
        <v>0</v>
      </c>
      <c r="L26" s="32">
        <f t="shared" si="6"/>
        <v>5.0366134318990299E-2</v>
      </c>
    </row>
    <row r="27" spans="1:12" ht="15" thickBot="1" x14ac:dyDescent="0.35">
      <c r="A27" s="61">
        <v>991</v>
      </c>
      <c r="B27" s="20">
        <v>44986.2</v>
      </c>
      <c r="C27" s="62" t="s">
        <v>128</v>
      </c>
      <c r="D27" s="65">
        <f t="shared" si="7"/>
        <v>990</v>
      </c>
      <c r="E27" s="65">
        <f t="shared" si="7"/>
        <v>41657.1</v>
      </c>
      <c r="F27" s="65" t="s">
        <v>129</v>
      </c>
      <c r="G27" s="65">
        <v>86711</v>
      </c>
      <c r="H27" s="14"/>
      <c r="I27" s="45">
        <v>990</v>
      </c>
      <c r="J27" s="45">
        <v>41657.1</v>
      </c>
      <c r="K27" s="52">
        <f t="shared" si="8"/>
        <v>1</v>
      </c>
      <c r="L27" s="138">
        <f>((+B27/A27)-(E27/D27))/(B27/A27)</f>
        <v>7.3067343345561919E-2</v>
      </c>
    </row>
    <row r="28" spans="1:12" ht="15" thickBot="1" x14ac:dyDescent="0.35">
      <c r="A28" s="61">
        <v>1097</v>
      </c>
      <c r="B28" s="20">
        <v>49847</v>
      </c>
      <c r="C28" s="62" t="s">
        <v>130</v>
      </c>
      <c r="D28" s="65">
        <f t="shared" si="7"/>
        <v>1096</v>
      </c>
      <c r="E28" s="65">
        <f t="shared" si="7"/>
        <v>46420.3</v>
      </c>
      <c r="F28" s="65" t="s">
        <v>131</v>
      </c>
      <c r="G28" s="65">
        <v>86751</v>
      </c>
      <c r="H28" s="14"/>
      <c r="I28" s="45">
        <v>1096</v>
      </c>
      <c r="J28" s="45">
        <v>46420.3</v>
      </c>
      <c r="K28" s="52">
        <f t="shared" si="8"/>
        <v>1</v>
      </c>
      <c r="L28" s="32">
        <f t="shared" si="6"/>
        <v>6.8744357734668027E-2</v>
      </c>
    </row>
    <row r="29" spans="1:12" ht="15" thickBot="1" x14ac:dyDescent="0.35">
      <c r="A29" s="61">
        <v>262</v>
      </c>
      <c r="B29" s="20">
        <v>11539.8</v>
      </c>
      <c r="C29" s="62" t="s">
        <v>132</v>
      </c>
      <c r="D29" s="65">
        <f t="shared" si="7"/>
        <v>262</v>
      </c>
      <c r="E29" s="65">
        <f t="shared" si="7"/>
        <v>10730.8</v>
      </c>
      <c r="F29" s="65" t="s">
        <v>133</v>
      </c>
      <c r="G29" s="65">
        <v>86781</v>
      </c>
      <c r="H29" s="14"/>
      <c r="I29" s="45">
        <v>262</v>
      </c>
      <c r="J29" s="45">
        <v>10730.8</v>
      </c>
      <c r="K29" s="52">
        <f t="shared" si="8"/>
        <v>0</v>
      </c>
      <c r="L29" s="32">
        <f t="shared" si="6"/>
        <v>7.0105201130002251E-2</v>
      </c>
    </row>
    <row r="30" spans="1:12" ht="15" thickBot="1" x14ac:dyDescent="0.35">
      <c r="A30" s="61">
        <v>856</v>
      </c>
      <c r="B30" s="20">
        <v>39914.300000000003</v>
      </c>
      <c r="C30" s="62" t="s">
        <v>134</v>
      </c>
      <c r="D30" s="65">
        <f t="shared" si="7"/>
        <v>856</v>
      </c>
      <c r="E30" s="65">
        <f t="shared" si="7"/>
        <v>37473.800000000003</v>
      </c>
      <c r="F30" s="65" t="s">
        <v>135</v>
      </c>
      <c r="G30" s="65">
        <v>86791</v>
      </c>
      <c r="H30" s="14"/>
      <c r="I30" s="45">
        <v>856</v>
      </c>
      <c r="J30" s="45">
        <v>37473.800000000003</v>
      </c>
      <c r="K30" s="52">
        <f t="shared" si="8"/>
        <v>0</v>
      </c>
      <c r="L30" s="32">
        <f t="shared" si="6"/>
        <v>6.1143499948639955E-2</v>
      </c>
    </row>
    <row r="31" spans="1:12" ht="15" thickBot="1" x14ac:dyDescent="0.35">
      <c r="A31" s="61">
        <v>1259</v>
      </c>
      <c r="B31" s="62">
        <v>57022.25</v>
      </c>
      <c r="C31" s="62" t="s">
        <v>136</v>
      </c>
      <c r="D31" s="65">
        <f t="shared" si="7"/>
        <v>1259</v>
      </c>
      <c r="E31" s="65">
        <f t="shared" si="7"/>
        <v>53328.500000000007</v>
      </c>
      <c r="F31" s="65" t="s">
        <v>137</v>
      </c>
      <c r="G31" s="65">
        <v>86861</v>
      </c>
      <c r="H31" s="14"/>
      <c r="I31" s="45">
        <v>1259</v>
      </c>
      <c r="J31" s="45">
        <v>53328.500000000007</v>
      </c>
      <c r="K31" s="52">
        <f t="shared" si="8"/>
        <v>0</v>
      </c>
      <c r="L31" s="32">
        <f t="shared" si="6"/>
        <v>6.477734568523677E-2</v>
      </c>
    </row>
    <row r="32" spans="1:12" ht="15" thickBot="1" x14ac:dyDescent="0.35">
      <c r="A32" s="59">
        <v>843</v>
      </c>
      <c r="B32" s="60">
        <v>37845.800000000003</v>
      </c>
      <c r="C32" s="60" t="s">
        <v>138</v>
      </c>
      <c r="D32" s="63">
        <f t="shared" si="7"/>
        <v>843</v>
      </c>
      <c r="E32" s="63">
        <f t="shared" si="7"/>
        <v>35187.200000000004</v>
      </c>
      <c r="F32" s="63" t="s">
        <v>139</v>
      </c>
      <c r="G32" s="63">
        <v>86871</v>
      </c>
      <c r="H32" s="40"/>
      <c r="I32" s="39">
        <v>843</v>
      </c>
      <c r="J32" s="39">
        <v>35187.200000000004</v>
      </c>
      <c r="K32" s="18">
        <f t="shared" si="8"/>
        <v>0</v>
      </c>
      <c r="L32" s="32">
        <f t="shared" si="6"/>
        <v>7.0248217767889656E-2</v>
      </c>
    </row>
    <row r="33" spans="1:12" x14ac:dyDescent="0.3">
      <c r="A33" s="891">
        <v>1420</v>
      </c>
      <c r="B33" s="894">
        <v>64455.6</v>
      </c>
      <c r="C33" s="894" t="s">
        <v>140</v>
      </c>
      <c r="D33" s="905">
        <f>+I33+I34</f>
        <v>1413</v>
      </c>
      <c r="E33" s="905">
        <f>+J33+J34</f>
        <v>59534.799999999996</v>
      </c>
      <c r="F33" s="63" t="s">
        <v>141</v>
      </c>
      <c r="G33" s="63">
        <v>86881</v>
      </c>
      <c r="H33" s="40"/>
      <c r="I33" s="39">
        <f>253</f>
        <v>253</v>
      </c>
      <c r="J33" s="39">
        <v>10398.6</v>
      </c>
      <c r="K33" s="877">
        <f t="shared" si="8"/>
        <v>7</v>
      </c>
      <c r="L33" s="911">
        <f>((+B33/A33)-(E33/D33))/(B33/A33)</f>
        <v>7.176823557716068E-2</v>
      </c>
    </row>
    <row r="34" spans="1:12" ht="15" thickBot="1" x14ac:dyDescent="0.35">
      <c r="A34" s="893"/>
      <c r="B34" s="896"/>
      <c r="C34" s="896"/>
      <c r="D34" s="907"/>
      <c r="E34" s="907"/>
      <c r="F34" s="64" t="s">
        <v>141</v>
      </c>
      <c r="G34" s="64">
        <v>86881</v>
      </c>
      <c r="H34" s="43"/>
      <c r="I34" s="42">
        <v>1160</v>
      </c>
      <c r="J34" s="42">
        <v>49136.2</v>
      </c>
      <c r="K34" s="878"/>
      <c r="L34" s="912"/>
    </row>
    <row r="35" spans="1:12" ht="15" thickBot="1" x14ac:dyDescent="0.35">
      <c r="A35" s="61">
        <v>562</v>
      </c>
      <c r="B35" s="62">
        <v>25984.25</v>
      </c>
      <c r="C35" s="62" t="s">
        <v>142</v>
      </c>
      <c r="D35" s="65">
        <f>+I35</f>
        <v>562</v>
      </c>
      <c r="E35" s="65">
        <f>+J35</f>
        <v>24380.199999999997</v>
      </c>
      <c r="F35" s="65" t="s">
        <v>143</v>
      </c>
      <c r="G35" s="65">
        <v>86891</v>
      </c>
      <c r="H35" s="14"/>
      <c r="I35" s="45">
        <v>562</v>
      </c>
      <c r="J35" s="45">
        <v>24380.199999999997</v>
      </c>
      <c r="K35" s="52">
        <f t="shared" si="8"/>
        <v>0</v>
      </c>
      <c r="L35" s="32">
        <f t="shared" ref="L35" si="9">(+B35-E35)/B35</f>
        <v>6.1731625888759648E-2</v>
      </c>
    </row>
    <row r="36" spans="1:12" ht="15" thickBot="1" x14ac:dyDescent="0.35">
      <c r="A36" s="61">
        <v>100</v>
      </c>
      <c r="B36" s="62">
        <v>4632.75</v>
      </c>
      <c r="C36" s="62" t="s">
        <v>144</v>
      </c>
      <c r="D36" s="65">
        <f>+I36</f>
        <v>98</v>
      </c>
      <c r="E36" s="65">
        <f>+J36</f>
        <v>4219.8</v>
      </c>
      <c r="F36" s="65" t="s">
        <v>145</v>
      </c>
      <c r="G36" s="65">
        <v>86901</v>
      </c>
      <c r="H36" s="14"/>
      <c r="I36" s="45">
        <v>98</v>
      </c>
      <c r="J36" s="45">
        <v>4219.8</v>
      </c>
      <c r="K36" s="52">
        <f t="shared" si="8"/>
        <v>2</v>
      </c>
      <c r="L36" s="138">
        <f>((+B36/A36)-(E36/D36))/(B36/A36)</f>
        <v>7.0548083244954055E-2</v>
      </c>
    </row>
    <row r="37" spans="1:12" ht="15" thickBot="1" x14ac:dyDescent="0.35">
      <c r="A37" s="61">
        <v>50</v>
      </c>
      <c r="B37" s="62">
        <v>2325.25</v>
      </c>
      <c r="C37" s="62" t="s">
        <v>146</v>
      </c>
      <c r="D37" s="65">
        <f t="shared" si="7"/>
        <v>50</v>
      </c>
      <c r="E37" s="65">
        <f t="shared" si="7"/>
        <v>2203.6</v>
      </c>
      <c r="F37" s="65" t="s">
        <v>147</v>
      </c>
      <c r="G37" s="65">
        <v>83921</v>
      </c>
      <c r="H37" s="14"/>
      <c r="I37" s="45">
        <v>50</v>
      </c>
      <c r="J37" s="45">
        <v>2203.6</v>
      </c>
      <c r="K37" s="52">
        <f t="shared" si="8"/>
        <v>0</v>
      </c>
      <c r="L37" s="32">
        <f t="shared" ref="L37:L38" si="10">(+B37-E37)/B37</f>
        <v>5.2316955166111213E-2</v>
      </c>
    </row>
    <row r="38" spans="1:12" ht="15" thickBot="1" x14ac:dyDescent="0.35">
      <c r="A38" s="61">
        <v>311</v>
      </c>
      <c r="B38" s="62">
        <v>13513.75</v>
      </c>
      <c r="C38" s="62" t="s">
        <v>148</v>
      </c>
      <c r="D38" s="65">
        <f t="shared" si="7"/>
        <v>311</v>
      </c>
      <c r="E38" s="65">
        <f t="shared" si="7"/>
        <v>12677.5</v>
      </c>
      <c r="F38" s="65" t="s">
        <v>149</v>
      </c>
      <c r="G38" s="65">
        <v>86971</v>
      </c>
      <c r="H38" s="14"/>
      <c r="I38" s="45">
        <v>311</v>
      </c>
      <c r="J38" s="45">
        <v>12677.5</v>
      </c>
      <c r="K38" s="52">
        <f>+A38-D38</f>
        <v>0</v>
      </c>
      <c r="L38" s="32">
        <f t="shared" si="10"/>
        <v>6.1881417075201187E-2</v>
      </c>
    </row>
    <row r="39" spans="1:12" ht="15" thickBot="1" x14ac:dyDescent="0.35">
      <c r="A39" s="61">
        <v>189</v>
      </c>
      <c r="B39" s="62">
        <v>7733.25</v>
      </c>
      <c r="C39" s="62" t="s">
        <v>150</v>
      </c>
      <c r="D39" s="65">
        <f t="shared" si="7"/>
        <v>192</v>
      </c>
      <c r="E39" s="65">
        <f t="shared" si="7"/>
        <v>7570.7</v>
      </c>
      <c r="F39" s="65" t="s">
        <v>151</v>
      </c>
      <c r="G39" s="65">
        <v>86981</v>
      </c>
      <c r="H39" s="14"/>
      <c r="I39" s="45">
        <v>192</v>
      </c>
      <c r="J39" s="45">
        <v>7570.7</v>
      </c>
      <c r="K39" s="52">
        <f t="shared" ref="K39:K51" si="11">+A39-D39</f>
        <v>-3</v>
      </c>
      <c r="L39" s="138">
        <f>((+B39/A39)-(E39/D39))/(B39/A39)</f>
        <v>3.6316191446028483E-2</v>
      </c>
    </row>
    <row r="40" spans="1:12" ht="15" thickBot="1" x14ac:dyDescent="0.35">
      <c r="A40" s="61">
        <v>492</v>
      </c>
      <c r="B40" s="62">
        <v>20165.25</v>
      </c>
      <c r="C40" s="62" t="s">
        <v>152</v>
      </c>
      <c r="D40" s="65">
        <f t="shared" si="7"/>
        <v>492</v>
      </c>
      <c r="E40" s="65">
        <f t="shared" si="7"/>
        <v>18601.900000000001</v>
      </c>
      <c r="F40" s="65" t="s">
        <v>153</v>
      </c>
      <c r="G40" s="65">
        <v>86991</v>
      </c>
      <c r="H40" s="14"/>
      <c r="I40" s="45">
        <v>492</v>
      </c>
      <c r="J40" s="45">
        <v>18601.900000000001</v>
      </c>
      <c r="K40" s="52">
        <f t="shared" si="11"/>
        <v>0</v>
      </c>
      <c r="L40" s="32">
        <f t="shared" ref="L40" si="12">(+B40-E40)/B40</f>
        <v>7.7526933710219237E-2</v>
      </c>
    </row>
    <row r="41" spans="1:12" ht="15" thickBot="1" x14ac:dyDescent="0.35">
      <c r="A41" s="59">
        <v>907</v>
      </c>
      <c r="B41" s="60">
        <v>41176.75</v>
      </c>
      <c r="C41" s="60" t="s">
        <v>154</v>
      </c>
      <c r="D41" s="63">
        <f t="shared" ref="D41:E41" si="13">+I41</f>
        <v>888</v>
      </c>
      <c r="E41" s="63">
        <f t="shared" si="13"/>
        <v>37736</v>
      </c>
      <c r="F41" s="63" t="s">
        <v>155</v>
      </c>
      <c r="G41" s="63">
        <v>87021</v>
      </c>
      <c r="H41" s="40"/>
      <c r="I41" s="39">
        <v>888</v>
      </c>
      <c r="J41" s="39">
        <v>37736</v>
      </c>
      <c r="K41" s="18">
        <f t="shared" si="11"/>
        <v>19</v>
      </c>
      <c r="L41" s="138">
        <f>((+B41/A41)-(E41/D41))/(B41/A41)</f>
        <v>6.3952001689924196E-2</v>
      </c>
    </row>
    <row r="42" spans="1:12" x14ac:dyDescent="0.3">
      <c r="A42" s="891">
        <v>1649</v>
      </c>
      <c r="B42" s="894">
        <v>67145.75</v>
      </c>
      <c r="C42" s="894" t="s">
        <v>156</v>
      </c>
      <c r="D42" s="905">
        <f>+I42+I43</f>
        <v>1635</v>
      </c>
      <c r="E42" s="905">
        <f>+J42+J43</f>
        <v>61524.500000000007</v>
      </c>
      <c r="F42" s="63" t="s">
        <v>157</v>
      </c>
      <c r="G42" s="63">
        <v>87031</v>
      </c>
      <c r="H42" s="40"/>
      <c r="I42" s="39">
        <v>1612</v>
      </c>
      <c r="J42" s="39">
        <v>60719.200000000004</v>
      </c>
      <c r="K42" s="877">
        <f t="shared" si="11"/>
        <v>14</v>
      </c>
      <c r="L42" s="911">
        <f>((+B42/A42)-(E42/D42))/(B42/A42)</f>
        <v>7.5871290580269216E-2</v>
      </c>
    </row>
    <row r="43" spans="1:12" ht="15" thickBot="1" x14ac:dyDescent="0.35">
      <c r="A43" s="893"/>
      <c r="B43" s="896"/>
      <c r="C43" s="896"/>
      <c r="D43" s="907"/>
      <c r="E43" s="907"/>
      <c r="F43" s="64" t="s">
        <v>157</v>
      </c>
      <c r="G43" s="64">
        <v>87031</v>
      </c>
      <c r="H43" s="43"/>
      <c r="I43" s="42">
        <v>23</v>
      </c>
      <c r="J43" s="42">
        <v>805.3</v>
      </c>
      <c r="K43" s="878"/>
      <c r="L43" s="912"/>
    </row>
    <row r="44" spans="1:12" x14ac:dyDescent="0.3">
      <c r="A44" s="976">
        <v>604</v>
      </c>
      <c r="B44" s="895">
        <v>27894</v>
      </c>
      <c r="C44" s="895" t="s">
        <v>158</v>
      </c>
      <c r="D44" s="906">
        <f>+I44+I45</f>
        <v>604</v>
      </c>
      <c r="E44" s="906">
        <f>+J44+J45</f>
        <v>26296.199999999997</v>
      </c>
      <c r="F44" s="30" t="s">
        <v>159</v>
      </c>
      <c r="G44" s="30">
        <v>87041</v>
      </c>
      <c r="I44" s="50">
        <v>200</v>
      </c>
      <c r="J44" s="50">
        <v>8767.9</v>
      </c>
      <c r="K44" s="877">
        <f t="shared" si="11"/>
        <v>0</v>
      </c>
      <c r="L44" s="911">
        <f t="shared" ref="L44" si="14">(+B44-E44)/B44</f>
        <v>5.7281135728113677E-2</v>
      </c>
    </row>
    <row r="45" spans="1:12" ht="15" thickBot="1" x14ac:dyDescent="0.35">
      <c r="A45" s="977"/>
      <c r="B45" s="896"/>
      <c r="C45" s="896"/>
      <c r="D45" s="907"/>
      <c r="E45" s="907"/>
      <c r="F45" s="28" t="s">
        <v>159</v>
      </c>
      <c r="G45" s="28">
        <v>87041</v>
      </c>
      <c r="H45" s="43"/>
      <c r="I45" s="42">
        <f>101+101+202</f>
        <v>404</v>
      </c>
      <c r="J45" s="42">
        <v>17528.3</v>
      </c>
      <c r="K45" s="878"/>
      <c r="L45" s="912"/>
    </row>
    <row r="46" spans="1:12" ht="15" thickBot="1" x14ac:dyDescent="0.35">
      <c r="A46" s="59">
        <v>500</v>
      </c>
      <c r="B46" s="60">
        <v>19718.5</v>
      </c>
      <c r="C46" s="60" t="s">
        <v>160</v>
      </c>
      <c r="D46" s="63">
        <f>+I46</f>
        <v>500</v>
      </c>
      <c r="E46" s="63">
        <f>+J46</f>
        <v>18501.5</v>
      </c>
      <c r="F46" s="63" t="s">
        <v>161</v>
      </c>
      <c r="G46" s="63">
        <v>87081</v>
      </c>
      <c r="H46" s="40"/>
      <c r="I46" s="39">
        <v>500</v>
      </c>
      <c r="J46" s="39">
        <v>18501.5</v>
      </c>
      <c r="K46" s="18">
        <f t="shared" si="11"/>
        <v>0</v>
      </c>
      <c r="L46" s="32">
        <f t="shared" ref="L46" si="15">(+B46-E46)/B46</f>
        <v>6.1718690569769509E-2</v>
      </c>
    </row>
    <row r="47" spans="1:12" x14ac:dyDescent="0.3">
      <c r="A47" s="891">
        <v>397</v>
      </c>
      <c r="B47" s="894">
        <v>18701</v>
      </c>
      <c r="C47" s="894" t="s">
        <v>162</v>
      </c>
      <c r="D47" s="905">
        <f>+I47+I48</f>
        <v>396</v>
      </c>
      <c r="E47" s="905">
        <f>+J47+J48</f>
        <v>17815.099999999999</v>
      </c>
      <c r="F47" s="63" t="s">
        <v>163</v>
      </c>
      <c r="G47" s="63">
        <v>87091</v>
      </c>
      <c r="H47" s="40"/>
      <c r="I47" s="39">
        <v>100</v>
      </c>
      <c r="J47" s="39">
        <v>4523.6000000000004</v>
      </c>
      <c r="K47" s="877">
        <f t="shared" si="11"/>
        <v>1</v>
      </c>
      <c r="L47" s="911">
        <f>((+B47/A47)-(E47/D47))/(B47/A47)</f>
        <v>4.4966171527585488E-2</v>
      </c>
    </row>
    <row r="48" spans="1:12" ht="15" thickBot="1" x14ac:dyDescent="0.35">
      <c r="A48" s="893"/>
      <c r="B48" s="896"/>
      <c r="C48" s="896"/>
      <c r="D48" s="907"/>
      <c r="E48" s="907"/>
      <c r="F48" s="64" t="s">
        <v>163</v>
      </c>
      <c r="G48" s="64">
        <v>87091</v>
      </c>
      <c r="H48" s="43"/>
      <c r="I48" s="42">
        <v>296</v>
      </c>
      <c r="J48" s="42">
        <v>13291.5</v>
      </c>
      <c r="K48" s="878"/>
      <c r="L48" s="912"/>
    </row>
    <row r="49" spans="1:12" x14ac:dyDescent="0.3">
      <c r="A49" s="891">
        <v>842</v>
      </c>
      <c r="B49" s="894">
        <v>38277.4</v>
      </c>
      <c r="C49" s="894" t="s">
        <v>164</v>
      </c>
      <c r="D49" s="905">
        <f>+I49+I50</f>
        <v>837</v>
      </c>
      <c r="E49" s="905">
        <f>+J49+J50</f>
        <v>36034.5</v>
      </c>
      <c r="F49" s="63" t="s">
        <v>165</v>
      </c>
      <c r="G49" s="63">
        <v>87101</v>
      </c>
      <c r="H49" s="40"/>
      <c r="I49" s="39">
        <v>498</v>
      </c>
      <c r="J49" s="39">
        <v>21237.8</v>
      </c>
      <c r="K49" s="877">
        <f t="shared" si="11"/>
        <v>5</v>
      </c>
      <c r="L49" s="911">
        <f>((+B49/A49)-(E49/D49))/(B49/A49)</f>
        <v>5.2972253689361717E-2</v>
      </c>
    </row>
    <row r="50" spans="1:12" ht="15" thickBot="1" x14ac:dyDescent="0.35">
      <c r="A50" s="893"/>
      <c r="B50" s="896"/>
      <c r="C50" s="896"/>
      <c r="D50" s="907"/>
      <c r="E50" s="907"/>
      <c r="F50" s="64" t="s">
        <v>165</v>
      </c>
      <c r="G50" s="64">
        <v>87101</v>
      </c>
      <c r="H50" s="43"/>
      <c r="I50" s="42">
        <v>339</v>
      </c>
      <c r="J50" s="42">
        <v>14796.7</v>
      </c>
      <c r="K50" s="878"/>
      <c r="L50" s="912"/>
    </row>
    <row r="51" spans="1:12" x14ac:dyDescent="0.3">
      <c r="A51" s="891">
        <v>451</v>
      </c>
      <c r="B51" s="894">
        <v>19465.75</v>
      </c>
      <c r="C51" s="894" t="s">
        <v>166</v>
      </c>
      <c r="D51" s="905">
        <f>+I51+I52</f>
        <v>451</v>
      </c>
      <c r="E51" s="905">
        <f>+J51+J52</f>
        <v>18247</v>
      </c>
      <c r="F51" s="63" t="s">
        <v>167</v>
      </c>
      <c r="G51" s="63">
        <v>87141</v>
      </c>
      <c r="H51" s="40"/>
      <c r="I51" s="39">
        <v>201</v>
      </c>
      <c r="J51" s="39">
        <v>8162.2</v>
      </c>
      <c r="K51" s="877">
        <f t="shared" si="11"/>
        <v>0</v>
      </c>
      <c r="L51" s="911">
        <f t="shared" ref="L51" si="16">(+B51-E51)/B51</f>
        <v>6.2609968791338635E-2</v>
      </c>
    </row>
    <row r="52" spans="1:12" ht="15" thickBot="1" x14ac:dyDescent="0.35">
      <c r="A52" s="893"/>
      <c r="B52" s="896"/>
      <c r="C52" s="896"/>
      <c r="D52" s="907"/>
      <c r="E52" s="907"/>
      <c r="F52" s="64" t="s">
        <v>167</v>
      </c>
      <c r="G52" s="64">
        <v>87141</v>
      </c>
      <c r="H52" s="43"/>
      <c r="I52" s="42">
        <v>250</v>
      </c>
      <c r="J52" s="42">
        <v>10084.799999999999</v>
      </c>
      <c r="K52" s="878"/>
      <c r="L52" s="912"/>
    </row>
    <row r="53" spans="1:12" ht="15" thickBot="1" x14ac:dyDescent="0.35">
      <c r="A53" s="61">
        <v>207</v>
      </c>
      <c r="B53" s="62">
        <v>9666</v>
      </c>
      <c r="C53" s="62" t="s">
        <v>168</v>
      </c>
      <c r="D53" s="65">
        <f>+I53</f>
        <v>207</v>
      </c>
      <c r="E53" s="65">
        <f>+J53</f>
        <v>8986.1</v>
      </c>
      <c r="F53" s="65" t="s">
        <v>169</v>
      </c>
      <c r="G53" s="65">
        <v>87171</v>
      </c>
      <c r="H53" s="14"/>
      <c r="I53" s="45">
        <v>207</v>
      </c>
      <c r="J53" s="45">
        <v>8986.1</v>
      </c>
      <c r="K53" s="52">
        <f t="shared" ref="K53:K66" si="17">+A53-D53</f>
        <v>0</v>
      </c>
      <c r="L53" s="32">
        <f t="shared" ref="L53" si="18">(+B53-E53)/B53</f>
        <v>7.0339333747154939E-2</v>
      </c>
    </row>
    <row r="54" spans="1:12" x14ac:dyDescent="0.3">
      <c r="A54" s="891">
        <v>1679</v>
      </c>
      <c r="B54" s="894">
        <v>78143</v>
      </c>
      <c r="C54" s="894" t="s">
        <v>170</v>
      </c>
      <c r="D54" s="905">
        <f>+I54+I55</f>
        <v>1677</v>
      </c>
      <c r="E54" s="905">
        <f>+J54+J55</f>
        <v>74164.7</v>
      </c>
      <c r="F54" s="63" t="s">
        <v>171</v>
      </c>
      <c r="G54" s="63">
        <v>87181</v>
      </c>
      <c r="H54" s="40"/>
      <c r="I54" s="39">
        <v>100</v>
      </c>
      <c r="J54" s="39">
        <v>4498.5</v>
      </c>
      <c r="K54" s="877">
        <f t="shared" si="17"/>
        <v>2</v>
      </c>
      <c r="L54" s="911">
        <f>((+B54/A54)-(E54/D54))/(B54/A54)</f>
        <v>4.9778620546672953E-2</v>
      </c>
    </row>
    <row r="55" spans="1:12" ht="15" thickBot="1" x14ac:dyDescent="0.35">
      <c r="A55" s="892"/>
      <c r="B55" s="895"/>
      <c r="C55" s="895"/>
      <c r="D55" s="906"/>
      <c r="E55" s="906"/>
      <c r="F55" s="66" t="s">
        <v>171</v>
      </c>
      <c r="G55" s="66">
        <v>87181</v>
      </c>
      <c r="I55" s="50">
        <v>1577</v>
      </c>
      <c r="J55" s="50">
        <v>69666.2</v>
      </c>
      <c r="K55" s="878"/>
      <c r="L55" s="912"/>
    </row>
    <row r="56" spans="1:12" x14ac:dyDescent="0.3">
      <c r="A56" s="891">
        <v>1183</v>
      </c>
      <c r="B56" s="894">
        <v>53865.5</v>
      </c>
      <c r="C56" s="894" t="s">
        <v>172</v>
      </c>
      <c r="D56" s="905">
        <f>+I56+I57</f>
        <v>1185</v>
      </c>
      <c r="E56" s="905">
        <f>+J56+J57</f>
        <v>51415.4</v>
      </c>
      <c r="F56" s="63" t="s">
        <v>173</v>
      </c>
      <c r="G56" s="63">
        <v>87191</v>
      </c>
      <c r="H56" s="40"/>
      <c r="I56" s="39">
        <v>310</v>
      </c>
      <c r="J56" s="39">
        <v>13302.6</v>
      </c>
      <c r="K56" s="877">
        <f t="shared" si="17"/>
        <v>-2</v>
      </c>
      <c r="L56" s="911">
        <f>((+B56/A56)-(E56/D56))/(B56/A56)</f>
        <v>4.7096509758816095E-2</v>
      </c>
    </row>
    <row r="57" spans="1:12" ht="15" thickBot="1" x14ac:dyDescent="0.35">
      <c r="A57" s="892"/>
      <c r="B57" s="895"/>
      <c r="C57" s="895"/>
      <c r="D57" s="906"/>
      <c r="E57" s="906"/>
      <c r="F57" s="66" t="s">
        <v>173</v>
      </c>
      <c r="G57" s="66">
        <v>87191</v>
      </c>
      <c r="I57" s="50">
        <v>875</v>
      </c>
      <c r="J57" s="50">
        <v>38112.800000000003</v>
      </c>
      <c r="K57" s="886"/>
      <c r="L57" s="919"/>
    </row>
    <row r="58" spans="1:12" x14ac:dyDescent="0.3">
      <c r="A58" s="891">
        <v>1545</v>
      </c>
      <c r="B58" s="894">
        <v>71351</v>
      </c>
      <c r="C58" s="894" t="s">
        <v>174</v>
      </c>
      <c r="D58" s="905">
        <f>+I58+I59</f>
        <v>1545</v>
      </c>
      <c r="E58" s="905">
        <f>+J58+J59</f>
        <v>69426.600000000006</v>
      </c>
      <c r="F58" s="63" t="s">
        <v>175</v>
      </c>
      <c r="G58" s="63">
        <v>87291</v>
      </c>
      <c r="H58" s="40"/>
      <c r="I58" s="39">
        <v>400</v>
      </c>
      <c r="J58" s="39">
        <v>17990.8</v>
      </c>
      <c r="K58" s="877">
        <f t="shared" si="17"/>
        <v>0</v>
      </c>
      <c r="L58" s="911">
        <f t="shared" ref="L58" si="19">(+B58-E58)/B58</f>
        <v>2.6970890386960156E-2</v>
      </c>
    </row>
    <row r="59" spans="1:12" ht="15" thickBot="1" x14ac:dyDescent="0.35">
      <c r="A59" s="893"/>
      <c r="B59" s="896"/>
      <c r="C59" s="896"/>
      <c r="D59" s="907"/>
      <c r="E59" s="907"/>
      <c r="F59" s="64" t="s">
        <v>175</v>
      </c>
      <c r="G59" s="64">
        <v>87291</v>
      </c>
      <c r="H59" s="43"/>
      <c r="I59" s="42">
        <v>1145</v>
      </c>
      <c r="J59" s="42">
        <v>51435.8</v>
      </c>
      <c r="K59" s="878"/>
      <c r="L59" s="912"/>
    </row>
    <row r="60" spans="1:12" ht="15" thickBot="1" x14ac:dyDescent="0.35">
      <c r="A60" s="19">
        <v>250</v>
      </c>
      <c r="B60" s="20">
        <v>10880.25</v>
      </c>
      <c r="C60" s="20" t="s">
        <v>326</v>
      </c>
      <c r="D60" s="27">
        <f t="shared" ref="D60:E60" si="20">+I60</f>
        <v>249</v>
      </c>
      <c r="E60" s="27">
        <f t="shared" si="20"/>
        <v>10038.5</v>
      </c>
      <c r="F60" s="65" t="s">
        <v>327</v>
      </c>
      <c r="G60" s="65">
        <v>87301</v>
      </c>
      <c r="H60" s="14"/>
      <c r="I60" s="45">
        <v>249</v>
      </c>
      <c r="J60" s="45">
        <v>10038.5</v>
      </c>
      <c r="K60" s="52">
        <f t="shared" ref="K60" si="21">+A60-D60</f>
        <v>1</v>
      </c>
      <c r="L60" s="138">
        <f>((+B60/A60)-(E60/D60))/(B60/A60)</f>
        <v>7.3659588608333743E-2</v>
      </c>
    </row>
    <row r="61" spans="1:12" ht="15" thickBot="1" x14ac:dyDescent="0.35">
      <c r="A61" s="76">
        <v>198</v>
      </c>
      <c r="B61" s="77">
        <v>8614.25</v>
      </c>
      <c r="C61" s="77" t="s">
        <v>176</v>
      </c>
      <c r="D61" s="64">
        <f t="shared" ref="D61:E63" si="22">+I61</f>
        <v>198</v>
      </c>
      <c r="E61" s="64">
        <f t="shared" si="22"/>
        <v>8131.6</v>
      </c>
      <c r="F61" s="64" t="s">
        <v>177</v>
      </c>
      <c r="G61" s="64">
        <v>87331</v>
      </c>
      <c r="H61" s="43"/>
      <c r="I61" s="42">
        <v>198</v>
      </c>
      <c r="J61" s="42">
        <v>8131.6</v>
      </c>
      <c r="K61" s="58">
        <f t="shared" si="17"/>
        <v>0</v>
      </c>
      <c r="L61" s="34">
        <f t="shared" ref="L61:L71" si="23">(+B61-E61)/B61</f>
        <v>5.6029253852627872E-2</v>
      </c>
    </row>
    <row r="62" spans="1:12" ht="15" thickBot="1" x14ac:dyDescent="0.35">
      <c r="A62" s="61">
        <v>181</v>
      </c>
      <c r="B62" s="62">
        <v>7969.7</v>
      </c>
      <c r="C62" s="62" t="s">
        <v>178</v>
      </c>
      <c r="D62" s="65">
        <f t="shared" si="22"/>
        <v>181</v>
      </c>
      <c r="E62" s="65">
        <f t="shared" si="22"/>
        <v>7684.5</v>
      </c>
      <c r="F62" s="65" t="s">
        <v>179</v>
      </c>
      <c r="G62" s="65">
        <v>87341</v>
      </c>
      <c r="H62" s="14"/>
      <c r="I62" s="45">
        <v>181</v>
      </c>
      <c r="J62" s="45">
        <v>7684.5</v>
      </c>
      <c r="K62" s="52">
        <f t="shared" si="17"/>
        <v>0</v>
      </c>
      <c r="L62" s="33">
        <f t="shared" si="23"/>
        <v>3.5785537724130123E-2</v>
      </c>
    </row>
    <row r="63" spans="1:12" ht="15" thickBot="1" x14ac:dyDescent="0.35">
      <c r="A63" s="59">
        <v>270</v>
      </c>
      <c r="B63" s="60">
        <v>12685.5</v>
      </c>
      <c r="C63" s="60" t="s">
        <v>328</v>
      </c>
      <c r="D63" s="63">
        <f t="shared" si="22"/>
        <v>270</v>
      </c>
      <c r="E63" s="63">
        <f t="shared" si="22"/>
        <v>12081.2</v>
      </c>
      <c r="F63" s="63" t="s">
        <v>329</v>
      </c>
      <c r="G63" s="63">
        <v>8738</v>
      </c>
      <c r="H63" s="129"/>
      <c r="I63" s="128">
        <v>270</v>
      </c>
      <c r="J63" s="128">
        <v>12081.2</v>
      </c>
      <c r="K63" s="18">
        <f t="shared" si="17"/>
        <v>0</v>
      </c>
      <c r="L63" s="33">
        <f t="shared" si="23"/>
        <v>4.7637065941429135E-2</v>
      </c>
    </row>
    <row r="64" spans="1:12" x14ac:dyDescent="0.3">
      <c r="A64" s="891">
        <v>347</v>
      </c>
      <c r="B64" s="894">
        <v>14793.5</v>
      </c>
      <c r="C64" s="894" t="s">
        <v>330</v>
      </c>
      <c r="D64" s="905">
        <f>+I64+I65</f>
        <v>347</v>
      </c>
      <c r="E64" s="905">
        <f>+J64+J65</f>
        <v>14065.1</v>
      </c>
      <c r="F64" s="63" t="s">
        <v>331</v>
      </c>
      <c r="G64" s="63">
        <v>8739</v>
      </c>
      <c r="H64" s="129"/>
      <c r="I64" s="128">
        <v>140</v>
      </c>
      <c r="J64" s="128">
        <v>5679.9</v>
      </c>
      <c r="K64" s="18">
        <f t="shared" si="17"/>
        <v>0</v>
      </c>
      <c r="L64" s="911">
        <f t="shared" si="23"/>
        <v>4.9237840943657664E-2</v>
      </c>
    </row>
    <row r="65" spans="1:12" ht="15" thickBot="1" x14ac:dyDescent="0.35">
      <c r="A65" s="893"/>
      <c r="B65" s="896"/>
      <c r="C65" s="896"/>
      <c r="D65" s="907"/>
      <c r="E65" s="907"/>
      <c r="F65" s="64" t="s">
        <v>331</v>
      </c>
      <c r="G65" s="64">
        <v>87391</v>
      </c>
      <c r="H65" s="131"/>
      <c r="I65" s="130">
        <v>207</v>
      </c>
      <c r="J65" s="130">
        <v>8385.2000000000007</v>
      </c>
      <c r="K65" s="58"/>
      <c r="L65" s="912"/>
    </row>
    <row r="66" spans="1:12" ht="15" thickBot="1" x14ac:dyDescent="0.35">
      <c r="A66" s="59">
        <v>529</v>
      </c>
      <c r="B66" s="60">
        <v>22774.5</v>
      </c>
      <c r="C66" s="60" t="s">
        <v>332</v>
      </c>
      <c r="D66" s="63">
        <f>+I66</f>
        <v>529</v>
      </c>
      <c r="E66" s="63">
        <f>+J66</f>
        <v>21549.000000000004</v>
      </c>
      <c r="F66" s="63" t="s">
        <v>333</v>
      </c>
      <c r="G66" s="63">
        <v>87401</v>
      </c>
      <c r="H66" s="129"/>
      <c r="I66" s="128">
        <v>529</v>
      </c>
      <c r="J66" s="128">
        <v>21549.000000000004</v>
      </c>
      <c r="K66" s="18">
        <f t="shared" si="17"/>
        <v>0</v>
      </c>
      <c r="L66" s="33">
        <f t="shared" si="23"/>
        <v>5.3810182440887679E-2</v>
      </c>
    </row>
    <row r="67" spans="1:12" x14ac:dyDescent="0.3">
      <c r="A67" s="891">
        <v>1233</v>
      </c>
      <c r="B67" s="894">
        <v>57353</v>
      </c>
      <c r="C67" s="894" t="s">
        <v>334</v>
      </c>
      <c r="D67" s="905">
        <f>+I67+I68</f>
        <v>1233</v>
      </c>
      <c r="E67" s="905">
        <f>+J67+J68</f>
        <v>55646.3</v>
      </c>
      <c r="F67" s="63" t="s">
        <v>335</v>
      </c>
      <c r="G67" s="63">
        <v>87431</v>
      </c>
      <c r="H67" s="129"/>
      <c r="I67" s="128">
        <v>300</v>
      </c>
      <c r="J67" s="128">
        <v>13589.7</v>
      </c>
      <c r="K67" s="18">
        <f>+A67-D67</f>
        <v>0</v>
      </c>
      <c r="L67" s="911">
        <f t="shared" si="23"/>
        <v>2.9757815633009558E-2</v>
      </c>
    </row>
    <row r="68" spans="1:12" ht="15" thickBot="1" x14ac:dyDescent="0.35">
      <c r="A68" s="893"/>
      <c r="B68" s="896"/>
      <c r="C68" s="896"/>
      <c r="D68" s="907"/>
      <c r="E68" s="907"/>
      <c r="F68" s="66" t="s">
        <v>335</v>
      </c>
      <c r="G68" s="66">
        <v>87431</v>
      </c>
      <c r="H68" s="133"/>
      <c r="I68" s="132">
        <v>933</v>
      </c>
      <c r="J68" s="132">
        <v>42056.6</v>
      </c>
      <c r="K68" s="87"/>
      <c r="L68" s="912"/>
    </row>
    <row r="69" spans="1:12" x14ac:dyDescent="0.3">
      <c r="A69" s="891">
        <v>900</v>
      </c>
      <c r="B69" s="894">
        <v>41133</v>
      </c>
      <c r="C69" s="894" t="s">
        <v>336</v>
      </c>
      <c r="D69" s="905">
        <f>+I69+I70</f>
        <v>900</v>
      </c>
      <c r="E69" s="905">
        <f>+J69+J70</f>
        <v>39783.5</v>
      </c>
      <c r="F69" s="63" t="s">
        <v>337</v>
      </c>
      <c r="G69" s="63">
        <v>87471</v>
      </c>
      <c r="H69" s="129"/>
      <c r="I69" s="128">
        <v>300</v>
      </c>
      <c r="J69" s="128">
        <v>13175.4</v>
      </c>
      <c r="K69" s="18">
        <f>+A69-D69</f>
        <v>0</v>
      </c>
      <c r="L69" s="911">
        <f t="shared" si="23"/>
        <v>3.2808207521941017E-2</v>
      </c>
    </row>
    <row r="70" spans="1:12" ht="15" thickBot="1" x14ac:dyDescent="0.35">
      <c r="A70" s="893"/>
      <c r="B70" s="896"/>
      <c r="C70" s="896"/>
      <c r="D70" s="907"/>
      <c r="E70" s="907"/>
      <c r="F70" s="64" t="s">
        <v>337</v>
      </c>
      <c r="G70" s="64">
        <v>87471</v>
      </c>
      <c r="H70" s="131"/>
      <c r="I70" s="130">
        <v>600</v>
      </c>
      <c r="J70" s="130">
        <v>26608.1</v>
      </c>
      <c r="K70" s="58"/>
      <c r="L70" s="912"/>
    </row>
    <row r="71" spans="1:12" ht="15" thickBot="1" x14ac:dyDescent="0.35">
      <c r="A71" s="59">
        <v>386</v>
      </c>
      <c r="B71" s="60">
        <v>15942.5</v>
      </c>
      <c r="C71" s="60" t="s">
        <v>338</v>
      </c>
      <c r="D71" s="63">
        <f>+I71</f>
        <v>386</v>
      </c>
      <c r="E71" s="63">
        <f>+J71</f>
        <v>15139.6</v>
      </c>
      <c r="F71" s="63" t="s">
        <v>339</v>
      </c>
      <c r="G71" s="63">
        <v>87481</v>
      </c>
      <c r="H71" s="129"/>
      <c r="I71" s="128">
        <v>386</v>
      </c>
      <c r="J71" s="128">
        <v>15139.6</v>
      </c>
      <c r="K71" s="18">
        <f>+A71-D71</f>
        <v>0</v>
      </c>
      <c r="L71" s="33">
        <f t="shared" si="23"/>
        <v>5.0362239297475277E-2</v>
      </c>
    </row>
    <row r="72" spans="1:12" x14ac:dyDescent="0.3">
      <c r="A72" s="891">
        <v>1244</v>
      </c>
      <c r="B72" s="894">
        <v>51125.25</v>
      </c>
      <c r="C72" s="894" t="s">
        <v>340</v>
      </c>
      <c r="D72" s="905">
        <f>+I72+I73</f>
        <v>1243</v>
      </c>
      <c r="E72" s="905">
        <f>+J72+J73</f>
        <v>48799.600000000006</v>
      </c>
      <c r="F72" s="63" t="s">
        <v>341</v>
      </c>
      <c r="G72" s="63">
        <v>87521</v>
      </c>
      <c r="H72" s="129"/>
      <c r="I72" s="128">
        <v>624</v>
      </c>
      <c r="J72" s="128">
        <v>24807.9</v>
      </c>
      <c r="K72" s="877">
        <f t="shared" ref="K72:K89" si="24">+A72-D72</f>
        <v>1</v>
      </c>
      <c r="L72" s="911">
        <f>((+B72/A72)-(E72/D72))/(B72/A72)</f>
        <v>4.4721355232747444E-2</v>
      </c>
    </row>
    <row r="73" spans="1:12" ht="15" thickBot="1" x14ac:dyDescent="0.35">
      <c r="A73" s="893"/>
      <c r="B73" s="896"/>
      <c r="C73" s="896"/>
      <c r="D73" s="907"/>
      <c r="E73" s="907"/>
      <c r="F73" s="66" t="s">
        <v>341</v>
      </c>
      <c r="G73" s="66">
        <v>87521</v>
      </c>
      <c r="H73" s="133"/>
      <c r="I73" s="132">
        <v>619</v>
      </c>
      <c r="J73" s="132">
        <v>23991.7</v>
      </c>
      <c r="K73" s="878"/>
      <c r="L73" s="912"/>
    </row>
    <row r="74" spans="1:12" x14ac:dyDescent="0.3">
      <c r="A74" s="891">
        <v>1108</v>
      </c>
      <c r="B74" s="894">
        <v>51373.5</v>
      </c>
      <c r="C74" s="894" t="s">
        <v>342</v>
      </c>
      <c r="D74" s="905">
        <f>+I74+I75</f>
        <v>1108</v>
      </c>
      <c r="E74" s="905">
        <f>+J74+J75</f>
        <v>48572</v>
      </c>
      <c r="F74" s="63" t="s">
        <v>343</v>
      </c>
      <c r="G74" s="63">
        <v>87531</v>
      </c>
      <c r="H74" s="129"/>
      <c r="I74" s="128">
        <v>900</v>
      </c>
      <c r="J74" s="128">
        <v>39469.1</v>
      </c>
      <c r="K74" s="877">
        <f t="shared" si="24"/>
        <v>0</v>
      </c>
      <c r="L74" s="911">
        <f t="shared" ref="L74" si="25">(+B74-E74)/B74</f>
        <v>5.453200580065598E-2</v>
      </c>
    </row>
    <row r="75" spans="1:12" ht="15" thickBot="1" x14ac:dyDescent="0.35">
      <c r="A75" s="892"/>
      <c r="B75" s="895"/>
      <c r="C75" s="895"/>
      <c r="D75" s="906"/>
      <c r="E75" s="906"/>
      <c r="F75" s="66" t="s">
        <v>343</v>
      </c>
      <c r="G75" s="66">
        <v>87531</v>
      </c>
      <c r="H75" s="133"/>
      <c r="I75" s="132">
        <v>208</v>
      </c>
      <c r="J75" s="132">
        <v>9102.9</v>
      </c>
      <c r="K75" s="886"/>
      <c r="L75" s="919"/>
    </row>
    <row r="76" spans="1:12" x14ac:dyDescent="0.3">
      <c r="A76" s="891">
        <v>1200</v>
      </c>
      <c r="B76" s="894">
        <v>56641.25</v>
      </c>
      <c r="C76" s="894" t="s">
        <v>344</v>
      </c>
      <c r="D76" s="905">
        <f>+I76+I77</f>
        <v>1199</v>
      </c>
      <c r="E76" s="905">
        <f>+J76+J77</f>
        <v>55179.7</v>
      </c>
      <c r="F76" s="63" t="s">
        <v>345</v>
      </c>
      <c r="G76" s="63">
        <v>87571</v>
      </c>
      <c r="H76" s="129"/>
      <c r="I76" s="128">
        <v>599</v>
      </c>
      <c r="J76" s="128">
        <v>27035.599999999999</v>
      </c>
      <c r="K76" s="18">
        <f t="shared" si="24"/>
        <v>1</v>
      </c>
      <c r="L76" s="127">
        <f>((+B76/A76)-(E76/D76))/(B76/A76)</f>
        <v>2.499112511590465E-2</v>
      </c>
    </row>
    <row r="77" spans="1:12" ht="15" thickBot="1" x14ac:dyDescent="0.35">
      <c r="A77" s="893"/>
      <c r="B77" s="896"/>
      <c r="C77" s="896"/>
      <c r="D77" s="907"/>
      <c r="E77" s="907"/>
      <c r="F77" s="64" t="s">
        <v>345</v>
      </c>
      <c r="G77" s="64">
        <v>87571</v>
      </c>
      <c r="H77" s="131"/>
      <c r="I77" s="42">
        <v>600</v>
      </c>
      <c r="J77" s="42">
        <v>28144.1</v>
      </c>
      <c r="K77" s="58"/>
      <c r="L77" s="152"/>
    </row>
    <row r="78" spans="1:12" x14ac:dyDescent="0.3">
      <c r="A78" s="891">
        <v>900</v>
      </c>
      <c r="B78" s="894">
        <v>42282.75</v>
      </c>
      <c r="C78" s="894" t="s">
        <v>416</v>
      </c>
      <c r="D78" s="905">
        <f>+I78+I79</f>
        <v>894</v>
      </c>
      <c r="E78" s="905">
        <f>+J78+J79</f>
        <v>40495.599999999999</v>
      </c>
      <c r="F78" s="63" t="s">
        <v>415</v>
      </c>
      <c r="G78" s="63">
        <v>87581</v>
      </c>
      <c r="H78" s="129"/>
      <c r="I78" s="39">
        <v>700</v>
      </c>
      <c r="J78" s="39">
        <v>31639.8</v>
      </c>
      <c r="K78" s="18">
        <f t="shared" si="24"/>
        <v>6</v>
      </c>
      <c r="L78" s="127">
        <f>((+B78/A78)-(E78/D78))/(B78/A78)</f>
        <v>3.5838904746366626E-2</v>
      </c>
    </row>
    <row r="79" spans="1:12" ht="15" thickBot="1" x14ac:dyDescent="0.35">
      <c r="A79" s="893"/>
      <c r="B79" s="896"/>
      <c r="C79" s="896"/>
      <c r="D79" s="907"/>
      <c r="E79" s="907"/>
      <c r="F79" s="64" t="s">
        <v>415</v>
      </c>
      <c r="G79" s="64">
        <v>87581</v>
      </c>
      <c r="H79" s="131"/>
      <c r="I79" s="42">
        <v>194</v>
      </c>
      <c r="J79" s="42">
        <v>8855.7999999999993</v>
      </c>
      <c r="K79" s="58"/>
      <c r="L79" s="152"/>
    </row>
    <row r="80" spans="1:12" ht="15" thickBot="1" x14ac:dyDescent="0.35">
      <c r="A80" s="19">
        <v>461</v>
      </c>
      <c r="B80" s="20">
        <v>19672.099999999999</v>
      </c>
      <c r="C80" s="20" t="s">
        <v>417</v>
      </c>
      <c r="D80" s="27">
        <f>+I80</f>
        <v>461</v>
      </c>
      <c r="E80" s="27">
        <f>+J80</f>
        <v>19021.600000000002</v>
      </c>
      <c r="F80" s="65" t="s">
        <v>426</v>
      </c>
      <c r="G80" s="65">
        <v>87611</v>
      </c>
      <c r="H80" s="134"/>
      <c r="I80" s="45">
        <v>461</v>
      </c>
      <c r="J80" s="45">
        <v>19021.600000000002</v>
      </c>
      <c r="K80" s="18">
        <f t="shared" si="24"/>
        <v>0</v>
      </c>
      <c r="L80" s="33">
        <f t="shared" ref="L80:L81" si="26">(+B80-E80)/B80</f>
        <v>3.3067135689631329E-2</v>
      </c>
    </row>
    <row r="81" spans="1:12" ht="15" thickBot="1" x14ac:dyDescent="0.35">
      <c r="A81" s="19">
        <v>1000</v>
      </c>
      <c r="B81" s="20">
        <v>42713.1</v>
      </c>
      <c r="C81" s="20" t="s">
        <v>418</v>
      </c>
      <c r="D81" s="27">
        <f t="shared" ref="D81:D88" si="27">+I81</f>
        <v>1000</v>
      </c>
      <c r="E81" s="27">
        <f t="shared" ref="E81:E88" si="28">+J81</f>
        <v>41335.1</v>
      </c>
      <c r="F81" s="65" t="s">
        <v>427</v>
      </c>
      <c r="G81" s="65">
        <v>87631</v>
      </c>
      <c r="H81" s="134"/>
      <c r="I81" s="45">
        <v>1000</v>
      </c>
      <c r="J81" s="45">
        <v>41335.1</v>
      </c>
      <c r="K81" s="52">
        <f t="shared" si="24"/>
        <v>0</v>
      </c>
      <c r="L81" s="33">
        <f t="shared" si="26"/>
        <v>3.2261765125921556E-2</v>
      </c>
    </row>
    <row r="82" spans="1:12" ht="15" thickBot="1" x14ac:dyDescent="0.35">
      <c r="A82" s="19">
        <v>511</v>
      </c>
      <c r="B82" s="20">
        <v>21314.1</v>
      </c>
      <c r="C82" s="20" t="s">
        <v>419</v>
      </c>
      <c r="D82" s="27">
        <f t="shared" si="27"/>
        <v>508</v>
      </c>
      <c r="E82" s="27">
        <f t="shared" si="28"/>
        <v>20402.900000000001</v>
      </c>
      <c r="F82" s="65" t="s">
        <v>428</v>
      </c>
      <c r="G82" s="65">
        <v>87661</v>
      </c>
      <c r="H82" s="134"/>
      <c r="I82" s="45">
        <v>508</v>
      </c>
      <c r="J82" s="45">
        <v>20402.900000000001</v>
      </c>
      <c r="K82" s="52">
        <f t="shared" si="24"/>
        <v>3</v>
      </c>
      <c r="L82" s="138">
        <f>((+B82/A82)-(E82/D82))/(B82/A82)</f>
        <v>3.7097997713760628E-2</v>
      </c>
    </row>
    <row r="83" spans="1:12" ht="15" thickBot="1" x14ac:dyDescent="0.35">
      <c r="A83" s="19">
        <v>645</v>
      </c>
      <c r="B83" s="20">
        <v>27701.75</v>
      </c>
      <c r="C83" s="20" t="s">
        <v>420</v>
      </c>
      <c r="D83" s="27">
        <f t="shared" si="27"/>
        <v>645</v>
      </c>
      <c r="E83" s="27">
        <f t="shared" si="28"/>
        <v>26224.2</v>
      </c>
      <c r="F83" s="65" t="s">
        <v>429</v>
      </c>
      <c r="G83" s="65">
        <v>87691</v>
      </c>
      <c r="H83" s="134"/>
      <c r="I83" s="45">
        <v>645</v>
      </c>
      <c r="J83" s="45">
        <v>26224.2</v>
      </c>
      <c r="K83" s="52">
        <f t="shared" si="24"/>
        <v>0</v>
      </c>
      <c r="L83" s="33">
        <f t="shared" ref="L83" si="29">(+B83-E83)/B83</f>
        <v>5.3337785518965383E-2</v>
      </c>
    </row>
    <row r="84" spans="1:12" ht="15" thickBot="1" x14ac:dyDescent="0.35">
      <c r="A84" s="19">
        <v>421</v>
      </c>
      <c r="B84" s="20">
        <v>20263.5</v>
      </c>
      <c r="C84" s="20" t="s">
        <v>421</v>
      </c>
      <c r="D84" s="27">
        <f t="shared" si="27"/>
        <v>418</v>
      </c>
      <c r="E84" s="27">
        <f t="shared" si="28"/>
        <v>19805</v>
      </c>
      <c r="F84" s="65" t="s">
        <v>430</v>
      </c>
      <c r="G84" s="65">
        <v>87701</v>
      </c>
      <c r="H84" s="134"/>
      <c r="I84" s="45">
        <v>418</v>
      </c>
      <c r="J84" s="45">
        <v>19805</v>
      </c>
      <c r="K84" s="52">
        <f t="shared" si="24"/>
        <v>3</v>
      </c>
      <c r="L84" s="138">
        <f>((+B84/A84)-(E84/D84))/(B84/A84)</f>
        <v>1.5612251174508039E-2</v>
      </c>
    </row>
    <row r="85" spans="1:12" ht="15" thickBot="1" x14ac:dyDescent="0.35">
      <c r="A85" s="19">
        <v>378</v>
      </c>
      <c r="B85" s="20">
        <v>16247</v>
      </c>
      <c r="C85" s="20" t="s">
        <v>422</v>
      </c>
      <c r="D85" s="27">
        <f t="shared" si="27"/>
        <v>378</v>
      </c>
      <c r="E85" s="27">
        <f t="shared" si="28"/>
        <v>15637.8</v>
      </c>
      <c r="F85" s="65" t="s">
        <v>431</v>
      </c>
      <c r="G85" s="65">
        <v>87721</v>
      </c>
      <c r="H85" s="134"/>
      <c r="I85" s="45">
        <v>378</v>
      </c>
      <c r="J85" s="45">
        <v>15637.8</v>
      </c>
      <c r="K85" s="52">
        <f t="shared" si="24"/>
        <v>0</v>
      </c>
      <c r="L85" s="33">
        <f t="shared" ref="L85:L88" si="30">(+B85-E85)/B85</f>
        <v>3.7496153135963606E-2</v>
      </c>
    </row>
    <row r="86" spans="1:12" ht="15" thickBot="1" x14ac:dyDescent="0.35">
      <c r="A86" s="19">
        <v>286</v>
      </c>
      <c r="B86" s="20">
        <v>12568.7</v>
      </c>
      <c r="C86" s="20" t="s">
        <v>509</v>
      </c>
      <c r="D86" s="27">
        <f>+I86</f>
        <v>286</v>
      </c>
      <c r="E86" s="27">
        <f>+J86</f>
        <v>12057.099999999999</v>
      </c>
      <c r="F86" s="65" t="s">
        <v>510</v>
      </c>
      <c r="G86" s="65">
        <v>87731</v>
      </c>
      <c r="H86" s="134"/>
      <c r="I86" s="45">
        <v>286</v>
      </c>
      <c r="J86" s="45">
        <v>12057.099999999999</v>
      </c>
      <c r="K86" s="52">
        <f t="shared" ref="K86" si="31">+A86-D86</f>
        <v>0</v>
      </c>
      <c r="L86" s="33">
        <f t="shared" ref="L86" si="32">(+B86-E86)/B86</f>
        <v>4.0704289226411811E-2</v>
      </c>
    </row>
    <row r="87" spans="1:12" ht="15" thickBot="1" x14ac:dyDescent="0.35">
      <c r="A87" s="19">
        <v>1245</v>
      </c>
      <c r="B87" s="20">
        <v>54264.75</v>
      </c>
      <c r="C87" s="20" t="s">
        <v>423</v>
      </c>
      <c r="D87" s="27">
        <f t="shared" si="27"/>
        <v>1245</v>
      </c>
      <c r="E87" s="27">
        <f t="shared" si="28"/>
        <v>51405.8</v>
      </c>
      <c r="F87" s="65" t="s">
        <v>432</v>
      </c>
      <c r="G87" s="65">
        <v>87771</v>
      </c>
      <c r="H87" s="134"/>
      <c r="I87" s="45">
        <v>1245</v>
      </c>
      <c r="J87" s="45">
        <v>51405.8</v>
      </c>
      <c r="K87" s="52">
        <f t="shared" si="24"/>
        <v>0</v>
      </c>
      <c r="L87" s="33">
        <f t="shared" si="30"/>
        <v>5.2685214619066653E-2</v>
      </c>
    </row>
    <row r="88" spans="1:12" ht="15" thickBot="1" x14ac:dyDescent="0.35">
      <c r="A88" s="19">
        <v>1187</v>
      </c>
      <c r="B88" s="20">
        <v>58180.25</v>
      </c>
      <c r="C88" s="20" t="s">
        <v>424</v>
      </c>
      <c r="D88" s="27">
        <f t="shared" si="27"/>
        <v>1187</v>
      </c>
      <c r="E88" s="27">
        <f t="shared" si="28"/>
        <v>56055.6</v>
      </c>
      <c r="F88" s="65" t="s">
        <v>433</v>
      </c>
      <c r="G88" s="65">
        <v>87781</v>
      </c>
      <c r="H88" s="134"/>
      <c r="I88" s="45">
        <v>1187</v>
      </c>
      <c r="J88" s="45">
        <v>56055.6</v>
      </c>
      <c r="K88" s="52">
        <f t="shared" si="24"/>
        <v>0</v>
      </c>
      <c r="L88" s="33">
        <f t="shared" si="30"/>
        <v>3.6518406160166057E-2</v>
      </c>
    </row>
    <row r="89" spans="1:12" x14ac:dyDescent="0.3">
      <c r="A89" s="891">
        <v>1250</v>
      </c>
      <c r="B89" s="894">
        <v>54867.6</v>
      </c>
      <c r="C89" s="894" t="s">
        <v>425</v>
      </c>
      <c r="D89" s="905">
        <f>+I89+I91+I90</f>
        <v>1250</v>
      </c>
      <c r="E89" s="905">
        <f>+J89+J91+J90</f>
        <v>53159.999999999993</v>
      </c>
      <c r="F89" s="63" t="s">
        <v>434</v>
      </c>
      <c r="G89" s="63">
        <v>87851</v>
      </c>
      <c r="H89" s="129"/>
      <c r="I89" s="39">
        <v>660</v>
      </c>
      <c r="J89" s="39">
        <v>27545.8</v>
      </c>
      <c r="K89" s="877">
        <f t="shared" si="24"/>
        <v>0</v>
      </c>
      <c r="L89" s="879">
        <f>((+B89/A89)-(E89/D89))/(B89/A89)</f>
        <v>3.1122192332086785E-2</v>
      </c>
    </row>
    <row r="90" spans="1:12" x14ac:dyDescent="0.3">
      <c r="A90" s="892"/>
      <c r="B90" s="895"/>
      <c r="C90" s="895"/>
      <c r="D90" s="906"/>
      <c r="E90" s="906"/>
      <c r="F90" s="66" t="s">
        <v>434</v>
      </c>
      <c r="G90" s="66">
        <v>87851</v>
      </c>
      <c r="H90" s="133"/>
      <c r="I90" s="50">
        <v>150</v>
      </c>
      <c r="J90" s="50">
        <v>6374.1</v>
      </c>
      <c r="K90" s="886"/>
      <c r="L90" s="885"/>
    </row>
    <row r="91" spans="1:12" ht="15" thickBot="1" x14ac:dyDescent="0.35">
      <c r="A91" s="893"/>
      <c r="B91" s="896"/>
      <c r="C91" s="896"/>
      <c r="D91" s="907"/>
      <c r="E91" s="907"/>
      <c r="F91" s="64" t="s">
        <v>434</v>
      </c>
      <c r="G91" s="64">
        <v>87851</v>
      </c>
      <c r="H91" s="131"/>
      <c r="I91" s="42">
        <v>440</v>
      </c>
      <c r="J91" s="42">
        <v>19240.099999999999</v>
      </c>
      <c r="K91" s="878"/>
      <c r="L91" s="880"/>
    </row>
    <row r="92" spans="1:12" ht="15" thickBot="1" x14ac:dyDescent="0.35">
      <c r="A92" s="19">
        <v>231</v>
      </c>
      <c r="B92" s="20">
        <v>9849</v>
      </c>
      <c r="C92" s="20" t="s">
        <v>493</v>
      </c>
      <c r="D92" s="27">
        <f t="shared" ref="D92:E94" si="33">+I92</f>
        <v>229</v>
      </c>
      <c r="E92" s="27">
        <f t="shared" si="33"/>
        <v>9469.2999999999993</v>
      </c>
      <c r="F92" s="65" t="s">
        <v>501</v>
      </c>
      <c r="G92" s="65">
        <v>87861</v>
      </c>
      <c r="H92" s="134"/>
      <c r="I92" s="45">
        <v>229</v>
      </c>
      <c r="J92" s="45">
        <v>9469.2999999999993</v>
      </c>
      <c r="K92" s="52">
        <f t="shared" ref="K92:K95" si="34">+A92-D92</f>
        <v>2</v>
      </c>
      <c r="L92" s="138">
        <f>((+B92/A92)-(E92/D92))/(B92/A92)</f>
        <v>3.0155212707516695E-2</v>
      </c>
    </row>
    <row r="93" spans="1:12" ht="15" thickBot="1" x14ac:dyDescent="0.35">
      <c r="A93" s="19">
        <v>76</v>
      </c>
      <c r="B93" s="20">
        <v>3352.5</v>
      </c>
      <c r="C93" s="20" t="s">
        <v>494</v>
      </c>
      <c r="D93" s="27">
        <f t="shared" si="33"/>
        <v>76</v>
      </c>
      <c r="E93" s="27">
        <f t="shared" si="33"/>
        <v>3213.4</v>
      </c>
      <c r="F93" s="65" t="s">
        <v>502</v>
      </c>
      <c r="G93" s="65">
        <v>87901</v>
      </c>
      <c r="H93" s="134"/>
      <c r="I93" s="45">
        <v>76</v>
      </c>
      <c r="J93" s="45">
        <v>3213.4</v>
      </c>
      <c r="K93" s="52">
        <f t="shared" si="34"/>
        <v>0</v>
      </c>
      <c r="L93" s="33">
        <f t="shared" ref="L93:L94" si="35">(+B93-E93)/B93</f>
        <v>4.1491424310216227E-2</v>
      </c>
    </row>
    <row r="94" spans="1:12" ht="15" thickBot="1" x14ac:dyDescent="0.35">
      <c r="A94" s="19">
        <v>330</v>
      </c>
      <c r="B94" s="20">
        <v>14375.75</v>
      </c>
      <c r="C94" s="20" t="s">
        <v>495</v>
      </c>
      <c r="D94" s="27">
        <f t="shared" si="33"/>
        <v>330</v>
      </c>
      <c r="E94" s="27">
        <f t="shared" si="33"/>
        <v>13775.400000000001</v>
      </c>
      <c r="F94" s="65" t="s">
        <v>503</v>
      </c>
      <c r="G94" s="65">
        <v>87911</v>
      </c>
      <c r="H94" s="134"/>
      <c r="I94" s="45">
        <v>330</v>
      </c>
      <c r="J94" s="45">
        <v>13775.400000000001</v>
      </c>
      <c r="K94" s="52">
        <f t="shared" si="34"/>
        <v>0</v>
      </c>
      <c r="L94" s="33">
        <f t="shared" si="35"/>
        <v>4.1761299410465441E-2</v>
      </c>
    </row>
    <row r="95" spans="1:12" x14ac:dyDescent="0.3">
      <c r="A95" s="891">
        <v>1917</v>
      </c>
      <c r="B95" s="894">
        <v>88204</v>
      </c>
      <c r="C95" s="894" t="s">
        <v>496</v>
      </c>
      <c r="D95" s="905">
        <f>+I95+I96+I97</f>
        <v>1906</v>
      </c>
      <c r="E95" s="905">
        <f>+J95+J96+J97</f>
        <v>83686.5</v>
      </c>
      <c r="F95" s="63" t="s">
        <v>504</v>
      </c>
      <c r="G95" s="63">
        <v>87981</v>
      </c>
      <c r="H95" s="129"/>
      <c r="I95" s="39">
        <v>1280</v>
      </c>
      <c r="J95" s="39">
        <v>56340.499999999993</v>
      </c>
      <c r="K95" s="877">
        <f t="shared" si="34"/>
        <v>11</v>
      </c>
      <c r="L95" s="879">
        <f>((+B95/A95)-(E95/D95))/(B95/A95)</f>
        <v>4.5740832577232098E-2</v>
      </c>
    </row>
    <row r="96" spans="1:12" x14ac:dyDescent="0.3">
      <c r="A96" s="892"/>
      <c r="B96" s="895"/>
      <c r="C96" s="895"/>
      <c r="D96" s="906"/>
      <c r="E96" s="906"/>
      <c r="F96" s="66" t="s">
        <v>504</v>
      </c>
      <c r="G96" s="66">
        <v>87981</v>
      </c>
      <c r="H96" s="133"/>
      <c r="I96" s="50">
        <v>200</v>
      </c>
      <c r="J96" s="50">
        <v>8852.1</v>
      </c>
      <c r="K96" s="886"/>
      <c r="L96" s="885"/>
    </row>
    <row r="97" spans="1:12" ht="15" thickBot="1" x14ac:dyDescent="0.35">
      <c r="A97" s="893"/>
      <c r="B97" s="896"/>
      <c r="C97" s="896"/>
      <c r="D97" s="907"/>
      <c r="E97" s="907"/>
      <c r="F97" s="64" t="s">
        <v>504</v>
      </c>
      <c r="G97" s="64">
        <v>87981</v>
      </c>
      <c r="H97" s="131"/>
      <c r="I97" s="42">
        <v>426</v>
      </c>
      <c r="J97" s="42">
        <v>18493.900000000001</v>
      </c>
      <c r="K97" s="878"/>
      <c r="L97" s="880"/>
    </row>
    <row r="98" spans="1:12" ht="15" thickBot="1" x14ac:dyDescent="0.35">
      <c r="A98" s="19">
        <v>500</v>
      </c>
      <c r="B98" s="20">
        <v>22126.400000000001</v>
      </c>
      <c r="C98" s="20" t="s">
        <v>497</v>
      </c>
      <c r="D98" s="27">
        <f>+I98</f>
        <v>503</v>
      </c>
      <c r="E98" s="27">
        <f>+J98</f>
        <v>21417.8</v>
      </c>
      <c r="F98" s="65" t="s">
        <v>505</v>
      </c>
      <c r="G98" s="65">
        <v>88001</v>
      </c>
      <c r="H98" s="134"/>
      <c r="I98" s="45">
        <v>503</v>
      </c>
      <c r="J98" s="45">
        <v>21417.8</v>
      </c>
      <c r="K98" s="52">
        <f t="shared" ref="K98:K99" si="36">+A98-D98</f>
        <v>-3</v>
      </c>
      <c r="L98" s="138">
        <f>((+B98/A98)-(E98/D98))/(B98/A98)</f>
        <v>3.7798302383256342E-2</v>
      </c>
    </row>
    <row r="99" spans="1:12" x14ac:dyDescent="0.3">
      <c r="A99" s="891">
        <v>1389</v>
      </c>
      <c r="B99" s="894">
        <v>58080.75</v>
      </c>
      <c r="C99" s="894" t="s">
        <v>498</v>
      </c>
      <c r="D99" s="905">
        <f>+I99+I100</f>
        <v>1383</v>
      </c>
      <c r="E99" s="905">
        <f>+J99+J100</f>
        <v>55159.5</v>
      </c>
      <c r="F99" s="63" t="s">
        <v>506</v>
      </c>
      <c r="G99" s="63">
        <v>88021</v>
      </c>
      <c r="H99" s="129"/>
      <c r="I99" s="39">
        <v>1083</v>
      </c>
      <c r="J99" s="39">
        <v>43227.799999999996</v>
      </c>
      <c r="K99" s="877">
        <f t="shared" si="36"/>
        <v>6</v>
      </c>
      <c r="L99" s="879">
        <f>((+B99/A99)-(E99/D99))/(B99/A99)</f>
        <v>4.617616529339641E-2</v>
      </c>
    </row>
    <row r="100" spans="1:12" ht="15" thickBot="1" x14ac:dyDescent="0.35">
      <c r="A100" s="893"/>
      <c r="B100" s="896"/>
      <c r="C100" s="896"/>
      <c r="D100" s="907"/>
      <c r="E100" s="907"/>
      <c r="F100" s="64" t="s">
        <v>506</v>
      </c>
      <c r="G100" s="64">
        <v>88021</v>
      </c>
      <c r="H100" s="131"/>
      <c r="I100" s="42">
        <v>300</v>
      </c>
      <c r="J100" s="42">
        <v>11931.7</v>
      </c>
      <c r="K100" s="878"/>
      <c r="L100" s="880"/>
    </row>
    <row r="101" spans="1:12" x14ac:dyDescent="0.3">
      <c r="A101" s="891">
        <v>1296</v>
      </c>
      <c r="B101" s="894">
        <v>57567.25</v>
      </c>
      <c r="C101" s="894" t="s">
        <v>499</v>
      </c>
      <c r="D101" s="905">
        <f>+I101+I102</f>
        <v>1296</v>
      </c>
      <c r="E101" s="905">
        <f>+J101+J102</f>
        <v>55156.9</v>
      </c>
      <c r="F101" s="63" t="s">
        <v>507</v>
      </c>
      <c r="G101" s="63">
        <v>88091</v>
      </c>
      <c r="H101" s="129"/>
      <c r="I101" s="39">
        <v>841</v>
      </c>
      <c r="J101" s="39">
        <v>35608.300000000003</v>
      </c>
      <c r="K101" s="877">
        <f t="shared" ref="K101" si="37">+A101-D101</f>
        <v>0</v>
      </c>
      <c r="L101" s="879">
        <f t="shared" ref="L101" si="38">(+B101-E101)/B101</f>
        <v>4.1870160551355132E-2</v>
      </c>
    </row>
    <row r="102" spans="1:12" ht="15" thickBot="1" x14ac:dyDescent="0.35">
      <c r="A102" s="893"/>
      <c r="B102" s="896"/>
      <c r="C102" s="896"/>
      <c r="D102" s="907"/>
      <c r="E102" s="907"/>
      <c r="F102" s="64" t="s">
        <v>507</v>
      </c>
      <c r="G102" s="64">
        <v>88091</v>
      </c>
      <c r="H102" s="131"/>
      <c r="I102" s="42">
        <v>455</v>
      </c>
      <c r="J102" s="42">
        <v>19548.599999999999</v>
      </c>
      <c r="K102" s="878"/>
      <c r="L102" s="880"/>
    </row>
    <row r="103" spans="1:12" ht="15" thickBot="1" x14ac:dyDescent="0.35">
      <c r="A103" s="19">
        <v>1470</v>
      </c>
      <c r="B103" s="20">
        <v>62769</v>
      </c>
      <c r="C103" s="20" t="s">
        <v>500</v>
      </c>
      <c r="D103" s="27">
        <f>+I103</f>
        <v>1471</v>
      </c>
      <c r="E103" s="27">
        <f>+J103</f>
        <v>59321.8</v>
      </c>
      <c r="F103" s="65" t="s">
        <v>508</v>
      </c>
      <c r="G103" s="65">
        <v>88101</v>
      </c>
      <c r="H103" s="134"/>
      <c r="I103" s="45">
        <v>1471</v>
      </c>
      <c r="J103" s="45">
        <v>59321.8</v>
      </c>
      <c r="K103" s="52">
        <f t="shared" ref="K103" si="39">+A103-D103</f>
        <v>-1</v>
      </c>
      <c r="L103" s="138">
        <f>((+B103/A103)-(E103/D103))/(B103/A103)</f>
        <v>5.5561304661392641E-2</v>
      </c>
    </row>
    <row r="104" spans="1:12" x14ac:dyDescent="0.3">
      <c r="A104" s="891">
        <v>1122</v>
      </c>
      <c r="B104" s="894">
        <v>53977.5</v>
      </c>
      <c r="C104" s="894" t="s">
        <v>593</v>
      </c>
      <c r="D104" s="905">
        <f>+I104+I105</f>
        <v>1121</v>
      </c>
      <c r="E104" s="905">
        <f>+J104+J105</f>
        <v>52531.100000000006</v>
      </c>
      <c r="F104" s="63" t="s">
        <v>594</v>
      </c>
      <c r="G104" s="63">
        <v>88111</v>
      </c>
      <c r="H104" s="40"/>
      <c r="I104" s="39">
        <v>898</v>
      </c>
      <c r="J104" s="41">
        <v>42131.100000000006</v>
      </c>
      <c r="K104" s="972">
        <f t="shared" ref="K104:K130" si="40">+A104-D104</f>
        <v>1</v>
      </c>
      <c r="L104" s="974">
        <f>((+B104/A104)-(E104/D104))/(B104/A104)</f>
        <v>2.5928193640996879E-2</v>
      </c>
    </row>
    <row r="105" spans="1:12" ht="15" thickBot="1" x14ac:dyDescent="0.35">
      <c r="A105" s="893"/>
      <c r="B105" s="896"/>
      <c r="C105" s="896"/>
      <c r="D105" s="907"/>
      <c r="E105" s="907"/>
      <c r="F105" s="64" t="s">
        <v>594</v>
      </c>
      <c r="G105" s="64">
        <v>88111</v>
      </c>
      <c r="H105" s="43"/>
      <c r="I105" s="42">
        <v>223</v>
      </c>
      <c r="J105" s="44">
        <v>10400</v>
      </c>
      <c r="K105" s="973"/>
      <c r="L105" s="975"/>
    </row>
    <row r="106" spans="1:12" ht="15" thickBot="1" x14ac:dyDescent="0.35">
      <c r="A106" s="61">
        <v>434</v>
      </c>
      <c r="B106" s="20">
        <v>20083.900000000001</v>
      </c>
      <c r="C106" s="62" t="s">
        <v>595</v>
      </c>
      <c r="D106" s="65">
        <f>+I106</f>
        <v>434</v>
      </c>
      <c r="E106" s="65">
        <f>+J106</f>
        <v>19238.8</v>
      </c>
      <c r="F106" s="65" t="s">
        <v>596</v>
      </c>
      <c r="G106" s="65">
        <v>88151</v>
      </c>
      <c r="H106" s="14"/>
      <c r="I106" s="45">
        <v>434</v>
      </c>
      <c r="J106" s="46">
        <v>19238.8</v>
      </c>
      <c r="K106" s="52">
        <f t="shared" si="40"/>
        <v>0</v>
      </c>
      <c r="L106" s="33">
        <f t="shared" ref="L106" si="41">(+B106-E106)/B106</f>
        <v>4.2078480773156714E-2</v>
      </c>
    </row>
    <row r="107" spans="1:12" x14ac:dyDescent="0.3">
      <c r="A107" s="891">
        <v>651</v>
      </c>
      <c r="B107" s="894">
        <v>31616.25</v>
      </c>
      <c r="C107" s="894" t="s">
        <v>597</v>
      </c>
      <c r="D107" s="905">
        <f>+I107+I108</f>
        <v>652</v>
      </c>
      <c r="E107" s="905">
        <f>+J107+J108</f>
        <v>30674.1</v>
      </c>
      <c r="F107" s="63" t="s">
        <v>598</v>
      </c>
      <c r="G107" s="63">
        <v>88201</v>
      </c>
      <c r="H107" s="40"/>
      <c r="I107" s="39">
        <v>351</v>
      </c>
      <c r="J107" s="41">
        <v>16442.2</v>
      </c>
      <c r="K107" s="972">
        <f t="shared" si="40"/>
        <v>-1</v>
      </c>
      <c r="L107" s="974">
        <f>((+B107/A107)-(E107/D107))/(B107/A107)</f>
        <v>3.1287586783510714E-2</v>
      </c>
    </row>
    <row r="108" spans="1:12" ht="15" thickBot="1" x14ac:dyDescent="0.35">
      <c r="A108" s="893"/>
      <c r="B108" s="896"/>
      <c r="C108" s="896"/>
      <c r="D108" s="907"/>
      <c r="E108" s="907"/>
      <c r="F108" s="64" t="s">
        <v>598</v>
      </c>
      <c r="G108" s="64">
        <v>88201</v>
      </c>
      <c r="H108" s="43"/>
      <c r="I108" s="42">
        <v>301</v>
      </c>
      <c r="J108" s="44">
        <v>14231.9</v>
      </c>
      <c r="K108" s="973"/>
      <c r="L108" s="975"/>
    </row>
    <row r="109" spans="1:12" ht="15" thickBot="1" x14ac:dyDescent="0.35">
      <c r="A109" s="61">
        <v>300</v>
      </c>
      <c r="B109" s="20">
        <v>13127.5</v>
      </c>
      <c r="C109" s="62" t="s">
        <v>599</v>
      </c>
      <c r="D109" s="65">
        <f>+I109</f>
        <v>308</v>
      </c>
      <c r="E109" s="65">
        <f>+J109</f>
        <v>12865.8</v>
      </c>
      <c r="F109" s="65" t="s">
        <v>600</v>
      </c>
      <c r="G109" s="65">
        <v>88211</v>
      </c>
      <c r="H109" s="14"/>
      <c r="I109" s="45">
        <v>308</v>
      </c>
      <c r="J109" s="46">
        <v>12865.8</v>
      </c>
      <c r="K109" s="52">
        <f t="shared" si="40"/>
        <v>-8</v>
      </c>
      <c r="L109" s="138">
        <f>((+B109/A109)-(E109/D109))/(B109/A109)</f>
        <v>4.5391477690087535E-2</v>
      </c>
    </row>
    <row r="110" spans="1:12" ht="15" thickBot="1" x14ac:dyDescent="0.35">
      <c r="A110" s="59">
        <v>307</v>
      </c>
      <c r="B110" s="24">
        <v>15265.25</v>
      </c>
      <c r="C110" s="60" t="s">
        <v>601</v>
      </c>
      <c r="D110" s="63">
        <f>+I110</f>
        <v>307</v>
      </c>
      <c r="E110" s="63">
        <f>+J110</f>
        <v>14425.6</v>
      </c>
      <c r="F110" s="63" t="s">
        <v>602</v>
      </c>
      <c r="G110" s="63">
        <v>88221</v>
      </c>
      <c r="H110" s="40"/>
      <c r="I110" s="39">
        <v>307</v>
      </c>
      <c r="J110" s="41">
        <v>14425.6</v>
      </c>
      <c r="K110" s="52">
        <f t="shared" si="40"/>
        <v>0</v>
      </c>
      <c r="L110" s="33">
        <f t="shared" ref="L110" si="42">(+B110-E110)/B110</f>
        <v>5.5004012381061534E-2</v>
      </c>
    </row>
    <row r="111" spans="1:12" x14ac:dyDescent="0.3">
      <c r="A111" s="891">
        <v>1915</v>
      </c>
      <c r="B111" s="894">
        <v>85987.5</v>
      </c>
      <c r="C111" s="894" t="s">
        <v>603</v>
      </c>
      <c r="D111" s="905">
        <f>+I111+I112</f>
        <v>1916</v>
      </c>
      <c r="E111" s="905">
        <f>+J111+J112</f>
        <v>81854.2</v>
      </c>
      <c r="F111" s="63" t="s">
        <v>604</v>
      </c>
      <c r="G111" s="63">
        <v>88281</v>
      </c>
      <c r="H111" s="40"/>
      <c r="I111" s="39">
        <v>320</v>
      </c>
      <c r="J111" s="41">
        <v>14033.7</v>
      </c>
      <c r="K111" s="877">
        <f t="shared" si="40"/>
        <v>-1</v>
      </c>
      <c r="L111" s="879">
        <f>((+B111/A111)-(E111/D111))/(B111/A111)</f>
        <v>4.8565447288819737E-2</v>
      </c>
    </row>
    <row r="112" spans="1:12" ht="15" thickBot="1" x14ac:dyDescent="0.35">
      <c r="A112" s="892"/>
      <c r="B112" s="895"/>
      <c r="C112" s="895"/>
      <c r="D112" s="906"/>
      <c r="E112" s="906"/>
      <c r="F112" s="66" t="s">
        <v>604</v>
      </c>
      <c r="G112" s="66">
        <v>88281</v>
      </c>
      <c r="I112" s="50">
        <v>1596</v>
      </c>
      <c r="J112" s="51">
        <v>67820.5</v>
      </c>
      <c r="K112" s="878"/>
      <c r="L112" s="880"/>
    </row>
    <row r="113" spans="1:12" x14ac:dyDescent="0.3">
      <c r="A113" s="891">
        <v>828</v>
      </c>
      <c r="B113" s="894">
        <v>40438</v>
      </c>
      <c r="C113" s="894" t="s">
        <v>605</v>
      </c>
      <c r="D113" s="905">
        <f>+I113+I114</f>
        <v>829</v>
      </c>
      <c r="E113" s="905">
        <f>+J113+J114</f>
        <v>39304.1</v>
      </c>
      <c r="F113" s="63" t="s">
        <v>606</v>
      </c>
      <c r="G113" s="63">
        <v>88291</v>
      </c>
      <c r="H113" s="40"/>
      <c r="I113" s="39">
        <v>700</v>
      </c>
      <c r="J113" s="41">
        <v>33052.699999999997</v>
      </c>
      <c r="K113" s="882">
        <f t="shared" si="40"/>
        <v>-1</v>
      </c>
      <c r="L113" s="879">
        <f>((+B113/A113)-(E113/D113))/(B113/A113)</f>
        <v>2.9212905178047147E-2</v>
      </c>
    </row>
    <row r="114" spans="1:12" ht="15" thickBot="1" x14ac:dyDescent="0.35">
      <c r="A114" s="893"/>
      <c r="B114" s="896"/>
      <c r="C114" s="896"/>
      <c r="D114" s="907"/>
      <c r="E114" s="907"/>
      <c r="F114" s="64" t="s">
        <v>606</v>
      </c>
      <c r="G114" s="64">
        <v>88291</v>
      </c>
      <c r="H114" s="43"/>
      <c r="I114" s="42">
        <v>129</v>
      </c>
      <c r="J114" s="44">
        <v>6251.4</v>
      </c>
      <c r="K114" s="884"/>
      <c r="L114" s="880"/>
    </row>
    <row r="115" spans="1:12" ht="15" thickBot="1" x14ac:dyDescent="0.35">
      <c r="A115" s="76">
        <v>957</v>
      </c>
      <c r="B115" s="77">
        <v>42315</v>
      </c>
      <c r="C115" s="77" t="s">
        <v>607</v>
      </c>
      <c r="D115" s="64">
        <f>+I115</f>
        <v>957</v>
      </c>
      <c r="E115" s="64">
        <f>+J115</f>
        <v>40297.800000000003</v>
      </c>
      <c r="F115" s="64" t="s">
        <v>608</v>
      </c>
      <c r="G115" s="64">
        <v>88381</v>
      </c>
      <c r="H115" s="43"/>
      <c r="I115" s="42">
        <v>957</v>
      </c>
      <c r="J115" s="44">
        <v>40297.800000000003</v>
      </c>
      <c r="K115" s="52">
        <f t="shared" si="40"/>
        <v>0</v>
      </c>
      <c r="L115" s="33">
        <f t="shared" ref="L115:L116" si="43">(+B115-E115)/B115</f>
        <v>4.7671038638780507E-2</v>
      </c>
    </row>
    <row r="116" spans="1:12" ht="15" thickBot="1" x14ac:dyDescent="0.35">
      <c r="A116" s="76">
        <v>350</v>
      </c>
      <c r="B116" s="77">
        <v>16932.5</v>
      </c>
      <c r="C116" s="77" t="s">
        <v>609</v>
      </c>
      <c r="D116" s="64">
        <f t="shared" ref="D116:E117" si="44">+I116</f>
        <v>350</v>
      </c>
      <c r="E116" s="64">
        <f t="shared" si="44"/>
        <v>16536.7</v>
      </c>
      <c r="F116" s="64" t="s">
        <v>610</v>
      </c>
      <c r="G116" s="64">
        <v>88391</v>
      </c>
      <c r="H116" s="43"/>
      <c r="I116" s="42">
        <v>350</v>
      </c>
      <c r="J116" s="44">
        <v>16536.7</v>
      </c>
      <c r="K116" s="52">
        <f t="shared" si="40"/>
        <v>0</v>
      </c>
      <c r="L116" s="33">
        <f t="shared" si="43"/>
        <v>2.337516610069389E-2</v>
      </c>
    </row>
    <row r="117" spans="1:12" ht="15" thickBot="1" x14ac:dyDescent="0.35">
      <c r="A117" s="85">
        <v>470</v>
      </c>
      <c r="B117" s="86">
        <v>18693.75</v>
      </c>
      <c r="C117" s="86" t="s">
        <v>611</v>
      </c>
      <c r="D117" s="66">
        <f t="shared" si="44"/>
        <v>467</v>
      </c>
      <c r="E117" s="66">
        <f t="shared" si="44"/>
        <v>17565.7</v>
      </c>
      <c r="F117" s="66" t="s">
        <v>612</v>
      </c>
      <c r="G117" s="66">
        <v>88401</v>
      </c>
      <c r="I117" s="50">
        <v>467</v>
      </c>
      <c r="J117" s="51">
        <v>17565.7</v>
      </c>
      <c r="K117" s="52">
        <f t="shared" si="40"/>
        <v>3</v>
      </c>
      <c r="L117" s="138">
        <f>((+B117/A117)-(E117/D117))/(B117/A117)</f>
        <v>5.4307361771252366E-2</v>
      </c>
    </row>
    <row r="118" spans="1:12" x14ac:dyDescent="0.3">
      <c r="A118" s="891">
        <v>1500</v>
      </c>
      <c r="B118" s="894">
        <v>62437.3</v>
      </c>
      <c r="C118" s="894" t="s">
        <v>613</v>
      </c>
      <c r="D118" s="905">
        <f>+I118+I119</f>
        <v>1500</v>
      </c>
      <c r="E118" s="905">
        <f>+J118+J119</f>
        <v>60307.5</v>
      </c>
      <c r="F118" s="63" t="s">
        <v>614</v>
      </c>
      <c r="G118" s="63">
        <v>88461</v>
      </c>
      <c r="H118" s="40"/>
      <c r="I118" s="39">
        <v>860</v>
      </c>
      <c r="J118" s="41">
        <v>34530.9</v>
      </c>
      <c r="K118" s="882">
        <f t="shared" si="40"/>
        <v>0</v>
      </c>
      <c r="L118" s="879">
        <f t="shared" ref="L118" si="45">(+B118-E118)/B118</f>
        <v>3.4111020175440043E-2</v>
      </c>
    </row>
    <row r="119" spans="1:12" ht="15" thickBot="1" x14ac:dyDescent="0.35">
      <c r="A119" s="893"/>
      <c r="B119" s="896"/>
      <c r="C119" s="896"/>
      <c r="D119" s="907"/>
      <c r="E119" s="907"/>
      <c r="F119" s="64" t="s">
        <v>614</v>
      </c>
      <c r="G119" s="64">
        <v>88461</v>
      </c>
      <c r="H119" s="43"/>
      <c r="I119" s="42">
        <v>640</v>
      </c>
      <c r="J119" s="44">
        <v>25776.6</v>
      </c>
      <c r="K119" s="884"/>
      <c r="L119" s="880"/>
    </row>
    <row r="120" spans="1:12" ht="15" thickBot="1" x14ac:dyDescent="0.35">
      <c r="A120" s="85">
        <v>1291</v>
      </c>
      <c r="B120" s="86">
        <v>57045</v>
      </c>
      <c r="C120" s="86" t="s">
        <v>615</v>
      </c>
      <c r="D120" s="66">
        <f>+I120</f>
        <v>1291</v>
      </c>
      <c r="E120" s="66">
        <f>+J120</f>
        <v>56938.8</v>
      </c>
      <c r="F120" s="66" t="s">
        <v>616</v>
      </c>
      <c r="G120" s="66">
        <v>88471</v>
      </c>
      <c r="I120" s="50">
        <v>1291</v>
      </c>
      <c r="J120" s="51">
        <v>56938.8</v>
      </c>
      <c r="K120" s="52">
        <f t="shared" si="40"/>
        <v>0</v>
      </c>
      <c r="L120" s="33">
        <f t="shared" ref="L120:L121" si="46">(+B120-E120)/B120</f>
        <v>1.8616881409413112E-3</v>
      </c>
    </row>
    <row r="121" spans="1:12" x14ac:dyDescent="0.3">
      <c r="A121" s="891">
        <v>860</v>
      </c>
      <c r="B121" s="894">
        <v>34750.199999999997</v>
      </c>
      <c r="C121" s="894" t="s">
        <v>617</v>
      </c>
      <c r="D121" s="905">
        <f>+I121+I122</f>
        <v>860</v>
      </c>
      <c r="E121" s="905">
        <f>+J121+J122</f>
        <v>33485.4</v>
      </c>
      <c r="F121" s="63" t="s">
        <v>618</v>
      </c>
      <c r="G121" s="63">
        <v>88481</v>
      </c>
      <c r="H121" s="40"/>
      <c r="I121" s="39">
        <v>610</v>
      </c>
      <c r="J121" s="41">
        <v>23874.2</v>
      </c>
      <c r="K121" s="882">
        <f t="shared" si="40"/>
        <v>0</v>
      </c>
      <c r="L121" s="879">
        <f t="shared" si="46"/>
        <v>3.6396912823523198E-2</v>
      </c>
    </row>
    <row r="122" spans="1:12" ht="15" thickBot="1" x14ac:dyDescent="0.35">
      <c r="A122" s="893"/>
      <c r="B122" s="896"/>
      <c r="C122" s="896"/>
      <c r="D122" s="907"/>
      <c r="E122" s="907"/>
      <c r="F122" s="64" t="s">
        <v>618</v>
      </c>
      <c r="G122" s="64">
        <v>88481</v>
      </c>
      <c r="H122" s="43"/>
      <c r="I122" s="42">
        <v>250</v>
      </c>
      <c r="J122" s="44">
        <v>9611.2000000000007</v>
      </c>
      <c r="K122" s="884"/>
      <c r="L122" s="880"/>
    </row>
    <row r="123" spans="1:12" ht="15" thickBot="1" x14ac:dyDescent="0.35">
      <c r="A123" s="61">
        <v>602</v>
      </c>
      <c r="B123" s="20">
        <v>27369.75</v>
      </c>
      <c r="C123" s="62" t="s">
        <v>619</v>
      </c>
      <c r="D123" s="65">
        <f>+I123</f>
        <v>602</v>
      </c>
      <c r="E123" s="65">
        <f>+J123</f>
        <v>26135.4</v>
      </c>
      <c r="F123" s="65" t="s">
        <v>620</v>
      </c>
      <c r="G123" s="65">
        <v>88501</v>
      </c>
      <c r="H123" s="14"/>
      <c r="I123" s="45">
        <v>602</v>
      </c>
      <c r="J123" s="46">
        <v>26135.4</v>
      </c>
      <c r="K123" s="52">
        <f t="shared" si="40"/>
        <v>0</v>
      </c>
      <c r="L123" s="33">
        <f t="shared" ref="L123:L132" si="47">(+B123-E123)/B123</f>
        <v>4.5099060093716552E-2</v>
      </c>
    </row>
    <row r="124" spans="1:12" x14ac:dyDescent="0.3">
      <c r="A124" s="891">
        <v>1312</v>
      </c>
      <c r="B124" s="894">
        <v>59464.800000000003</v>
      </c>
      <c r="C124" s="894" t="s">
        <v>621</v>
      </c>
      <c r="D124" s="905">
        <f>+I124+I125</f>
        <v>1312</v>
      </c>
      <c r="E124" s="905">
        <f>+J124+J125</f>
        <v>57850.399999999994</v>
      </c>
      <c r="F124" s="63" t="s">
        <v>622</v>
      </c>
      <c r="G124" s="63">
        <v>88531</v>
      </c>
      <c r="H124" s="40"/>
      <c r="I124" s="39">
        <v>605</v>
      </c>
      <c r="J124" s="41">
        <v>26915.1</v>
      </c>
      <c r="K124" s="882">
        <f t="shared" si="40"/>
        <v>0</v>
      </c>
      <c r="L124" s="879">
        <f t="shared" si="47"/>
        <v>2.7148834268340406E-2</v>
      </c>
    </row>
    <row r="125" spans="1:12" ht="15" thickBot="1" x14ac:dyDescent="0.35">
      <c r="A125" s="893"/>
      <c r="B125" s="896"/>
      <c r="C125" s="896"/>
      <c r="D125" s="907"/>
      <c r="E125" s="907"/>
      <c r="F125" s="64" t="s">
        <v>622</v>
      </c>
      <c r="G125" s="64">
        <v>88531</v>
      </c>
      <c r="H125" s="43"/>
      <c r="I125" s="42">
        <v>707</v>
      </c>
      <c r="J125" s="44">
        <v>30935.3</v>
      </c>
      <c r="K125" s="884"/>
      <c r="L125" s="880"/>
    </row>
    <row r="126" spans="1:12" ht="15" thickBot="1" x14ac:dyDescent="0.35">
      <c r="A126" s="61">
        <v>1414</v>
      </c>
      <c r="B126" s="20">
        <v>65395.75</v>
      </c>
      <c r="C126" s="62" t="s">
        <v>623</v>
      </c>
      <c r="D126" s="65">
        <f t="shared" ref="D126:E131" si="48">+I126</f>
        <v>1414</v>
      </c>
      <c r="E126" s="65">
        <f t="shared" si="48"/>
        <v>62337.599999999999</v>
      </c>
      <c r="F126" s="65" t="s">
        <v>624</v>
      </c>
      <c r="G126" s="65">
        <v>88591</v>
      </c>
      <c r="H126" s="14"/>
      <c r="I126" s="45">
        <v>1414</v>
      </c>
      <c r="J126" s="45">
        <v>62337.599999999999</v>
      </c>
      <c r="K126" s="52">
        <f t="shared" si="40"/>
        <v>0</v>
      </c>
      <c r="L126" s="33">
        <f t="shared" si="47"/>
        <v>4.6763742292121449E-2</v>
      </c>
    </row>
    <row r="127" spans="1:12" ht="15" thickBot="1" x14ac:dyDescent="0.35">
      <c r="A127" s="23">
        <v>998</v>
      </c>
      <c r="B127" s="24">
        <v>44868.75</v>
      </c>
      <c r="C127" s="24" t="s">
        <v>679</v>
      </c>
      <c r="D127" s="29">
        <f t="shared" si="48"/>
        <v>997</v>
      </c>
      <c r="E127" s="29">
        <f t="shared" si="48"/>
        <v>43014.7</v>
      </c>
      <c r="F127" s="29" t="s">
        <v>680</v>
      </c>
      <c r="G127" s="29">
        <v>88601</v>
      </c>
      <c r="H127" s="38"/>
      <c r="I127" s="12">
        <v>997</v>
      </c>
      <c r="J127" s="13">
        <v>43014.7</v>
      </c>
      <c r="K127" s="52">
        <f t="shared" si="40"/>
        <v>1</v>
      </c>
      <c r="L127" s="138">
        <f>((+B127/A127)-(E127/D127))/(B127/A127)</f>
        <v>4.0360069482720404E-2</v>
      </c>
    </row>
    <row r="128" spans="1:12" ht="15" thickBot="1" x14ac:dyDescent="0.35">
      <c r="A128" s="23">
        <v>608</v>
      </c>
      <c r="B128" s="24">
        <v>25018.25</v>
      </c>
      <c r="C128" s="24" t="s">
        <v>685</v>
      </c>
      <c r="D128" s="29">
        <f t="shared" si="48"/>
        <v>608</v>
      </c>
      <c r="E128" s="29">
        <f t="shared" si="48"/>
        <v>23754.3</v>
      </c>
      <c r="F128" s="29" t="s">
        <v>686</v>
      </c>
      <c r="G128" s="29">
        <v>88611</v>
      </c>
      <c r="H128" s="38"/>
      <c r="I128" s="12">
        <v>608</v>
      </c>
      <c r="J128" s="13">
        <v>23754.3</v>
      </c>
      <c r="K128" s="52">
        <f t="shared" ref="K128:K129" si="49">+A128-D128</f>
        <v>0</v>
      </c>
      <c r="L128" s="33">
        <f t="shared" ref="L128" si="50">(+B128-E128)/B128</f>
        <v>5.0521119582704652E-2</v>
      </c>
    </row>
    <row r="129" spans="1:12" ht="15" thickBot="1" x14ac:dyDescent="0.35">
      <c r="A129" s="190">
        <v>198</v>
      </c>
      <c r="B129" s="161">
        <v>8332.7000000000007</v>
      </c>
      <c r="C129" s="161" t="s">
        <v>1025</v>
      </c>
      <c r="D129" s="8">
        <f>+I129</f>
        <v>100</v>
      </c>
      <c r="E129" s="8">
        <f>+J129</f>
        <v>4024.8</v>
      </c>
      <c r="F129" s="45" t="s">
        <v>1026</v>
      </c>
      <c r="G129" s="45">
        <v>88621</v>
      </c>
      <c r="H129" s="14"/>
      <c r="I129" s="45">
        <v>100</v>
      </c>
      <c r="J129" s="46">
        <v>4024.8</v>
      </c>
      <c r="K129" s="52">
        <f t="shared" si="49"/>
        <v>98</v>
      </c>
      <c r="L129" s="138">
        <f>((+B129/A129)-(E129/D129))/(B129/A129)</f>
        <v>4.3634836247554792E-2</v>
      </c>
    </row>
    <row r="130" spans="1:12" ht="15" thickBot="1" x14ac:dyDescent="0.35">
      <c r="A130" s="61">
        <v>1811</v>
      </c>
      <c r="B130" s="20">
        <v>74059.25</v>
      </c>
      <c r="C130" s="62" t="s">
        <v>681</v>
      </c>
      <c r="D130" s="65">
        <f t="shared" si="48"/>
        <v>1811</v>
      </c>
      <c r="E130" s="65">
        <f t="shared" si="48"/>
        <v>70154.700000000012</v>
      </c>
      <c r="F130" s="65" t="s">
        <v>682</v>
      </c>
      <c r="G130" s="65">
        <v>88661</v>
      </c>
      <c r="H130" s="14"/>
      <c r="I130" s="45">
        <v>1811</v>
      </c>
      <c r="J130" s="46">
        <v>70154.700000000012</v>
      </c>
      <c r="K130" s="52">
        <f t="shared" si="40"/>
        <v>0</v>
      </c>
      <c r="L130" s="33">
        <f t="shared" si="47"/>
        <v>5.2721975985443932E-2</v>
      </c>
    </row>
    <row r="131" spans="1:12" ht="15" thickBot="1" x14ac:dyDescent="0.35">
      <c r="A131" s="59">
        <v>1320</v>
      </c>
      <c r="B131" s="60">
        <v>59477.25</v>
      </c>
      <c r="C131" s="60" t="s">
        <v>683</v>
      </c>
      <c r="D131" s="63">
        <f t="shared" si="48"/>
        <v>1318</v>
      </c>
      <c r="E131" s="63">
        <f t="shared" si="48"/>
        <v>57220.1</v>
      </c>
      <c r="F131" s="63" t="s">
        <v>684</v>
      </c>
      <c r="G131" s="171">
        <v>88671</v>
      </c>
      <c r="I131" s="50">
        <v>1318</v>
      </c>
      <c r="J131" s="50">
        <v>57220.1</v>
      </c>
      <c r="K131" s="18">
        <f t="shared" ref="K131:K133" si="51">+A131-D131</f>
        <v>2</v>
      </c>
      <c r="L131" s="127">
        <f>((+B131/A131)-(E131/D131))/(B131/A131)</f>
        <v>3.6489940610604676E-2</v>
      </c>
    </row>
    <row r="132" spans="1:12" ht="15" thickBot="1" x14ac:dyDescent="0.35">
      <c r="A132" s="61">
        <v>288</v>
      </c>
      <c r="B132" s="62">
        <v>13436.4</v>
      </c>
      <c r="C132" s="62" t="s">
        <v>732</v>
      </c>
      <c r="D132" s="65">
        <f>+I132</f>
        <v>288</v>
      </c>
      <c r="E132" s="65">
        <f>+J132</f>
        <v>12915.2</v>
      </c>
      <c r="F132" s="65" t="s">
        <v>733</v>
      </c>
      <c r="G132" s="65">
        <v>88761</v>
      </c>
      <c r="H132" s="14"/>
      <c r="I132" s="45">
        <v>288</v>
      </c>
      <c r="J132" s="45">
        <v>12915.2</v>
      </c>
      <c r="K132" s="18">
        <f t="shared" si="51"/>
        <v>0</v>
      </c>
      <c r="L132" s="33">
        <f t="shared" si="47"/>
        <v>3.8790152124080775E-2</v>
      </c>
    </row>
    <row r="133" spans="1:12" x14ac:dyDescent="0.3">
      <c r="A133" s="891">
        <v>2213</v>
      </c>
      <c r="B133" s="894">
        <v>92914.25</v>
      </c>
      <c r="C133" s="894" t="s">
        <v>734</v>
      </c>
      <c r="D133" s="905">
        <f>+I133+I134+I135</f>
        <v>2067</v>
      </c>
      <c r="E133" s="905">
        <f>+J133+J134+J135</f>
        <v>89022.099999999991</v>
      </c>
      <c r="F133" s="63" t="s">
        <v>735</v>
      </c>
      <c r="G133" s="63">
        <v>88791</v>
      </c>
      <c r="H133" s="40"/>
      <c r="I133" s="39">
        <v>630</v>
      </c>
      <c r="J133" s="39">
        <v>27106.699999999997</v>
      </c>
      <c r="K133" s="877">
        <f t="shared" si="51"/>
        <v>146</v>
      </c>
      <c r="L133" s="879">
        <f>((+B133/A133)-(E133/D133))/(B133/A133)</f>
        <v>-2.5785242035211778E-2</v>
      </c>
    </row>
    <row r="134" spans="1:12" x14ac:dyDescent="0.3">
      <c r="A134" s="892"/>
      <c r="B134" s="895"/>
      <c r="C134" s="895"/>
      <c r="D134" s="906"/>
      <c r="E134" s="906"/>
      <c r="F134" s="66" t="s">
        <v>735</v>
      </c>
      <c r="G134" s="66">
        <v>88791</v>
      </c>
      <c r="I134" s="50">
        <v>1222</v>
      </c>
      <c r="J134" s="50">
        <v>52890.5</v>
      </c>
      <c r="K134" s="886"/>
      <c r="L134" s="885"/>
    </row>
    <row r="135" spans="1:12" ht="15" thickBot="1" x14ac:dyDescent="0.35">
      <c r="A135" s="893"/>
      <c r="B135" s="896"/>
      <c r="C135" s="896"/>
      <c r="D135" s="907"/>
      <c r="E135" s="907"/>
      <c r="F135" s="64" t="s">
        <v>735</v>
      </c>
      <c r="G135" s="64">
        <v>88791</v>
      </c>
      <c r="H135" s="43"/>
      <c r="I135" s="42">
        <v>215</v>
      </c>
      <c r="J135" s="42">
        <v>9024.9</v>
      </c>
      <c r="K135" s="878"/>
      <c r="L135" s="880"/>
    </row>
    <row r="136" spans="1:12" ht="15" thickBot="1" x14ac:dyDescent="0.35">
      <c r="A136" s="61">
        <v>787</v>
      </c>
      <c r="B136" s="62">
        <v>37099.599999999999</v>
      </c>
      <c r="C136" s="62" t="s">
        <v>736</v>
      </c>
      <c r="D136" s="65">
        <f>+I136</f>
        <v>784</v>
      </c>
      <c r="E136" s="65">
        <f>+J136</f>
        <v>35792.399999999994</v>
      </c>
      <c r="F136" s="65" t="s">
        <v>737</v>
      </c>
      <c r="G136" s="65">
        <v>88841</v>
      </c>
      <c r="H136" s="14"/>
      <c r="I136" s="45">
        <v>784</v>
      </c>
      <c r="J136" s="45">
        <v>35792.399999999994</v>
      </c>
      <c r="K136" s="18">
        <f t="shared" ref="K136:K138" si="52">+A136-D136</f>
        <v>3</v>
      </c>
      <c r="L136" s="127">
        <f>((+B136/A136)-(E136/D136))/(B136/A136)</f>
        <v>3.1543177978045421E-2</v>
      </c>
    </row>
    <row r="137" spans="1:12" ht="15" thickBot="1" x14ac:dyDescent="0.35">
      <c r="A137" s="61">
        <v>262</v>
      </c>
      <c r="B137" s="62">
        <v>12291.8</v>
      </c>
      <c r="C137" s="62" t="s">
        <v>738</v>
      </c>
      <c r="D137" s="65">
        <f>+I137</f>
        <v>262</v>
      </c>
      <c r="E137" s="65">
        <f>+J137</f>
        <v>11904.5</v>
      </c>
      <c r="F137" s="65" t="s">
        <v>739</v>
      </c>
      <c r="G137" s="65">
        <v>88851</v>
      </c>
      <c r="H137" s="14"/>
      <c r="I137" s="45">
        <v>262</v>
      </c>
      <c r="J137" s="45">
        <v>11904.5</v>
      </c>
      <c r="K137" s="18">
        <f t="shared" si="52"/>
        <v>0</v>
      </c>
      <c r="L137" s="33">
        <f t="shared" ref="L137" si="53">(+B137-E137)/B137</f>
        <v>3.1508810751883311E-2</v>
      </c>
    </row>
    <row r="138" spans="1:12" x14ac:dyDescent="0.3">
      <c r="A138" s="59">
        <v>829</v>
      </c>
      <c r="B138" s="60">
        <v>37841.25</v>
      </c>
      <c r="C138" s="60" t="s">
        <v>740</v>
      </c>
      <c r="D138" s="63">
        <f>+I138+I139</f>
        <v>828</v>
      </c>
      <c r="E138" s="63">
        <f>+J138+J139</f>
        <v>36523.4</v>
      </c>
      <c r="F138" s="63" t="s">
        <v>741</v>
      </c>
      <c r="G138" s="63">
        <v>88861</v>
      </c>
      <c r="H138" s="40"/>
      <c r="I138" s="39">
        <v>226</v>
      </c>
      <c r="J138" s="39">
        <v>10076.4</v>
      </c>
      <c r="K138" s="18">
        <f t="shared" si="52"/>
        <v>1</v>
      </c>
      <c r="L138" s="879">
        <f>((+B138/A138)-(E138/D138))/(B138/A138)</f>
        <v>3.3660082939294282E-2</v>
      </c>
    </row>
    <row r="139" spans="1:12" ht="15" thickBot="1" x14ac:dyDescent="0.35">
      <c r="A139" s="76"/>
      <c r="B139" s="77"/>
      <c r="C139" s="77"/>
      <c r="D139" s="64"/>
      <c r="E139" s="64"/>
      <c r="F139" s="64" t="s">
        <v>741</v>
      </c>
      <c r="G139" s="64">
        <v>88861</v>
      </c>
      <c r="H139" s="43"/>
      <c r="I139" s="42">
        <v>602</v>
      </c>
      <c r="J139" s="42">
        <v>26447</v>
      </c>
      <c r="K139" s="58"/>
      <c r="L139" s="880"/>
    </row>
    <row r="140" spans="1:12" x14ac:dyDescent="0.3">
      <c r="A140" s="59">
        <v>2650</v>
      </c>
      <c r="B140" s="60">
        <v>115153</v>
      </c>
      <c r="C140" s="60" t="s">
        <v>742</v>
      </c>
      <c r="D140" s="63">
        <f>+I140+I141</f>
        <v>2652</v>
      </c>
      <c r="E140" s="63">
        <f>+J140+J141</f>
        <v>111726.3</v>
      </c>
      <c r="F140" s="63" t="s">
        <v>743</v>
      </c>
      <c r="G140" s="63">
        <v>88911</v>
      </c>
      <c r="H140" s="40"/>
      <c r="I140" s="39">
        <v>1296</v>
      </c>
      <c r="J140" s="39">
        <v>55023.7</v>
      </c>
      <c r="K140" s="877">
        <f t="shared" ref="K140" si="54">+A140-D140</f>
        <v>-2</v>
      </c>
      <c r="L140" s="879">
        <f>((+B140/A140)-(E140/D140))/(B140/A140)</f>
        <v>3.0489506524331807E-2</v>
      </c>
    </row>
    <row r="141" spans="1:12" ht="15" thickBot="1" x14ac:dyDescent="0.35">
      <c r="A141" s="76"/>
      <c r="B141" s="77"/>
      <c r="C141" s="77"/>
      <c r="D141" s="64"/>
      <c r="E141" s="64"/>
      <c r="F141" s="64" t="s">
        <v>743</v>
      </c>
      <c r="G141" s="64">
        <v>88911</v>
      </c>
      <c r="H141" s="43"/>
      <c r="I141" s="42">
        <v>1356</v>
      </c>
      <c r="J141" s="42">
        <v>56702.600000000006</v>
      </c>
      <c r="K141" s="878"/>
      <c r="L141" s="880"/>
    </row>
    <row r="142" spans="1:12" ht="15" thickBot="1" x14ac:dyDescent="0.35">
      <c r="A142" s="207">
        <v>212</v>
      </c>
      <c r="B142" s="186">
        <v>8259.75</v>
      </c>
      <c r="C142" s="186" t="s">
        <v>1579</v>
      </c>
      <c r="D142" s="45">
        <f>+I142</f>
        <v>212</v>
      </c>
      <c r="E142" s="45">
        <f>+J142</f>
        <v>7712.9</v>
      </c>
      <c r="F142" s="45" t="s">
        <v>1572</v>
      </c>
      <c r="G142" s="45">
        <v>88931</v>
      </c>
      <c r="H142" s="14"/>
      <c r="I142" s="45">
        <v>212</v>
      </c>
      <c r="J142" s="46">
        <v>7712.9</v>
      </c>
      <c r="K142" s="18">
        <f t="shared" ref="K142" si="55">+A142-D142</f>
        <v>0</v>
      </c>
      <c r="L142" s="33">
        <f t="shared" ref="L142" si="56">(+B142-E142)/B142</f>
        <v>6.6206604316111306E-2</v>
      </c>
    </row>
    <row r="143" spans="1:12" ht="15" thickBot="1" x14ac:dyDescent="0.35">
      <c r="A143" s="19">
        <v>1965</v>
      </c>
      <c r="B143" s="20">
        <v>78961.5</v>
      </c>
      <c r="C143" s="20" t="s">
        <v>744</v>
      </c>
      <c r="D143" s="27">
        <v>1965</v>
      </c>
      <c r="E143" s="27">
        <v>75211.399999999994</v>
      </c>
      <c r="F143" s="65" t="s">
        <v>745</v>
      </c>
      <c r="G143" s="65" t="s">
        <v>746</v>
      </c>
      <c r="H143" s="134"/>
      <c r="I143" s="45">
        <v>1464</v>
      </c>
      <c r="J143" s="45">
        <v>56278.099999999991</v>
      </c>
      <c r="K143" s="52">
        <f t="shared" ref="K143:K144" si="57">+A143-D143</f>
        <v>0</v>
      </c>
      <c r="L143" s="33">
        <f t="shared" ref="L143" si="58">(+B143-E143)/B143</f>
        <v>4.7492765461649107E-2</v>
      </c>
    </row>
    <row r="144" spans="1:12" x14ac:dyDescent="0.3">
      <c r="A144" s="23">
        <v>1623</v>
      </c>
      <c r="B144" s="24">
        <v>74368.399999999994</v>
      </c>
      <c r="C144" s="24" t="s">
        <v>791</v>
      </c>
      <c r="D144" s="29">
        <f>+I144+I145</f>
        <v>1622</v>
      </c>
      <c r="E144" s="29">
        <f>+J144+J145</f>
        <v>71050.900000000009</v>
      </c>
      <c r="F144" s="63" t="s">
        <v>792</v>
      </c>
      <c r="G144" s="63">
        <v>89071</v>
      </c>
      <c r="H144" s="129"/>
      <c r="I144" s="39">
        <v>900</v>
      </c>
      <c r="J144" s="39">
        <v>39520.700000000004</v>
      </c>
      <c r="K144" s="877">
        <f t="shared" si="57"/>
        <v>1</v>
      </c>
      <c r="L144" s="879">
        <f>((+B144/A144)-(E144/D144))/(B144/A144)</f>
        <v>4.401998025214296E-2</v>
      </c>
    </row>
    <row r="145" spans="1:12" ht="15" thickBot="1" x14ac:dyDescent="0.35">
      <c r="A145" s="21"/>
      <c r="B145" s="22"/>
      <c r="C145" s="22"/>
      <c r="D145" s="28"/>
      <c r="E145" s="28"/>
      <c r="F145" s="64" t="s">
        <v>792</v>
      </c>
      <c r="G145" s="64">
        <v>89071</v>
      </c>
      <c r="H145" s="131"/>
      <c r="I145" s="42">
        <v>722</v>
      </c>
      <c r="J145" s="42">
        <v>31530.2</v>
      </c>
      <c r="K145" s="878"/>
      <c r="L145" s="880"/>
    </row>
    <row r="146" spans="1:12" ht="15" thickBot="1" x14ac:dyDescent="0.35">
      <c r="A146" s="19">
        <v>949</v>
      </c>
      <c r="B146" s="20">
        <v>42324.25</v>
      </c>
      <c r="C146" s="20" t="s">
        <v>793</v>
      </c>
      <c r="D146" s="27">
        <f>+I146</f>
        <v>949</v>
      </c>
      <c r="E146" s="27">
        <f>+J146</f>
        <v>41272.1</v>
      </c>
      <c r="F146" s="65" t="s">
        <v>794</v>
      </c>
      <c r="G146" s="65">
        <v>89081</v>
      </c>
      <c r="H146" s="134"/>
      <c r="I146" s="45">
        <v>949</v>
      </c>
      <c r="J146" s="45">
        <v>41272.1</v>
      </c>
      <c r="K146" s="18">
        <f t="shared" ref="K146:K147" si="59">+A146-D146</f>
        <v>0</v>
      </c>
      <c r="L146" s="33">
        <f t="shared" ref="L146" si="60">(+B146-E146)/B146</f>
        <v>2.4859270985309875E-2</v>
      </c>
    </row>
    <row r="147" spans="1:12" x14ac:dyDescent="0.3">
      <c r="A147" s="23">
        <v>1235</v>
      </c>
      <c r="B147" s="24">
        <v>60255.1</v>
      </c>
      <c r="C147" s="24" t="s">
        <v>795</v>
      </c>
      <c r="D147" s="29">
        <f>+I147+I148</f>
        <v>1233</v>
      </c>
      <c r="E147" s="29">
        <f>+J147+J148</f>
        <v>57103</v>
      </c>
      <c r="F147" s="63" t="s">
        <v>796</v>
      </c>
      <c r="G147" s="63">
        <v>89141</v>
      </c>
      <c r="H147" s="129"/>
      <c r="I147" s="39">
        <v>498</v>
      </c>
      <c r="J147" s="39">
        <v>23288.800000000003</v>
      </c>
      <c r="K147" s="877">
        <f t="shared" si="59"/>
        <v>2</v>
      </c>
      <c r="L147" s="879">
        <f>((+B147/A147)-(E147/D147))/(B147/A147)</f>
        <v>5.0775378464126011E-2</v>
      </c>
    </row>
    <row r="148" spans="1:12" ht="15" thickBot="1" x14ac:dyDescent="0.35">
      <c r="A148" s="21"/>
      <c r="B148" s="22"/>
      <c r="C148" s="22"/>
      <c r="D148" s="28"/>
      <c r="E148" s="28"/>
      <c r="F148" s="64" t="s">
        <v>796</v>
      </c>
      <c r="G148" s="64">
        <v>89141</v>
      </c>
      <c r="H148" s="131"/>
      <c r="I148" s="42">
        <v>735</v>
      </c>
      <c r="J148" s="42">
        <v>33814.199999999997</v>
      </c>
      <c r="K148" s="878"/>
      <c r="L148" s="880"/>
    </row>
    <row r="149" spans="1:12" ht="15" thickBot="1" x14ac:dyDescent="0.35">
      <c r="A149" s="19">
        <v>305</v>
      </c>
      <c r="B149" s="20">
        <v>14955.7</v>
      </c>
      <c r="C149" s="20" t="s">
        <v>797</v>
      </c>
      <c r="D149" s="27">
        <f>+I149</f>
        <v>305</v>
      </c>
      <c r="E149" s="27">
        <f>+J149</f>
        <v>14254.1</v>
      </c>
      <c r="F149" s="65" t="s">
        <v>798</v>
      </c>
      <c r="G149" s="65">
        <v>89151</v>
      </c>
      <c r="H149" s="134"/>
      <c r="I149" s="45">
        <v>305</v>
      </c>
      <c r="J149" s="45">
        <v>14254.1</v>
      </c>
      <c r="K149" s="18">
        <f t="shared" ref="K149:K153" si="61">+A149-D149</f>
        <v>0</v>
      </c>
      <c r="L149" s="33">
        <f t="shared" ref="L149:L151" si="62">(+B149-E149)/B149</f>
        <v>4.6911879751532881E-2</v>
      </c>
    </row>
    <row r="150" spans="1:12" ht="15" thickBot="1" x14ac:dyDescent="0.35">
      <c r="A150" s="19">
        <v>178</v>
      </c>
      <c r="B150" s="20">
        <v>8634.1</v>
      </c>
      <c r="C150" s="20" t="s">
        <v>799</v>
      </c>
      <c r="D150" s="27">
        <f t="shared" ref="D150:E151" si="63">+I150</f>
        <v>178</v>
      </c>
      <c r="E150" s="27">
        <f t="shared" si="63"/>
        <v>8094.1</v>
      </c>
      <c r="F150" s="65" t="s">
        <v>800</v>
      </c>
      <c r="G150" s="65">
        <v>89161</v>
      </c>
      <c r="H150" s="134"/>
      <c r="I150" s="45">
        <v>178</v>
      </c>
      <c r="J150" s="45">
        <v>8094.1</v>
      </c>
      <c r="K150" s="18">
        <f t="shared" si="61"/>
        <v>0</v>
      </c>
      <c r="L150" s="33">
        <f t="shared" si="62"/>
        <v>6.2542708562560084E-2</v>
      </c>
    </row>
    <row r="151" spans="1:12" ht="15" thickBot="1" x14ac:dyDescent="0.35">
      <c r="A151" s="19">
        <v>105</v>
      </c>
      <c r="B151" s="20">
        <v>4702.5</v>
      </c>
      <c r="C151" s="20" t="s">
        <v>801</v>
      </c>
      <c r="D151" s="27">
        <f t="shared" si="63"/>
        <v>105</v>
      </c>
      <c r="E151" s="27">
        <f t="shared" si="63"/>
        <v>4537.1000000000004</v>
      </c>
      <c r="F151" s="65" t="s">
        <v>802</v>
      </c>
      <c r="G151" s="65">
        <v>89211</v>
      </c>
      <c r="H151" s="134"/>
      <c r="I151" s="45">
        <v>105</v>
      </c>
      <c r="J151" s="45">
        <v>4537.1000000000004</v>
      </c>
      <c r="K151" s="18">
        <f t="shared" si="61"/>
        <v>0</v>
      </c>
      <c r="L151" s="33">
        <f t="shared" si="62"/>
        <v>3.5172780435938251E-2</v>
      </c>
    </row>
    <row r="152" spans="1:12" ht="15" thickBot="1" x14ac:dyDescent="0.35">
      <c r="A152" s="19">
        <v>311</v>
      </c>
      <c r="B152" s="20">
        <v>12609.5</v>
      </c>
      <c r="C152" s="20" t="s">
        <v>803</v>
      </c>
      <c r="D152" s="27">
        <f>+I152</f>
        <v>312</v>
      </c>
      <c r="E152" s="27">
        <f>+J152</f>
        <v>12003.8</v>
      </c>
      <c r="F152" s="65" t="s">
        <v>804</v>
      </c>
      <c r="G152" s="65">
        <v>89221</v>
      </c>
      <c r="H152" s="134"/>
      <c r="I152" s="45">
        <v>312</v>
      </c>
      <c r="J152" s="45">
        <v>12003.8</v>
      </c>
      <c r="K152" s="18">
        <f t="shared" si="61"/>
        <v>-1</v>
      </c>
      <c r="L152" s="127">
        <f>((+B152/A152)-(E152/D152))/(B152/A152)</f>
        <v>5.1086380740609685E-2</v>
      </c>
    </row>
    <row r="153" spans="1:12" x14ac:dyDescent="0.3">
      <c r="A153" s="23">
        <f>+D153</f>
        <v>2108</v>
      </c>
      <c r="B153" s="24">
        <v>93438.399999999994</v>
      </c>
      <c r="C153" s="24" t="s">
        <v>805</v>
      </c>
      <c r="D153" s="29">
        <f>+I153+I154</f>
        <v>2108</v>
      </c>
      <c r="E153" s="29">
        <f>+J153+J154</f>
        <v>89196.700000000012</v>
      </c>
      <c r="F153" s="63" t="s">
        <v>806</v>
      </c>
      <c r="G153" s="63">
        <v>89271</v>
      </c>
      <c r="H153" s="129"/>
      <c r="I153" s="39">
        <v>1500</v>
      </c>
      <c r="J153" s="39">
        <v>63226.200000000004</v>
      </c>
      <c r="K153" s="877">
        <f t="shared" si="61"/>
        <v>0</v>
      </c>
      <c r="L153" s="879">
        <f t="shared" ref="L153" si="64">(+B153-E153)/B153</f>
        <v>4.5395683145259151E-2</v>
      </c>
    </row>
    <row r="154" spans="1:12" ht="15" thickBot="1" x14ac:dyDescent="0.35">
      <c r="A154" s="21"/>
      <c r="B154" s="22"/>
      <c r="C154" s="22"/>
      <c r="D154" s="28"/>
      <c r="E154" s="28"/>
      <c r="F154" s="64" t="s">
        <v>806</v>
      </c>
      <c r="G154" s="64">
        <v>89271</v>
      </c>
      <c r="H154" s="131"/>
      <c r="I154" s="42">
        <v>608</v>
      </c>
      <c r="J154" s="42">
        <v>25970.500000000004</v>
      </c>
      <c r="K154" s="878"/>
      <c r="L154" s="880"/>
    </row>
    <row r="155" spans="1:12" ht="15" thickBot="1" x14ac:dyDescent="0.35">
      <c r="A155" s="19">
        <f>+D155</f>
        <v>449</v>
      </c>
      <c r="B155" s="20">
        <v>18110</v>
      </c>
      <c r="C155" s="20" t="s">
        <v>807</v>
      </c>
      <c r="D155" s="27">
        <f>+I155</f>
        <v>449</v>
      </c>
      <c r="E155" s="27">
        <f>+J155</f>
        <v>17229.599999999999</v>
      </c>
      <c r="F155" s="65" t="s">
        <v>808</v>
      </c>
      <c r="G155" s="65">
        <v>89281</v>
      </c>
      <c r="H155" s="134"/>
      <c r="I155" s="45">
        <v>449</v>
      </c>
      <c r="J155" s="45">
        <v>17229.599999999999</v>
      </c>
      <c r="K155" s="18">
        <f t="shared" ref="K155:K156" si="65">+A155-D155</f>
        <v>0</v>
      </c>
      <c r="L155" s="33">
        <f t="shared" ref="L155" si="66">(+B155-E155)/B155</f>
        <v>4.8614025400331391E-2</v>
      </c>
    </row>
    <row r="156" spans="1:12" x14ac:dyDescent="0.3">
      <c r="A156" s="23">
        <v>2615</v>
      </c>
      <c r="B156" s="24">
        <v>113128</v>
      </c>
      <c r="C156" s="24" t="s">
        <v>809</v>
      </c>
      <c r="D156" s="29">
        <f>+I156+I157</f>
        <v>2614</v>
      </c>
      <c r="E156" s="29">
        <f>+J156+J157</f>
        <v>108779.70000000001</v>
      </c>
      <c r="F156" s="63" t="s">
        <v>810</v>
      </c>
      <c r="G156" s="63">
        <v>89331</v>
      </c>
      <c r="H156" s="129"/>
      <c r="I156" s="39">
        <v>946</v>
      </c>
      <c r="J156" s="39">
        <v>39053.9</v>
      </c>
      <c r="K156" s="877">
        <f t="shared" si="65"/>
        <v>1</v>
      </c>
      <c r="L156" s="879">
        <f>((+B156/A156)-(E156/D156))/(B156/A156)</f>
        <v>3.8069140537099054E-2</v>
      </c>
    </row>
    <row r="157" spans="1:12" ht="15" thickBot="1" x14ac:dyDescent="0.35">
      <c r="A157" s="21"/>
      <c r="B157" s="22"/>
      <c r="C157" s="22"/>
      <c r="D157" s="28"/>
      <c r="E157" s="28"/>
      <c r="F157" s="64" t="s">
        <v>810</v>
      </c>
      <c r="G157" s="64">
        <v>89331</v>
      </c>
      <c r="H157" s="131"/>
      <c r="I157" s="42">
        <v>1668</v>
      </c>
      <c r="J157" s="42">
        <v>69725.8</v>
      </c>
      <c r="K157" s="878"/>
      <c r="L157" s="880"/>
    </row>
    <row r="158" spans="1:12" ht="15" thickBot="1" x14ac:dyDescent="0.35">
      <c r="A158" s="174">
        <v>274</v>
      </c>
      <c r="B158" s="12">
        <v>12348.9</v>
      </c>
      <c r="C158" s="12" t="s">
        <v>859</v>
      </c>
      <c r="D158" s="12">
        <f>+I158</f>
        <v>274</v>
      </c>
      <c r="E158" s="12">
        <f>+J158</f>
        <v>11856.2</v>
      </c>
      <c r="F158" s="39" t="s">
        <v>860</v>
      </c>
      <c r="G158" s="39">
        <v>89321</v>
      </c>
      <c r="H158" s="40"/>
      <c r="I158" s="39">
        <v>274</v>
      </c>
      <c r="J158" s="41">
        <v>11856.2</v>
      </c>
      <c r="K158" s="54">
        <f>+A158-D158</f>
        <v>0</v>
      </c>
      <c r="L158" s="53">
        <f t="shared" ref="L158:L159" si="67">(+B158-E158)/B158</f>
        <v>3.9898290535999067E-2</v>
      </c>
    </row>
    <row r="159" spans="1:12" ht="15" thickBot="1" x14ac:dyDescent="0.35">
      <c r="A159" s="175">
        <v>250</v>
      </c>
      <c r="B159" s="8">
        <v>10662.25</v>
      </c>
      <c r="C159" s="8" t="s">
        <v>871</v>
      </c>
      <c r="D159" s="8">
        <f>+I159</f>
        <v>250</v>
      </c>
      <c r="E159" s="8">
        <f>+J159</f>
        <v>10227</v>
      </c>
      <c r="F159" s="45" t="s">
        <v>872</v>
      </c>
      <c r="G159" s="45">
        <v>89371</v>
      </c>
      <c r="H159" s="14"/>
      <c r="I159" s="45">
        <v>250</v>
      </c>
      <c r="J159" s="46">
        <v>10227</v>
      </c>
      <c r="K159" s="54">
        <f t="shared" ref="K159:K179" si="68">+A159-D159</f>
        <v>0</v>
      </c>
      <c r="L159" s="53">
        <f t="shared" si="67"/>
        <v>4.0821590189687916E-2</v>
      </c>
    </row>
    <row r="160" spans="1:12" x14ac:dyDescent="0.3">
      <c r="A160" s="871">
        <v>980</v>
      </c>
      <c r="B160" s="873">
        <v>52816</v>
      </c>
      <c r="C160" s="873" t="s">
        <v>873</v>
      </c>
      <c r="D160" s="873">
        <f>+I160+I161</f>
        <v>983</v>
      </c>
      <c r="E160" s="873">
        <f>+J160+J161</f>
        <v>50441.1</v>
      </c>
      <c r="F160" s="39" t="s">
        <v>872</v>
      </c>
      <c r="G160" s="39">
        <v>89371</v>
      </c>
      <c r="H160" s="40"/>
      <c r="I160" s="39">
        <v>507</v>
      </c>
      <c r="J160" s="41">
        <v>25880.3</v>
      </c>
      <c r="K160" s="877">
        <f t="shared" si="68"/>
        <v>-3</v>
      </c>
      <c r="L160" s="879">
        <f>((+B160/A160)-(E160/D160))/(B160/A160)</f>
        <v>4.7880193214978772E-2</v>
      </c>
    </row>
    <row r="161" spans="1:12" ht="15" thickBot="1" x14ac:dyDescent="0.35">
      <c r="A161" s="872"/>
      <c r="B161" s="874"/>
      <c r="C161" s="874"/>
      <c r="D161" s="874"/>
      <c r="E161" s="874"/>
      <c r="F161" s="42" t="s">
        <v>872</v>
      </c>
      <c r="G161" s="42">
        <v>89371</v>
      </c>
      <c r="H161" s="43"/>
      <c r="I161" s="42">
        <v>476</v>
      </c>
      <c r="J161" s="44">
        <v>24560.799999999999</v>
      </c>
      <c r="K161" s="878"/>
      <c r="L161" s="880"/>
    </row>
    <row r="162" spans="1:12" ht="15" thickBot="1" x14ac:dyDescent="0.35">
      <c r="A162" s="175">
        <v>727</v>
      </c>
      <c r="B162" s="8">
        <v>33774</v>
      </c>
      <c r="C162" s="8" t="s">
        <v>874</v>
      </c>
      <c r="D162" s="12">
        <f>+I162</f>
        <v>728</v>
      </c>
      <c r="E162" s="12">
        <f>+J162</f>
        <v>32360.600000000002</v>
      </c>
      <c r="F162" s="45" t="s">
        <v>875</v>
      </c>
      <c r="G162" s="45">
        <v>89491</v>
      </c>
      <c r="H162" s="14"/>
      <c r="I162" s="45">
        <v>728</v>
      </c>
      <c r="J162" s="46">
        <v>32360.600000000002</v>
      </c>
      <c r="K162" s="54">
        <f t="shared" si="68"/>
        <v>-1</v>
      </c>
      <c r="L162" s="136">
        <f>((+B162/A162)-(E162/D162))/(B162/A162)</f>
        <v>4.31649012147323E-2</v>
      </c>
    </row>
    <row r="163" spans="1:12" x14ac:dyDescent="0.3">
      <c r="A163" s="873">
        <v>546</v>
      </c>
      <c r="B163" s="873">
        <v>21793.5</v>
      </c>
      <c r="C163" s="873" t="s">
        <v>876</v>
      </c>
      <c r="D163" s="873">
        <f>+I163+I164</f>
        <v>546</v>
      </c>
      <c r="E163" s="873">
        <f>+J163+J164</f>
        <v>21091.399999999998</v>
      </c>
      <c r="F163" s="39" t="s">
        <v>877</v>
      </c>
      <c r="G163" s="39">
        <v>89501</v>
      </c>
      <c r="H163" s="40"/>
      <c r="I163" s="39">
        <v>50</v>
      </c>
      <c r="J163" s="41">
        <v>1911.8</v>
      </c>
      <c r="K163" s="877">
        <f t="shared" si="68"/>
        <v>0</v>
      </c>
      <c r="L163" s="879">
        <f t="shared" ref="L163" si="69">(+B163-E163)/B163</f>
        <v>3.2216027714685673E-2</v>
      </c>
    </row>
    <row r="164" spans="1:12" ht="15" thickBot="1" x14ac:dyDescent="0.35">
      <c r="A164" s="874"/>
      <c r="B164" s="874"/>
      <c r="C164" s="874"/>
      <c r="D164" s="874"/>
      <c r="E164" s="874"/>
      <c r="F164" s="42" t="s">
        <v>877</v>
      </c>
      <c r="G164" s="42">
        <v>89501</v>
      </c>
      <c r="H164" s="43"/>
      <c r="I164" s="10">
        <v>496</v>
      </c>
      <c r="J164" s="11">
        <v>19179.599999999999</v>
      </c>
      <c r="K164" s="878"/>
      <c r="L164" s="880"/>
    </row>
    <row r="165" spans="1:12" ht="15" thickBot="1" x14ac:dyDescent="0.35">
      <c r="A165" s="175">
        <v>675</v>
      </c>
      <c r="B165" s="8">
        <v>33368.75</v>
      </c>
      <c r="C165" s="8" t="s">
        <v>878</v>
      </c>
      <c r="D165" s="12">
        <f>+I165</f>
        <v>677</v>
      </c>
      <c r="E165" s="12">
        <f>+J165</f>
        <v>30911.200000000001</v>
      </c>
      <c r="F165" s="45" t="s">
        <v>879</v>
      </c>
      <c r="G165" s="45">
        <v>89521</v>
      </c>
      <c r="H165" s="14"/>
      <c r="I165" s="8">
        <v>677</v>
      </c>
      <c r="J165" s="9">
        <v>30911.200000000001</v>
      </c>
      <c r="K165" s="54">
        <f t="shared" si="68"/>
        <v>-2</v>
      </c>
      <c r="L165" s="136">
        <f>((+B165/A165)-(E165/D165))/(B165/A165)</f>
        <v>7.6384886110206537E-2</v>
      </c>
    </row>
    <row r="166" spans="1:12" x14ac:dyDescent="0.3">
      <c r="A166" s="913">
        <v>1760</v>
      </c>
      <c r="B166" s="913">
        <v>69834.25</v>
      </c>
      <c r="C166" s="913" t="s">
        <v>880</v>
      </c>
      <c r="D166" s="873">
        <f>+I166+I167+I168</f>
        <v>1760</v>
      </c>
      <c r="E166" s="873">
        <f>+J166+J167+J168</f>
        <v>67571.600000000006</v>
      </c>
      <c r="F166" s="39" t="s">
        <v>881</v>
      </c>
      <c r="G166" s="39">
        <v>89531</v>
      </c>
      <c r="H166" s="40"/>
      <c r="I166" s="39">
        <v>354</v>
      </c>
      <c r="J166" s="41">
        <v>13586.400000000001</v>
      </c>
      <c r="K166" s="877">
        <f t="shared" si="68"/>
        <v>0</v>
      </c>
      <c r="L166" s="879">
        <f t="shared" ref="L166" si="70">(+B166-E166)/B166</f>
        <v>3.2400290688308304E-2</v>
      </c>
    </row>
    <row r="167" spans="1:12" x14ac:dyDescent="0.3">
      <c r="A167" s="971"/>
      <c r="B167" s="971"/>
      <c r="C167" s="971"/>
      <c r="D167" s="881"/>
      <c r="E167" s="881"/>
      <c r="F167" s="50" t="s">
        <v>881</v>
      </c>
      <c r="G167" s="50">
        <v>89531</v>
      </c>
      <c r="I167" s="50">
        <v>1216</v>
      </c>
      <c r="J167" s="51">
        <v>46701.2</v>
      </c>
      <c r="K167" s="886"/>
      <c r="L167" s="885"/>
    </row>
    <row r="168" spans="1:12" ht="15" thickBot="1" x14ac:dyDescent="0.35">
      <c r="A168" s="914"/>
      <c r="B168" s="914"/>
      <c r="C168" s="914"/>
      <c r="D168" s="874"/>
      <c r="E168" s="874"/>
      <c r="F168" s="42" t="s">
        <v>881</v>
      </c>
      <c r="G168" s="42">
        <v>89531</v>
      </c>
      <c r="H168" s="43"/>
      <c r="I168" s="42">
        <v>190</v>
      </c>
      <c r="J168" s="44">
        <v>7284</v>
      </c>
      <c r="K168" s="878"/>
      <c r="L168" s="880"/>
    </row>
    <row r="169" spans="1:12" ht="15" thickBot="1" x14ac:dyDescent="0.35">
      <c r="A169" s="184">
        <v>560</v>
      </c>
      <c r="B169" s="185">
        <v>23889.1</v>
      </c>
      <c r="C169" s="185" t="s">
        <v>882</v>
      </c>
      <c r="D169" s="45">
        <f>+I169</f>
        <v>560</v>
      </c>
      <c r="E169" s="45">
        <f>+J169</f>
        <v>22855.3</v>
      </c>
      <c r="F169" s="45" t="s">
        <v>883</v>
      </c>
      <c r="G169" s="45">
        <v>89641</v>
      </c>
      <c r="H169" s="14"/>
      <c r="I169" s="45">
        <v>560</v>
      </c>
      <c r="J169" s="46">
        <v>22855.3</v>
      </c>
      <c r="K169" s="54">
        <f t="shared" si="68"/>
        <v>0</v>
      </c>
      <c r="L169" s="53">
        <f t="shared" ref="L169:L170" si="71">(+B169-E169)/B169</f>
        <v>4.3274966407273581E-2</v>
      </c>
    </row>
    <row r="170" spans="1:12" x14ac:dyDescent="0.3">
      <c r="A170" s="940">
        <v>600</v>
      </c>
      <c r="B170" s="913">
        <v>26953.1</v>
      </c>
      <c r="C170" s="913" t="s">
        <v>884</v>
      </c>
      <c r="D170" s="873">
        <f>+I170+I171</f>
        <v>600</v>
      </c>
      <c r="E170" s="873">
        <f>+J170+J171</f>
        <v>25598</v>
      </c>
      <c r="F170" s="39" t="s">
        <v>885</v>
      </c>
      <c r="G170" s="39">
        <v>89651</v>
      </c>
      <c r="H170" s="40"/>
      <c r="I170" s="39">
        <v>300</v>
      </c>
      <c r="J170" s="41">
        <v>13164</v>
      </c>
      <c r="K170" s="877">
        <f t="shared" si="68"/>
        <v>0</v>
      </c>
      <c r="L170" s="879">
        <f t="shared" si="71"/>
        <v>5.0276220546059583E-2</v>
      </c>
    </row>
    <row r="171" spans="1:12" ht="15" thickBot="1" x14ac:dyDescent="0.35">
      <c r="A171" s="941"/>
      <c r="B171" s="914"/>
      <c r="C171" s="914"/>
      <c r="D171" s="874"/>
      <c r="E171" s="874"/>
      <c r="F171" s="42" t="s">
        <v>885</v>
      </c>
      <c r="G171" s="42">
        <v>89651</v>
      </c>
      <c r="H171" s="43"/>
      <c r="I171" s="42">
        <v>300</v>
      </c>
      <c r="J171" s="44">
        <v>12434</v>
      </c>
      <c r="K171" s="878"/>
      <c r="L171" s="880"/>
    </row>
    <row r="172" spans="1:12" ht="15" thickBot="1" x14ac:dyDescent="0.35">
      <c r="A172" s="184">
        <v>1508</v>
      </c>
      <c r="B172" s="185">
        <v>65848</v>
      </c>
      <c r="C172" s="185" t="s">
        <v>886</v>
      </c>
      <c r="D172" s="45">
        <f>+I172</f>
        <v>1508</v>
      </c>
      <c r="E172" s="45">
        <f>+J172</f>
        <v>63231.5</v>
      </c>
      <c r="F172" s="45" t="s">
        <v>887</v>
      </c>
      <c r="G172" s="45">
        <v>89661</v>
      </c>
      <c r="H172" s="14"/>
      <c r="I172" s="45">
        <v>1508</v>
      </c>
      <c r="J172" s="46">
        <v>63231.5</v>
      </c>
      <c r="K172" s="54">
        <f t="shared" si="68"/>
        <v>0</v>
      </c>
      <c r="L172" s="53">
        <f t="shared" ref="L172" si="72">(+B172-E172)/B172</f>
        <v>3.9735451342485725E-2</v>
      </c>
    </row>
    <row r="173" spans="1:12" ht="15" thickBot="1" x14ac:dyDescent="0.35">
      <c r="A173" s="184">
        <v>477</v>
      </c>
      <c r="B173" s="185">
        <v>21272.25</v>
      </c>
      <c r="C173" s="185" t="s">
        <v>888</v>
      </c>
      <c r="D173" s="45">
        <v>477</v>
      </c>
      <c r="E173" s="45">
        <v>20381</v>
      </c>
      <c r="F173" s="45" t="s">
        <v>889</v>
      </c>
      <c r="G173" s="45">
        <v>89671</v>
      </c>
      <c r="H173" s="14"/>
      <c r="I173" s="45">
        <v>202</v>
      </c>
      <c r="J173" s="46">
        <v>8472.2000000000007</v>
      </c>
      <c r="K173" s="54">
        <f t="shared" si="68"/>
        <v>0</v>
      </c>
      <c r="L173" s="138">
        <f>((+B173/A173)-(E173/D173))/(B173/A173)</f>
        <v>4.1897307525061975E-2</v>
      </c>
    </row>
    <row r="174" spans="1:12" x14ac:dyDescent="0.3">
      <c r="A174" s="871">
        <v>1237</v>
      </c>
      <c r="B174" s="873">
        <v>57791.5</v>
      </c>
      <c r="C174" s="873" t="s">
        <v>948</v>
      </c>
      <c r="D174" s="873">
        <f>+I174+I175</f>
        <v>1239</v>
      </c>
      <c r="E174" s="873">
        <f>+J174+J175</f>
        <v>54888.7</v>
      </c>
      <c r="F174" s="39" t="s">
        <v>949</v>
      </c>
      <c r="G174" s="39">
        <v>89741</v>
      </c>
      <c r="H174" s="40"/>
      <c r="I174" s="39">
        <v>986</v>
      </c>
      <c r="J174" s="41">
        <v>43646.5</v>
      </c>
      <c r="K174" s="877">
        <f t="shared" si="68"/>
        <v>-2</v>
      </c>
      <c r="L174" s="879">
        <f>((+B174/A174)-(E174/D174))/(B174/A174)</f>
        <v>5.1761965240649757E-2</v>
      </c>
    </row>
    <row r="175" spans="1:12" ht="15" thickBot="1" x14ac:dyDescent="0.35">
      <c r="A175" s="872"/>
      <c r="B175" s="874"/>
      <c r="C175" s="874"/>
      <c r="D175" s="874"/>
      <c r="E175" s="874"/>
      <c r="F175" s="42" t="s">
        <v>949</v>
      </c>
      <c r="G175" s="42">
        <v>89741</v>
      </c>
      <c r="H175" s="43"/>
      <c r="I175" s="42">
        <v>253</v>
      </c>
      <c r="J175" s="44">
        <v>11242.2</v>
      </c>
      <c r="K175" s="878"/>
      <c r="L175" s="880"/>
    </row>
    <row r="176" spans="1:12" ht="15" thickBot="1" x14ac:dyDescent="0.35">
      <c r="A176" s="178">
        <v>520</v>
      </c>
      <c r="B176" s="45">
        <v>26342.5</v>
      </c>
      <c r="C176" s="45" t="s">
        <v>950</v>
      </c>
      <c r="D176" s="45">
        <f t="shared" ref="D176:E178" si="73">+I176</f>
        <v>520</v>
      </c>
      <c r="E176" s="45">
        <f t="shared" si="73"/>
        <v>24528</v>
      </c>
      <c r="F176" s="45" t="s">
        <v>951</v>
      </c>
      <c r="G176" s="45">
        <v>89751</v>
      </c>
      <c r="H176" s="14"/>
      <c r="I176" s="45">
        <v>520</v>
      </c>
      <c r="J176" s="46">
        <v>24528</v>
      </c>
      <c r="K176" s="54">
        <f t="shared" si="68"/>
        <v>0</v>
      </c>
      <c r="L176" s="53">
        <f t="shared" ref="L176:L177" si="74">(+B176-E176)/B176</f>
        <v>6.8881085698016514E-2</v>
      </c>
    </row>
    <row r="177" spans="1:12" ht="15" thickBot="1" x14ac:dyDescent="0.35">
      <c r="A177" s="178">
        <v>85</v>
      </c>
      <c r="B177" s="45">
        <v>3867.25</v>
      </c>
      <c r="C177" s="45" t="s">
        <v>952</v>
      </c>
      <c r="D177" s="45">
        <f t="shared" si="73"/>
        <v>85</v>
      </c>
      <c r="E177" s="45">
        <f t="shared" si="73"/>
        <v>3781.4</v>
      </c>
      <c r="F177" s="45" t="s">
        <v>951</v>
      </c>
      <c r="G177" s="45">
        <v>89751</v>
      </c>
      <c r="H177" s="14"/>
      <c r="I177" s="45">
        <v>85</v>
      </c>
      <c r="J177" s="46">
        <v>3781.4</v>
      </c>
      <c r="K177" s="54">
        <f t="shared" si="68"/>
        <v>0</v>
      </c>
      <c r="L177" s="53">
        <f t="shared" si="74"/>
        <v>2.2199237184045487E-2</v>
      </c>
    </row>
    <row r="178" spans="1:12" ht="15" thickBot="1" x14ac:dyDescent="0.35">
      <c r="A178" s="178">
        <v>724</v>
      </c>
      <c r="B178" s="45">
        <v>32268</v>
      </c>
      <c r="C178" s="45" t="s">
        <v>953</v>
      </c>
      <c r="D178" s="45">
        <f t="shared" si="73"/>
        <v>726</v>
      </c>
      <c r="E178" s="45">
        <f t="shared" si="73"/>
        <v>31395.9</v>
      </c>
      <c r="F178" s="45" t="s">
        <v>954</v>
      </c>
      <c r="G178" s="45">
        <v>89781</v>
      </c>
      <c r="H178" s="14"/>
      <c r="I178" s="45">
        <v>726</v>
      </c>
      <c r="J178" s="46">
        <v>31395.9</v>
      </c>
      <c r="K178" s="54">
        <f t="shared" si="68"/>
        <v>-2</v>
      </c>
      <c r="L178" s="31">
        <f t="shared" ref="L178:L179" si="75">((+B178/A178)-(E178/D178))/(B178/A178)</f>
        <v>2.9707142762012768E-2</v>
      </c>
    </row>
    <row r="179" spans="1:12" x14ac:dyDescent="0.3">
      <c r="A179" s="871">
        <v>1949</v>
      </c>
      <c r="B179" s="873">
        <v>84366.75</v>
      </c>
      <c r="C179" s="873" t="s">
        <v>955</v>
      </c>
      <c r="D179" s="873">
        <f>+I179+I180+I181</f>
        <v>1951</v>
      </c>
      <c r="E179" s="873">
        <f>+J179+J180+J181</f>
        <v>81988</v>
      </c>
      <c r="F179" s="39" t="s">
        <v>956</v>
      </c>
      <c r="G179" s="39">
        <v>89821</v>
      </c>
      <c r="H179" s="40"/>
      <c r="I179" s="39">
        <v>332</v>
      </c>
      <c r="J179" s="41">
        <v>13590.8</v>
      </c>
      <c r="K179" s="877">
        <f t="shared" si="68"/>
        <v>-2</v>
      </c>
      <c r="L179" s="879">
        <f t="shared" si="75"/>
        <v>2.9191561311831597E-2</v>
      </c>
    </row>
    <row r="180" spans="1:12" x14ac:dyDescent="0.3">
      <c r="A180" s="875"/>
      <c r="B180" s="881"/>
      <c r="C180" s="881"/>
      <c r="D180" s="881"/>
      <c r="E180" s="881"/>
      <c r="F180" s="50" t="s">
        <v>956</v>
      </c>
      <c r="G180" s="50">
        <v>89821</v>
      </c>
      <c r="I180" s="50">
        <v>303</v>
      </c>
      <c r="J180" s="51">
        <v>12797.5</v>
      </c>
      <c r="K180" s="886"/>
      <c r="L180" s="885"/>
    </row>
    <row r="181" spans="1:12" ht="15" thickBot="1" x14ac:dyDescent="0.35">
      <c r="A181" s="875"/>
      <c r="B181" s="881"/>
      <c r="C181" s="881"/>
      <c r="D181" s="881"/>
      <c r="E181" s="881"/>
      <c r="F181" s="50" t="s">
        <v>956</v>
      </c>
      <c r="G181" s="50">
        <v>89821</v>
      </c>
      <c r="I181" s="50">
        <v>1316</v>
      </c>
      <c r="J181" s="51">
        <v>55599.700000000004</v>
      </c>
      <c r="K181" s="878"/>
      <c r="L181" s="880"/>
    </row>
    <row r="182" spans="1:12" x14ac:dyDescent="0.3">
      <c r="A182" s="871">
        <v>1503</v>
      </c>
      <c r="B182" s="969">
        <v>68457.75</v>
      </c>
      <c r="C182" s="873" t="s">
        <v>957</v>
      </c>
      <c r="D182" s="873">
        <f>+I182+I183</f>
        <v>1503</v>
      </c>
      <c r="E182" s="873">
        <f>+J182+J183</f>
        <v>65387.8</v>
      </c>
      <c r="F182" s="39" t="s">
        <v>958</v>
      </c>
      <c r="G182" s="39">
        <v>89891</v>
      </c>
      <c r="H182" s="40"/>
      <c r="I182" s="39">
        <v>763</v>
      </c>
      <c r="J182" s="41">
        <v>33274.800000000003</v>
      </c>
      <c r="K182" s="877">
        <f t="shared" ref="K182" si="76">+A182-D182</f>
        <v>0</v>
      </c>
      <c r="L182" s="879">
        <f t="shared" ref="L182" si="77">(+B182-E182)/B182</f>
        <v>4.4844447852872713E-2</v>
      </c>
    </row>
    <row r="183" spans="1:12" ht="15" thickBot="1" x14ac:dyDescent="0.35">
      <c r="A183" s="872"/>
      <c r="B183" s="970"/>
      <c r="C183" s="874"/>
      <c r="D183" s="874"/>
      <c r="E183" s="874"/>
      <c r="F183" s="42" t="s">
        <v>958</v>
      </c>
      <c r="G183" s="42">
        <v>89891</v>
      </c>
      <c r="H183" s="43"/>
      <c r="I183" s="42">
        <v>740</v>
      </c>
      <c r="J183" s="44">
        <v>32113</v>
      </c>
      <c r="K183" s="878"/>
      <c r="L183" s="880"/>
    </row>
    <row r="184" spans="1:12" ht="15" thickBot="1" x14ac:dyDescent="0.35">
      <c r="A184" s="178">
        <v>1436</v>
      </c>
      <c r="B184" s="194">
        <v>66636</v>
      </c>
      <c r="C184" s="8" t="s">
        <v>959</v>
      </c>
      <c r="D184" s="8">
        <f>+I184</f>
        <v>1438</v>
      </c>
      <c r="E184" s="8">
        <f>+J184</f>
        <v>63206.8</v>
      </c>
      <c r="F184" s="45" t="s">
        <v>960</v>
      </c>
      <c r="G184" s="45">
        <v>89901</v>
      </c>
      <c r="H184" s="14"/>
      <c r="I184" s="45">
        <v>1438</v>
      </c>
      <c r="J184" s="46">
        <v>63206.8</v>
      </c>
      <c r="K184" s="54">
        <f t="shared" ref="K184:K242" si="78">+A184-D184</f>
        <v>-2</v>
      </c>
      <c r="L184" s="31">
        <f>((+B184/A184)-(E184/D184))/(B184/A184)</f>
        <v>5.2780919000208759E-2</v>
      </c>
    </row>
    <row r="185" spans="1:12" ht="15" thickBot="1" x14ac:dyDescent="0.35">
      <c r="A185" s="207">
        <v>56</v>
      </c>
      <c r="B185" s="208">
        <v>2697.5</v>
      </c>
      <c r="C185" s="161" t="s">
        <v>1027</v>
      </c>
      <c r="D185" s="8">
        <f>+I185</f>
        <v>56</v>
      </c>
      <c r="E185" s="8">
        <f>+J185</f>
        <v>2537.8000000000002</v>
      </c>
      <c r="F185" s="45" t="s">
        <v>1028</v>
      </c>
      <c r="G185" s="45">
        <v>89951</v>
      </c>
      <c r="H185" s="14"/>
      <c r="I185" s="45">
        <v>56</v>
      </c>
      <c r="J185" s="46">
        <v>2537.8000000000002</v>
      </c>
      <c r="K185" s="54">
        <f t="shared" si="78"/>
        <v>0</v>
      </c>
      <c r="L185" s="53">
        <f t="shared" ref="L185:L203" si="79">(+B185-E185)/B185</f>
        <v>5.9202965708989738E-2</v>
      </c>
    </row>
    <row r="186" spans="1:12" ht="15" thickBot="1" x14ac:dyDescent="0.35">
      <c r="A186" s="207">
        <v>71</v>
      </c>
      <c r="B186" s="208">
        <v>3099</v>
      </c>
      <c r="C186" s="161" t="s">
        <v>1029</v>
      </c>
      <c r="D186" s="8">
        <f t="shared" ref="D186:E190" si="80">+I186</f>
        <v>71</v>
      </c>
      <c r="E186" s="8">
        <f t="shared" si="80"/>
        <v>2997.7</v>
      </c>
      <c r="F186" s="45" t="s">
        <v>1030</v>
      </c>
      <c r="G186" s="45">
        <v>90041</v>
      </c>
      <c r="H186" s="14"/>
      <c r="I186" s="45">
        <v>71</v>
      </c>
      <c r="J186" s="46">
        <v>2997.7</v>
      </c>
      <c r="K186" s="54">
        <f t="shared" si="78"/>
        <v>0</v>
      </c>
      <c r="L186" s="53">
        <f t="shared" si="79"/>
        <v>3.2687963859309513E-2</v>
      </c>
    </row>
    <row r="187" spans="1:12" ht="15" thickBot="1" x14ac:dyDescent="0.35">
      <c r="A187" s="207">
        <v>202</v>
      </c>
      <c r="B187" s="208">
        <v>10352.75</v>
      </c>
      <c r="C187" s="161" t="s">
        <v>1031</v>
      </c>
      <c r="D187" s="8">
        <f t="shared" si="80"/>
        <v>202</v>
      </c>
      <c r="E187" s="8">
        <f t="shared" si="80"/>
        <v>9574.4</v>
      </c>
      <c r="F187" s="45" t="s">
        <v>1032</v>
      </c>
      <c r="G187" s="45">
        <v>90051</v>
      </c>
      <c r="H187" s="14"/>
      <c r="I187" s="45">
        <v>202</v>
      </c>
      <c r="J187" s="46">
        <v>9574.4</v>
      </c>
      <c r="K187" s="54">
        <f t="shared" si="78"/>
        <v>0</v>
      </c>
      <c r="L187" s="53">
        <f t="shared" si="79"/>
        <v>7.5182922411919567E-2</v>
      </c>
    </row>
    <row r="188" spans="1:12" ht="15" thickBot="1" x14ac:dyDescent="0.35">
      <c r="A188" s="207">
        <v>1147</v>
      </c>
      <c r="B188" s="208">
        <v>51163.4</v>
      </c>
      <c r="C188" s="161" t="s">
        <v>1033</v>
      </c>
      <c r="D188" s="8">
        <f t="shared" si="80"/>
        <v>1147</v>
      </c>
      <c r="E188" s="8">
        <f t="shared" si="80"/>
        <v>49257.2</v>
      </c>
      <c r="F188" s="45" t="s">
        <v>1034</v>
      </c>
      <c r="G188" s="45">
        <v>90061</v>
      </c>
      <c r="H188" s="14"/>
      <c r="I188" s="45">
        <v>1147</v>
      </c>
      <c r="J188" s="46">
        <v>49257.2</v>
      </c>
      <c r="K188" s="54">
        <f t="shared" si="78"/>
        <v>0</v>
      </c>
      <c r="L188" s="53">
        <f t="shared" si="79"/>
        <v>3.7257101756333712E-2</v>
      </c>
    </row>
    <row r="189" spans="1:12" ht="15" thickBot="1" x14ac:dyDescent="0.35">
      <c r="A189" s="207">
        <v>233</v>
      </c>
      <c r="B189" s="208">
        <v>10173.200000000001</v>
      </c>
      <c r="C189" s="161" t="s">
        <v>1035</v>
      </c>
      <c r="D189" s="8">
        <f t="shared" si="80"/>
        <v>233</v>
      </c>
      <c r="E189" s="8">
        <f t="shared" si="80"/>
        <v>9868.9</v>
      </c>
      <c r="F189" s="45" t="s">
        <v>1036</v>
      </c>
      <c r="G189" s="45">
        <v>90071</v>
      </c>
      <c r="H189" s="14"/>
      <c r="I189" s="45">
        <v>233</v>
      </c>
      <c r="J189" s="46">
        <v>9868.9</v>
      </c>
      <c r="K189" s="54">
        <f t="shared" si="78"/>
        <v>0</v>
      </c>
      <c r="L189" s="53">
        <f t="shared" si="79"/>
        <v>2.9911925451185574E-2</v>
      </c>
    </row>
    <row r="190" spans="1:12" ht="15" thickBot="1" x14ac:dyDescent="0.35">
      <c r="A190" s="207">
        <v>266</v>
      </c>
      <c r="B190" s="208">
        <v>11635.1</v>
      </c>
      <c r="C190" s="161" t="s">
        <v>1037</v>
      </c>
      <c r="D190" s="8">
        <f t="shared" si="80"/>
        <v>266</v>
      </c>
      <c r="E190" s="8">
        <f t="shared" si="80"/>
        <v>11210.5</v>
      </c>
      <c r="F190" s="45" t="s">
        <v>1038</v>
      </c>
      <c r="G190" s="45">
        <v>90081</v>
      </c>
      <c r="H190" s="14"/>
      <c r="I190" s="45">
        <v>266</v>
      </c>
      <c r="J190" s="46">
        <v>11210.5</v>
      </c>
      <c r="K190" s="54">
        <f t="shared" si="78"/>
        <v>0</v>
      </c>
      <c r="L190" s="53">
        <f t="shared" si="79"/>
        <v>3.649302541447863E-2</v>
      </c>
    </row>
    <row r="191" spans="1:12" x14ac:dyDescent="0.3">
      <c r="A191" s="882">
        <v>808</v>
      </c>
      <c r="B191" s="980">
        <v>38839.5</v>
      </c>
      <c r="C191" s="982" t="s">
        <v>1039</v>
      </c>
      <c r="D191" s="873">
        <f>+I191+I192</f>
        <v>808</v>
      </c>
      <c r="E191" s="873">
        <f>+J191+J192</f>
        <v>36077.1</v>
      </c>
      <c r="F191" s="39" t="s">
        <v>1040</v>
      </c>
      <c r="G191" s="39">
        <v>90091</v>
      </c>
      <c r="H191" s="40"/>
      <c r="I191" s="39">
        <v>200</v>
      </c>
      <c r="J191" s="41">
        <v>9050.7999999999993</v>
      </c>
      <c r="K191" s="877">
        <f>+A191-D191</f>
        <v>0</v>
      </c>
      <c r="L191" s="879">
        <f t="shared" si="79"/>
        <v>7.1123469663615685E-2</v>
      </c>
    </row>
    <row r="192" spans="1:12" ht="15" thickBot="1" x14ac:dyDescent="0.35">
      <c r="A192" s="884"/>
      <c r="B192" s="981"/>
      <c r="C192" s="983"/>
      <c r="D192" s="874"/>
      <c r="E192" s="874"/>
      <c r="F192" s="42" t="s">
        <v>1040</v>
      </c>
      <c r="G192" s="42">
        <v>90091</v>
      </c>
      <c r="H192" s="43"/>
      <c r="I192" s="42">
        <v>608</v>
      </c>
      <c r="J192" s="44">
        <v>27026.3</v>
      </c>
      <c r="K192" s="878"/>
      <c r="L192" s="880"/>
    </row>
    <row r="193" spans="1:12" ht="15" thickBot="1" x14ac:dyDescent="0.35">
      <c r="A193" s="207">
        <v>828</v>
      </c>
      <c r="B193" s="208">
        <v>36612.5</v>
      </c>
      <c r="C193" s="161" t="s">
        <v>1041</v>
      </c>
      <c r="D193" s="8">
        <f t="shared" ref="D193:E198" si="81">+I193</f>
        <v>828</v>
      </c>
      <c r="E193" s="8">
        <f t="shared" si="81"/>
        <v>35352.1</v>
      </c>
      <c r="F193" s="45" t="s">
        <v>1042</v>
      </c>
      <c r="G193" s="45">
        <v>90101</v>
      </c>
      <c r="H193" s="14"/>
      <c r="I193" s="45">
        <v>828</v>
      </c>
      <c r="J193" s="46">
        <v>35352.1</v>
      </c>
      <c r="K193" s="54">
        <f t="shared" si="78"/>
        <v>0</v>
      </c>
      <c r="L193" s="53">
        <f t="shared" si="79"/>
        <v>3.4425401160805773E-2</v>
      </c>
    </row>
    <row r="194" spans="1:12" ht="15" thickBot="1" x14ac:dyDescent="0.35">
      <c r="A194" s="178">
        <v>292</v>
      </c>
      <c r="B194" s="209">
        <v>13648.5</v>
      </c>
      <c r="C194" s="8" t="s">
        <v>1043</v>
      </c>
      <c r="D194" s="8">
        <f t="shared" si="81"/>
        <v>292</v>
      </c>
      <c r="E194" s="8">
        <f t="shared" si="81"/>
        <v>12820.7</v>
      </c>
      <c r="F194" s="45" t="s">
        <v>1044</v>
      </c>
      <c r="G194" s="45">
        <v>90181</v>
      </c>
      <c r="H194" s="14"/>
      <c r="I194" s="45">
        <v>292</v>
      </c>
      <c r="J194" s="46">
        <v>12820.7</v>
      </c>
      <c r="K194" s="54">
        <f t="shared" si="78"/>
        <v>0</v>
      </c>
      <c r="L194" s="53">
        <f t="shared" si="79"/>
        <v>6.065135362860382E-2</v>
      </c>
    </row>
    <row r="195" spans="1:12" ht="15" thickBot="1" x14ac:dyDescent="0.35">
      <c r="A195" s="178">
        <v>1060</v>
      </c>
      <c r="B195" s="209">
        <v>50523.75</v>
      </c>
      <c r="C195" s="8" t="s">
        <v>1045</v>
      </c>
      <c r="D195" s="8">
        <f t="shared" si="81"/>
        <v>1060</v>
      </c>
      <c r="E195" s="8">
        <f t="shared" si="81"/>
        <v>47332.1</v>
      </c>
      <c r="F195" s="45" t="s">
        <v>1046</v>
      </c>
      <c r="G195" s="45">
        <v>90191</v>
      </c>
      <c r="H195" s="14"/>
      <c r="I195" s="45">
        <v>1060</v>
      </c>
      <c r="J195" s="46">
        <v>47332.1</v>
      </c>
      <c r="K195" s="54">
        <f t="shared" si="78"/>
        <v>0</v>
      </c>
      <c r="L195" s="53">
        <f t="shared" si="79"/>
        <v>6.3171280833271504E-2</v>
      </c>
    </row>
    <row r="196" spans="1:12" ht="15" thickBot="1" x14ac:dyDescent="0.35">
      <c r="A196" s="178">
        <v>1231</v>
      </c>
      <c r="B196" s="209">
        <v>54138</v>
      </c>
      <c r="C196" s="8" t="s">
        <v>1047</v>
      </c>
      <c r="D196" s="8">
        <f t="shared" si="81"/>
        <v>1231</v>
      </c>
      <c r="E196" s="8">
        <f t="shared" si="81"/>
        <v>52184.9</v>
      </c>
      <c r="F196" s="45" t="s">
        <v>1048</v>
      </c>
      <c r="G196" s="45">
        <v>90201</v>
      </c>
      <c r="H196" s="14"/>
      <c r="I196" s="45">
        <v>1231</v>
      </c>
      <c r="J196" s="46">
        <v>52184.9</v>
      </c>
      <c r="K196" s="54">
        <f t="shared" si="78"/>
        <v>0</v>
      </c>
      <c r="L196" s="53">
        <f t="shared" si="79"/>
        <v>3.6076323469651603E-2</v>
      </c>
    </row>
    <row r="197" spans="1:12" ht="15" thickBot="1" x14ac:dyDescent="0.35">
      <c r="A197" s="178">
        <v>356</v>
      </c>
      <c r="B197" s="209">
        <v>15790</v>
      </c>
      <c r="C197" s="8" t="s">
        <v>1049</v>
      </c>
      <c r="D197" s="8">
        <f t="shared" si="81"/>
        <v>356</v>
      </c>
      <c r="E197" s="8">
        <f t="shared" si="81"/>
        <v>15169</v>
      </c>
      <c r="F197" s="45" t="s">
        <v>1050</v>
      </c>
      <c r="G197" s="45">
        <v>90211</v>
      </c>
      <c r="H197" s="14"/>
      <c r="I197" s="45">
        <v>356</v>
      </c>
      <c r="J197" s="46">
        <v>15169</v>
      </c>
      <c r="K197" s="54">
        <f t="shared" si="78"/>
        <v>0</v>
      </c>
      <c r="L197" s="53">
        <f t="shared" si="79"/>
        <v>3.9328689043698545E-2</v>
      </c>
    </row>
    <row r="198" spans="1:12" ht="15" thickBot="1" x14ac:dyDescent="0.35">
      <c r="A198" s="178">
        <v>882</v>
      </c>
      <c r="B198" s="209">
        <v>39437.75</v>
      </c>
      <c r="C198" s="8" t="s">
        <v>1051</v>
      </c>
      <c r="D198" s="8">
        <f t="shared" si="81"/>
        <v>882</v>
      </c>
      <c r="E198" s="8">
        <f t="shared" si="81"/>
        <v>37849.300000000003</v>
      </c>
      <c r="F198" s="45" t="s">
        <v>1052</v>
      </c>
      <c r="G198" s="45">
        <v>90221</v>
      </c>
      <c r="H198" s="14"/>
      <c r="I198" s="45">
        <v>882</v>
      </c>
      <c r="J198" s="46">
        <v>37849.300000000003</v>
      </c>
      <c r="K198" s="54">
        <f t="shared" si="78"/>
        <v>0</v>
      </c>
      <c r="L198" s="53">
        <f t="shared" si="79"/>
        <v>4.0277399192398075E-2</v>
      </c>
    </row>
    <row r="199" spans="1:12" x14ac:dyDescent="0.3">
      <c r="A199" s="871">
        <v>1000</v>
      </c>
      <c r="B199" s="967">
        <v>44486.75</v>
      </c>
      <c r="C199" s="873" t="s">
        <v>1096</v>
      </c>
      <c r="D199" s="873">
        <f>+I199+I200</f>
        <v>1000</v>
      </c>
      <c r="E199" s="873">
        <f>+J199+J200</f>
        <v>42772.299999999996</v>
      </c>
      <c r="F199" s="39" t="s">
        <v>1097</v>
      </c>
      <c r="G199" s="39">
        <v>90261</v>
      </c>
      <c r="H199" s="40"/>
      <c r="I199" s="39">
        <v>863</v>
      </c>
      <c r="J199" s="41">
        <v>36907.899999999994</v>
      </c>
      <c r="K199" s="877">
        <f t="shared" si="78"/>
        <v>0</v>
      </c>
      <c r="L199" s="879">
        <f t="shared" si="79"/>
        <v>3.8538441221262612E-2</v>
      </c>
    </row>
    <row r="200" spans="1:12" ht="15" thickBot="1" x14ac:dyDescent="0.35">
      <c r="A200" s="872"/>
      <c r="B200" s="968"/>
      <c r="C200" s="874"/>
      <c r="D200" s="874"/>
      <c r="E200" s="874"/>
      <c r="F200" s="42" t="s">
        <v>1097</v>
      </c>
      <c r="G200" s="42">
        <v>90261</v>
      </c>
      <c r="H200" s="43"/>
      <c r="I200" s="42">
        <v>137</v>
      </c>
      <c r="J200" s="44">
        <v>5864.4</v>
      </c>
      <c r="K200" s="878"/>
      <c r="L200" s="880"/>
    </row>
    <row r="201" spans="1:12" ht="15" thickBot="1" x14ac:dyDescent="0.35">
      <c r="A201" s="178">
        <v>137</v>
      </c>
      <c r="B201" s="209">
        <v>6438</v>
      </c>
      <c r="C201" s="8" t="s">
        <v>1098</v>
      </c>
      <c r="D201" s="8">
        <f>+I201</f>
        <v>137</v>
      </c>
      <c r="E201" s="8">
        <f>+J201</f>
        <v>6217.1</v>
      </c>
      <c r="F201" s="45" t="s">
        <v>1099</v>
      </c>
      <c r="G201" s="45">
        <v>90271</v>
      </c>
      <c r="H201" s="14"/>
      <c r="I201" s="45">
        <v>137</v>
      </c>
      <c r="J201" s="46">
        <v>6217.1</v>
      </c>
      <c r="K201" s="54">
        <f t="shared" si="78"/>
        <v>0</v>
      </c>
      <c r="L201" s="53">
        <f t="shared" si="79"/>
        <v>3.4311898105001494E-2</v>
      </c>
    </row>
    <row r="202" spans="1:12" ht="15" thickBot="1" x14ac:dyDescent="0.35">
      <c r="A202" s="178">
        <v>349</v>
      </c>
      <c r="B202" s="209">
        <v>16152.25</v>
      </c>
      <c r="C202" s="8" t="s">
        <v>1100</v>
      </c>
      <c r="D202" s="8">
        <f>+I202</f>
        <v>342</v>
      </c>
      <c r="E202" s="8">
        <f>+J202</f>
        <v>15197.7</v>
      </c>
      <c r="F202" s="45" t="s">
        <v>1101</v>
      </c>
      <c r="G202" s="45">
        <v>90281</v>
      </c>
      <c r="H202" s="14"/>
      <c r="I202" s="45">
        <v>342</v>
      </c>
      <c r="J202" s="46">
        <v>15197.7</v>
      </c>
      <c r="K202" s="54">
        <f t="shared" si="78"/>
        <v>7</v>
      </c>
      <c r="L202" s="31">
        <f t="shared" ref="L202:L206" si="82">((+B202/A202)-(E202/D202))/(B202/A202)</f>
        <v>3.9838781898019114E-2</v>
      </c>
    </row>
    <row r="203" spans="1:12" ht="15" thickBot="1" x14ac:dyDescent="0.35">
      <c r="A203" s="50">
        <v>250</v>
      </c>
      <c r="B203" s="243">
        <v>9589</v>
      </c>
      <c r="C203" s="15" t="s">
        <v>1569</v>
      </c>
      <c r="D203" s="15">
        <f t="shared" ref="D203:E203" si="83">+I203</f>
        <v>250</v>
      </c>
      <c r="E203" s="15">
        <f t="shared" si="83"/>
        <v>9059.3000000000011</v>
      </c>
      <c r="F203" s="50" t="s">
        <v>1570</v>
      </c>
      <c r="G203" s="50">
        <v>90301</v>
      </c>
      <c r="I203" s="50">
        <v>250</v>
      </c>
      <c r="J203" s="50">
        <v>9059.3000000000011</v>
      </c>
      <c r="K203" s="54">
        <f t="shared" si="78"/>
        <v>0</v>
      </c>
      <c r="L203" s="53">
        <f t="shared" si="79"/>
        <v>5.5240379601626748E-2</v>
      </c>
    </row>
    <row r="204" spans="1:12" x14ac:dyDescent="0.3">
      <c r="A204" s="873">
        <v>1022</v>
      </c>
      <c r="B204" s="873">
        <v>45326</v>
      </c>
      <c r="C204" s="873" t="s">
        <v>1102</v>
      </c>
      <c r="D204" s="873">
        <f>+I204+I205</f>
        <v>1023</v>
      </c>
      <c r="E204" s="873">
        <f>+J204+J205</f>
        <v>43481.599999999999</v>
      </c>
      <c r="F204" s="39" t="s">
        <v>1103</v>
      </c>
      <c r="G204" s="39">
        <v>90341</v>
      </c>
      <c r="H204" s="40"/>
      <c r="I204" s="39">
        <v>496</v>
      </c>
      <c r="J204" s="41">
        <v>21053.200000000001</v>
      </c>
      <c r="K204" s="877">
        <f t="shared" si="78"/>
        <v>-1</v>
      </c>
      <c r="L204" s="879">
        <f t="shared" si="82"/>
        <v>4.1629616728150243E-2</v>
      </c>
    </row>
    <row r="205" spans="1:12" ht="15" thickBot="1" x14ac:dyDescent="0.35">
      <c r="A205" s="874"/>
      <c r="B205" s="874"/>
      <c r="C205" s="874"/>
      <c r="D205" s="874"/>
      <c r="E205" s="874"/>
      <c r="F205" s="42" t="s">
        <v>1103</v>
      </c>
      <c r="G205" s="42">
        <v>90341</v>
      </c>
      <c r="H205" s="43"/>
      <c r="I205" s="42">
        <v>527</v>
      </c>
      <c r="J205" s="44">
        <v>22428.399999999998</v>
      </c>
      <c r="K205" s="878"/>
      <c r="L205" s="880"/>
    </row>
    <row r="206" spans="1:12" ht="15" thickBot="1" x14ac:dyDescent="0.35">
      <c r="A206" s="177">
        <v>220</v>
      </c>
      <c r="B206" s="210">
        <v>10429</v>
      </c>
      <c r="C206" s="12" t="s">
        <v>1104</v>
      </c>
      <c r="D206" s="12">
        <f>+I206</f>
        <v>215</v>
      </c>
      <c r="E206" s="12">
        <f>+J206</f>
        <v>9421.2999999999993</v>
      </c>
      <c r="F206" s="39" t="s">
        <v>1105</v>
      </c>
      <c r="G206" s="39">
        <v>90351</v>
      </c>
      <c r="H206" s="40"/>
      <c r="I206" s="39">
        <v>215</v>
      </c>
      <c r="J206" s="41">
        <v>9421.2999999999993</v>
      </c>
      <c r="K206" s="54">
        <f t="shared" si="78"/>
        <v>5</v>
      </c>
      <c r="L206" s="31">
        <f t="shared" si="82"/>
        <v>7.5616070572442406E-2</v>
      </c>
    </row>
    <row r="207" spans="1:12" x14ac:dyDescent="0.3">
      <c r="A207" s="871">
        <v>1246</v>
      </c>
      <c r="B207" s="967">
        <v>61010.75</v>
      </c>
      <c r="C207" s="873" t="s">
        <v>1106</v>
      </c>
      <c r="D207" s="873">
        <f>+I207+I208</f>
        <v>1246</v>
      </c>
      <c r="E207" s="873">
        <f>+J207+J208</f>
        <v>56891.5</v>
      </c>
      <c r="F207" s="39" t="s">
        <v>1107</v>
      </c>
      <c r="G207" s="39">
        <v>90401</v>
      </c>
      <c r="H207" s="40"/>
      <c r="I207" s="39">
        <v>300</v>
      </c>
      <c r="J207" s="41">
        <v>13398</v>
      </c>
      <c r="K207" s="877">
        <f t="shared" si="78"/>
        <v>0</v>
      </c>
      <c r="L207" s="879">
        <f t="shared" ref="L207" si="84">(+B207-E207)/B207</f>
        <v>6.7516790073880423E-2</v>
      </c>
    </row>
    <row r="208" spans="1:12" ht="15" thickBot="1" x14ac:dyDescent="0.35">
      <c r="A208" s="872"/>
      <c r="B208" s="968"/>
      <c r="C208" s="874"/>
      <c r="D208" s="874"/>
      <c r="E208" s="874"/>
      <c r="F208" s="42" t="s">
        <v>1107</v>
      </c>
      <c r="G208" s="42">
        <v>90401</v>
      </c>
      <c r="H208" s="43"/>
      <c r="I208" s="42">
        <v>946</v>
      </c>
      <c r="J208" s="44">
        <v>43493.5</v>
      </c>
      <c r="K208" s="878"/>
      <c r="L208" s="880"/>
    </row>
    <row r="209" spans="1:12" ht="15" thickBot="1" x14ac:dyDescent="0.35">
      <c r="A209" s="178">
        <v>477</v>
      </c>
      <c r="B209" s="209">
        <v>21591.25</v>
      </c>
      <c r="C209" s="8" t="s">
        <v>1108</v>
      </c>
      <c r="D209" s="8">
        <f t="shared" ref="D209:E212" si="85">+I209</f>
        <v>477</v>
      </c>
      <c r="E209" s="8">
        <f t="shared" si="85"/>
        <v>20816.5</v>
      </c>
      <c r="F209" s="45" t="s">
        <v>1109</v>
      </c>
      <c r="G209" s="45">
        <v>90411</v>
      </c>
      <c r="H209" s="14"/>
      <c r="I209" s="45">
        <v>477</v>
      </c>
      <c r="J209" s="46">
        <v>20816.5</v>
      </c>
      <c r="K209" s="54">
        <f t="shared" si="78"/>
        <v>0</v>
      </c>
      <c r="L209" s="53">
        <f t="shared" ref="L209" si="86">(+B209-E209)/B209</f>
        <v>3.5882591327505355E-2</v>
      </c>
    </row>
    <row r="210" spans="1:12" ht="15" thickBot="1" x14ac:dyDescent="0.35">
      <c r="A210" s="174">
        <v>717</v>
      </c>
      <c r="B210" s="213">
        <v>33399.5</v>
      </c>
      <c r="C210" s="12" t="s">
        <v>1110</v>
      </c>
      <c r="D210" s="12">
        <f t="shared" si="85"/>
        <v>718</v>
      </c>
      <c r="E210" s="12">
        <f t="shared" si="85"/>
        <v>32044.799999999999</v>
      </c>
      <c r="F210" s="39" t="s">
        <v>1111</v>
      </c>
      <c r="G210" s="39">
        <v>9042</v>
      </c>
      <c r="H210" s="40"/>
      <c r="I210" s="39">
        <v>718</v>
      </c>
      <c r="J210" s="41">
        <v>32044.799999999999</v>
      </c>
      <c r="K210" s="54">
        <f t="shared" si="78"/>
        <v>-1</v>
      </c>
      <c r="L210" s="31">
        <f>((+B210/A210)-(E210/D210))/(B210/A210)</f>
        <v>4.1896754163042067E-2</v>
      </c>
    </row>
    <row r="211" spans="1:12" ht="15" thickBot="1" x14ac:dyDescent="0.35">
      <c r="A211" s="178">
        <v>1027</v>
      </c>
      <c r="B211" s="45">
        <v>49436.75</v>
      </c>
      <c r="C211" s="45" t="s">
        <v>1112</v>
      </c>
      <c r="D211" s="45">
        <f t="shared" si="85"/>
        <v>1027</v>
      </c>
      <c r="E211" s="45">
        <f t="shared" si="85"/>
        <v>46728.3</v>
      </c>
      <c r="F211" s="45" t="s">
        <v>1113</v>
      </c>
      <c r="G211" s="45">
        <v>90501</v>
      </c>
      <c r="H211" s="14"/>
      <c r="I211" s="45">
        <v>1027</v>
      </c>
      <c r="J211" s="46">
        <v>46728.3</v>
      </c>
      <c r="K211" s="54">
        <f t="shared" si="78"/>
        <v>0</v>
      </c>
      <c r="L211" s="53">
        <f t="shared" ref="L211:L215" si="87">(+B211-E211)/B211</f>
        <v>5.4786166161812762E-2</v>
      </c>
    </row>
    <row r="212" spans="1:12" ht="15" thickBot="1" x14ac:dyDescent="0.35">
      <c r="A212" s="178">
        <v>433</v>
      </c>
      <c r="B212" s="45">
        <v>19230.5</v>
      </c>
      <c r="C212" s="45" t="s">
        <v>1114</v>
      </c>
      <c r="D212" s="45">
        <f t="shared" si="85"/>
        <v>433</v>
      </c>
      <c r="E212" s="45">
        <f t="shared" si="85"/>
        <v>18604.8</v>
      </c>
      <c r="F212" s="45" t="s">
        <v>1115</v>
      </c>
      <c r="G212" s="45">
        <v>90511</v>
      </c>
      <c r="H212" s="14"/>
      <c r="I212" s="45">
        <v>433</v>
      </c>
      <c r="J212" s="46">
        <v>18604.8</v>
      </c>
      <c r="K212" s="54">
        <f t="shared" si="78"/>
        <v>0</v>
      </c>
      <c r="L212" s="53">
        <f t="shared" si="87"/>
        <v>3.2536855515977264E-2</v>
      </c>
    </row>
    <row r="213" spans="1:12" ht="15" thickBot="1" x14ac:dyDescent="0.35">
      <c r="A213" s="178">
        <v>649</v>
      </c>
      <c r="B213" s="45">
        <v>28878</v>
      </c>
      <c r="C213" s="45" t="s">
        <v>1116</v>
      </c>
      <c r="D213" s="45">
        <v>649</v>
      </c>
      <c r="E213" s="45">
        <v>27859.4</v>
      </c>
      <c r="F213" s="45" t="s">
        <v>1117</v>
      </c>
      <c r="G213" s="45">
        <v>90521</v>
      </c>
      <c r="H213" s="14"/>
      <c r="I213" s="45">
        <v>600</v>
      </c>
      <c r="J213" s="46">
        <v>25755.599999999999</v>
      </c>
      <c r="K213" s="54">
        <f t="shared" si="78"/>
        <v>0</v>
      </c>
      <c r="L213" s="53">
        <f t="shared" si="87"/>
        <v>3.527252579818542E-2</v>
      </c>
    </row>
    <row r="214" spans="1:12" ht="15" thickBot="1" x14ac:dyDescent="0.35">
      <c r="A214" s="178">
        <v>767</v>
      </c>
      <c r="B214" s="45">
        <v>34739.5</v>
      </c>
      <c r="C214" s="45" t="s">
        <v>1227</v>
      </c>
      <c r="D214" s="45">
        <f>+I214</f>
        <v>763</v>
      </c>
      <c r="E214" s="45">
        <f>+J214</f>
        <v>33235.4</v>
      </c>
      <c r="F214" s="45" t="s">
        <v>1228</v>
      </c>
      <c r="G214" s="45">
        <v>90531</v>
      </c>
      <c r="H214" s="14"/>
      <c r="I214" s="45">
        <v>763</v>
      </c>
      <c r="J214" s="46">
        <v>33235.4</v>
      </c>
      <c r="K214" s="54">
        <f t="shared" si="78"/>
        <v>4</v>
      </c>
      <c r="L214" s="31">
        <f>((+B214/A214)-(E214/D214))/(B214/A214)</f>
        <v>3.8281052213425079E-2</v>
      </c>
    </row>
    <row r="215" spans="1:12" x14ac:dyDescent="0.3">
      <c r="A215" s="873">
        <v>1546</v>
      </c>
      <c r="B215" s="873">
        <v>68621.5</v>
      </c>
      <c r="C215" s="873" t="s">
        <v>1229</v>
      </c>
      <c r="D215" s="873">
        <f>+I215+I216</f>
        <v>1546</v>
      </c>
      <c r="E215" s="873">
        <f>+J215+J216</f>
        <v>66540.5</v>
      </c>
      <c r="F215" s="39" t="s">
        <v>1230</v>
      </c>
      <c r="G215" s="39">
        <v>90601</v>
      </c>
      <c r="H215" s="40"/>
      <c r="I215" s="39">
        <v>200</v>
      </c>
      <c r="J215" s="41">
        <v>8660</v>
      </c>
      <c r="K215" s="877">
        <f t="shared" si="78"/>
        <v>0</v>
      </c>
      <c r="L215" s="879">
        <f t="shared" si="87"/>
        <v>3.0325772534846949E-2</v>
      </c>
    </row>
    <row r="216" spans="1:12" ht="15" thickBot="1" x14ac:dyDescent="0.35">
      <c r="A216" s="881"/>
      <c r="B216" s="881"/>
      <c r="C216" s="881"/>
      <c r="D216" s="881"/>
      <c r="E216" s="881"/>
      <c r="F216" s="50" t="s">
        <v>1230</v>
      </c>
      <c r="G216" s="50">
        <v>90601</v>
      </c>
      <c r="I216" s="50">
        <v>1346</v>
      </c>
      <c r="J216" s="51">
        <v>57880.5</v>
      </c>
      <c r="K216" s="878"/>
      <c r="L216" s="880"/>
    </row>
    <row r="217" spans="1:12" x14ac:dyDescent="0.3">
      <c r="A217" s="871">
        <v>339</v>
      </c>
      <c r="B217" s="873">
        <v>18319</v>
      </c>
      <c r="C217" s="873" t="s">
        <v>1231</v>
      </c>
      <c r="D217" s="873">
        <f>+I217+I218</f>
        <v>340</v>
      </c>
      <c r="E217" s="873">
        <f>+J217+J218</f>
        <v>17032.5</v>
      </c>
      <c r="F217" s="39" t="s">
        <v>1232</v>
      </c>
      <c r="G217" s="39">
        <v>90611</v>
      </c>
      <c r="H217" s="40"/>
      <c r="I217" s="39">
        <v>54</v>
      </c>
      <c r="J217" s="41">
        <v>2772.4</v>
      </c>
      <c r="K217" s="877">
        <f t="shared" si="78"/>
        <v>-1</v>
      </c>
      <c r="L217" s="879">
        <f>((+B217/A217)-(E217/D217))/(B217/A217)</f>
        <v>7.2962257122948501E-2</v>
      </c>
    </row>
    <row r="218" spans="1:12" ht="15" thickBot="1" x14ac:dyDescent="0.35">
      <c r="A218" s="872"/>
      <c r="B218" s="874"/>
      <c r="C218" s="874"/>
      <c r="D218" s="874"/>
      <c r="E218" s="874"/>
      <c r="F218" s="42" t="s">
        <v>1232</v>
      </c>
      <c r="G218" s="42">
        <v>90611</v>
      </c>
      <c r="H218" s="43"/>
      <c r="I218" s="42">
        <v>286</v>
      </c>
      <c r="J218" s="44">
        <v>14260.099999999999</v>
      </c>
      <c r="K218" s="878"/>
      <c r="L218" s="880"/>
    </row>
    <row r="219" spans="1:12" ht="15" thickBot="1" x14ac:dyDescent="0.35">
      <c r="A219" s="178">
        <v>2198</v>
      </c>
      <c r="B219" s="45">
        <v>86179</v>
      </c>
      <c r="C219" s="45" t="s">
        <v>1233</v>
      </c>
      <c r="D219" s="45">
        <f t="shared" ref="D219:E220" si="88">+I219</f>
        <v>2188</v>
      </c>
      <c r="E219" s="45">
        <f t="shared" si="88"/>
        <v>82897.499999999985</v>
      </c>
      <c r="F219" s="45" t="s">
        <v>1234</v>
      </c>
      <c r="G219" s="45">
        <v>90641</v>
      </c>
      <c r="H219" s="14"/>
      <c r="I219" s="45">
        <v>2188</v>
      </c>
      <c r="J219" s="46">
        <v>82897.499999999985</v>
      </c>
      <c r="K219" s="54">
        <f t="shared" si="78"/>
        <v>10</v>
      </c>
      <c r="L219" s="31">
        <f t="shared" ref="L219:L221" si="89">((+B219/A219)-(E219/D219))/(B219/A219)</f>
        <v>3.3681367846393966E-2</v>
      </c>
    </row>
    <row r="220" spans="1:12" ht="15" thickBot="1" x14ac:dyDescent="0.35">
      <c r="A220" s="177">
        <v>438</v>
      </c>
      <c r="B220" s="39">
        <v>19049.3</v>
      </c>
      <c r="C220" s="39" t="s">
        <v>1235</v>
      </c>
      <c r="D220" s="39">
        <f t="shared" si="88"/>
        <v>378</v>
      </c>
      <c r="E220" s="39">
        <f t="shared" si="88"/>
        <v>15653.400000000001</v>
      </c>
      <c r="F220" s="39" t="s">
        <v>1236</v>
      </c>
      <c r="G220" s="39">
        <v>90641</v>
      </c>
      <c r="H220" s="40"/>
      <c r="I220" s="39">
        <v>378</v>
      </c>
      <c r="J220" s="41">
        <v>15653.400000000001</v>
      </c>
      <c r="K220" s="54">
        <f t="shared" si="78"/>
        <v>60</v>
      </c>
      <c r="L220" s="31">
        <f t="shared" si="89"/>
        <v>4.7835528514608469E-2</v>
      </c>
    </row>
    <row r="221" spans="1:12" x14ac:dyDescent="0.3">
      <c r="A221" s="873">
        <v>1354</v>
      </c>
      <c r="B221" s="873">
        <v>59853.3</v>
      </c>
      <c r="C221" s="873" t="s">
        <v>1237</v>
      </c>
      <c r="D221" s="873">
        <f>+I221+I222</f>
        <v>1323</v>
      </c>
      <c r="E221" s="873">
        <f>+J221+J222</f>
        <v>56851.9</v>
      </c>
      <c r="F221" s="39" t="s">
        <v>1238</v>
      </c>
      <c r="G221" s="39">
        <v>90701</v>
      </c>
      <c r="H221" s="40"/>
      <c r="I221" s="39">
        <v>518</v>
      </c>
      <c r="J221" s="41">
        <v>22199.9</v>
      </c>
      <c r="K221" s="877">
        <f t="shared" si="78"/>
        <v>31</v>
      </c>
      <c r="L221" s="879">
        <f t="shared" si="89"/>
        <v>2.7889344650492379E-2</v>
      </c>
    </row>
    <row r="222" spans="1:12" ht="15" thickBot="1" x14ac:dyDescent="0.35">
      <c r="A222" s="874"/>
      <c r="B222" s="874"/>
      <c r="C222" s="874"/>
      <c r="D222" s="874"/>
      <c r="E222" s="874"/>
      <c r="F222" s="42" t="s">
        <v>1238</v>
      </c>
      <c r="G222" s="42">
        <v>90701</v>
      </c>
      <c r="H222" s="43"/>
      <c r="I222" s="42">
        <v>805</v>
      </c>
      <c r="J222" s="44">
        <v>34652</v>
      </c>
      <c r="K222" s="878"/>
      <c r="L222" s="880"/>
    </row>
    <row r="223" spans="1:12" ht="15" thickBot="1" x14ac:dyDescent="0.35">
      <c r="A223" s="178">
        <v>285</v>
      </c>
      <c r="B223" s="45">
        <v>12446.7</v>
      </c>
      <c r="C223" s="45" t="s">
        <v>1373</v>
      </c>
      <c r="D223" s="45">
        <f>+I223</f>
        <v>285</v>
      </c>
      <c r="E223" s="45">
        <f>+J223</f>
        <v>11904.9</v>
      </c>
      <c r="F223" s="45" t="s">
        <v>1374</v>
      </c>
      <c r="G223" s="45">
        <v>90711</v>
      </c>
      <c r="H223" s="14"/>
      <c r="I223" s="45">
        <v>285</v>
      </c>
      <c r="J223" s="46">
        <v>11904.9</v>
      </c>
      <c r="K223" s="54">
        <f t="shared" si="78"/>
        <v>0</v>
      </c>
      <c r="L223" s="53">
        <f t="shared" ref="L223:L225" si="90">(+B223-E223)/B223</f>
        <v>4.3529610258140797E-2</v>
      </c>
    </row>
    <row r="224" spans="1:12" ht="15" thickBot="1" x14ac:dyDescent="0.35">
      <c r="A224" s="177">
        <v>98</v>
      </c>
      <c r="B224" s="39">
        <v>4255.25</v>
      </c>
      <c r="C224" s="39" t="s">
        <v>1239</v>
      </c>
      <c r="D224" s="39">
        <f t="shared" ref="D224:E224" si="91">+I224</f>
        <v>98</v>
      </c>
      <c r="E224" s="39">
        <f t="shared" si="91"/>
        <v>4073.2</v>
      </c>
      <c r="F224" s="39" t="s">
        <v>1240</v>
      </c>
      <c r="G224" s="39">
        <v>90761</v>
      </c>
      <c r="H224" s="40"/>
      <c r="I224" s="39">
        <v>98</v>
      </c>
      <c r="J224" s="41">
        <v>4073.2</v>
      </c>
      <c r="K224" s="54">
        <f t="shared" si="78"/>
        <v>0</v>
      </c>
      <c r="L224" s="53">
        <f t="shared" si="90"/>
        <v>4.2782445214734781E-2</v>
      </c>
    </row>
    <row r="225" spans="1:12" x14ac:dyDescent="0.3">
      <c r="A225" s="873">
        <v>481</v>
      </c>
      <c r="B225" s="873">
        <v>21421</v>
      </c>
      <c r="C225" s="873" t="s">
        <v>1241</v>
      </c>
      <c r="D225" s="873">
        <f>+I225+I226</f>
        <v>481</v>
      </c>
      <c r="E225" s="873">
        <f>+J225+J226</f>
        <v>20676.7</v>
      </c>
      <c r="F225" s="39" t="s">
        <v>1242</v>
      </c>
      <c r="G225" s="39">
        <v>90761</v>
      </c>
      <c r="H225" s="40"/>
      <c r="I225" s="39">
        <v>312</v>
      </c>
      <c r="J225" s="41">
        <v>13460.800000000001</v>
      </c>
      <c r="K225" s="877">
        <f t="shared" si="78"/>
        <v>0</v>
      </c>
      <c r="L225" s="879">
        <f t="shared" si="90"/>
        <v>3.4746277017879613E-2</v>
      </c>
    </row>
    <row r="226" spans="1:12" ht="15" thickBot="1" x14ac:dyDescent="0.35">
      <c r="A226" s="874"/>
      <c r="B226" s="874"/>
      <c r="C226" s="874"/>
      <c r="D226" s="874"/>
      <c r="E226" s="874"/>
      <c r="F226" s="42" t="s">
        <v>1242</v>
      </c>
      <c r="G226" s="42">
        <v>90761</v>
      </c>
      <c r="H226" s="43"/>
      <c r="I226" s="42">
        <v>169</v>
      </c>
      <c r="J226" s="44">
        <v>7215.9</v>
      </c>
      <c r="K226" s="878"/>
      <c r="L226" s="880"/>
    </row>
    <row r="227" spans="1:12" ht="15" thickBot="1" x14ac:dyDescent="0.35">
      <c r="A227" s="178">
        <v>1350</v>
      </c>
      <c r="B227" s="45">
        <v>60211.5</v>
      </c>
      <c r="C227" s="45" t="s">
        <v>1243</v>
      </c>
      <c r="D227" s="45">
        <v>1352</v>
      </c>
      <c r="E227" s="45">
        <v>58641.2</v>
      </c>
      <c r="F227" s="45" t="s">
        <v>1244</v>
      </c>
      <c r="G227" s="45">
        <v>90771</v>
      </c>
      <c r="H227" s="14"/>
      <c r="I227" s="45">
        <v>206</v>
      </c>
      <c r="J227" s="46">
        <v>8719.2000000000007</v>
      </c>
      <c r="K227" s="54">
        <f t="shared" si="78"/>
        <v>-2</v>
      </c>
      <c r="L227" s="31">
        <f>((+B227/A227)-(E227/D227))/(B227/A227)</f>
        <v>2.7520446048979186E-2</v>
      </c>
    </row>
    <row r="228" spans="1:12" x14ac:dyDescent="0.3">
      <c r="A228" s="873">
        <v>1072</v>
      </c>
      <c r="B228" s="873">
        <v>47725.25</v>
      </c>
      <c r="C228" s="873" t="s">
        <v>1291</v>
      </c>
      <c r="D228" s="873">
        <f>+I228+I229</f>
        <v>1066</v>
      </c>
      <c r="E228" s="873">
        <f>+J228+J229</f>
        <v>45698</v>
      </c>
      <c r="F228" s="39" t="s">
        <v>1292</v>
      </c>
      <c r="G228" s="39">
        <v>90791</v>
      </c>
      <c r="H228" s="40"/>
      <c r="I228" s="39">
        <v>630</v>
      </c>
      <c r="J228" s="41">
        <v>26944.699999999997</v>
      </c>
      <c r="K228" s="877">
        <f t="shared" si="78"/>
        <v>6</v>
      </c>
      <c r="L228" s="879">
        <f t="shared" ref="L228" si="92">((+B228/A228)-(E228/D228))/(B228/A228)</f>
        <v>3.7088082147192683E-2</v>
      </c>
    </row>
    <row r="229" spans="1:12" ht="15" thickBot="1" x14ac:dyDescent="0.35">
      <c r="A229" s="874"/>
      <c r="B229" s="874"/>
      <c r="C229" s="874"/>
      <c r="D229" s="874"/>
      <c r="E229" s="874"/>
      <c r="F229" s="42" t="s">
        <v>1292</v>
      </c>
      <c r="G229" s="42">
        <v>90791</v>
      </c>
      <c r="H229" s="43"/>
      <c r="I229" s="42">
        <v>436</v>
      </c>
      <c r="J229" s="44">
        <v>18753.3</v>
      </c>
      <c r="K229" s="878"/>
      <c r="L229" s="880"/>
    </row>
    <row r="230" spans="1:12" ht="15" thickBot="1" x14ac:dyDescent="0.35">
      <c r="A230" s="178">
        <v>355</v>
      </c>
      <c r="B230" s="232">
        <v>14585.25</v>
      </c>
      <c r="C230" s="45" t="s">
        <v>1293</v>
      </c>
      <c r="D230" s="45">
        <f t="shared" ref="D230:E236" si="93">+I230</f>
        <v>355</v>
      </c>
      <c r="E230" s="45">
        <f t="shared" si="93"/>
        <v>14170.2</v>
      </c>
      <c r="F230" s="45" t="s">
        <v>1294</v>
      </c>
      <c r="G230" s="45">
        <v>90801</v>
      </c>
      <c r="H230" s="14"/>
      <c r="I230" s="45">
        <v>355</v>
      </c>
      <c r="J230" s="46">
        <v>14170.2</v>
      </c>
      <c r="K230" s="54">
        <f t="shared" si="78"/>
        <v>0</v>
      </c>
      <c r="L230" s="53">
        <f t="shared" ref="L230:L233" si="94">(+B230-E230)/B230</f>
        <v>2.8456831387874686E-2</v>
      </c>
    </row>
    <row r="231" spans="1:12" ht="15" thickBot="1" x14ac:dyDescent="0.35">
      <c r="A231" s="178">
        <v>297</v>
      </c>
      <c r="B231" s="232">
        <v>12079</v>
      </c>
      <c r="C231" s="45" t="s">
        <v>1295</v>
      </c>
      <c r="D231" s="45">
        <f t="shared" si="93"/>
        <v>297</v>
      </c>
      <c r="E231" s="45">
        <f t="shared" si="93"/>
        <v>11538.3</v>
      </c>
      <c r="F231" s="45" t="s">
        <v>1296</v>
      </c>
      <c r="G231" s="45">
        <v>90811</v>
      </c>
      <c r="H231" s="14"/>
      <c r="I231" s="45">
        <v>297</v>
      </c>
      <c r="J231" s="46">
        <v>11538.3</v>
      </c>
      <c r="K231" s="54">
        <f t="shared" si="78"/>
        <v>0</v>
      </c>
      <c r="L231" s="53">
        <f t="shared" si="94"/>
        <v>4.4763639374120437E-2</v>
      </c>
    </row>
    <row r="232" spans="1:12" ht="15" thickBot="1" x14ac:dyDescent="0.35">
      <c r="A232" s="177">
        <v>443</v>
      </c>
      <c r="B232" s="233">
        <v>19612.900000000001</v>
      </c>
      <c r="C232" s="39" t="s">
        <v>1297</v>
      </c>
      <c r="D232" s="39">
        <f t="shared" si="93"/>
        <v>443</v>
      </c>
      <c r="E232" s="39">
        <f t="shared" si="93"/>
        <v>18858.600000000002</v>
      </c>
      <c r="F232" s="39" t="s">
        <v>1298</v>
      </c>
      <c r="G232" s="39">
        <v>90861</v>
      </c>
      <c r="H232" s="40"/>
      <c r="I232" s="39">
        <v>443</v>
      </c>
      <c r="J232" s="41">
        <v>18858.600000000002</v>
      </c>
      <c r="K232" s="54">
        <f t="shared" si="78"/>
        <v>0</v>
      </c>
      <c r="L232" s="53">
        <f t="shared" si="94"/>
        <v>3.8459381325556097E-2</v>
      </c>
    </row>
    <row r="233" spans="1:12" x14ac:dyDescent="0.3">
      <c r="A233" s="871">
        <v>1518</v>
      </c>
      <c r="B233" s="964">
        <v>71201.25</v>
      </c>
      <c r="C233" s="873" t="s">
        <v>1299</v>
      </c>
      <c r="D233" s="873">
        <f>+I233+I234</f>
        <v>1518</v>
      </c>
      <c r="E233" s="873">
        <f>+J233+J234</f>
        <v>66809</v>
      </c>
      <c r="F233" s="39" t="s">
        <v>1300</v>
      </c>
      <c r="G233" s="39">
        <v>90871</v>
      </c>
      <c r="H233" s="40"/>
      <c r="I233" s="39">
        <v>200</v>
      </c>
      <c r="J233" s="41">
        <v>8546.7999999999993</v>
      </c>
      <c r="K233" s="877">
        <f t="shared" si="78"/>
        <v>0</v>
      </c>
      <c r="L233" s="879">
        <f t="shared" si="94"/>
        <v>6.1687821491897964E-2</v>
      </c>
    </row>
    <row r="234" spans="1:12" ht="15" thickBot="1" x14ac:dyDescent="0.35">
      <c r="A234" s="872"/>
      <c r="B234" s="965"/>
      <c r="C234" s="874"/>
      <c r="D234" s="874"/>
      <c r="E234" s="874"/>
      <c r="F234" s="42" t="s">
        <v>1300</v>
      </c>
      <c r="G234" s="42">
        <v>90871</v>
      </c>
      <c r="H234" s="43"/>
      <c r="I234" s="42">
        <v>1318</v>
      </c>
      <c r="J234" s="44">
        <v>58262.2</v>
      </c>
      <c r="K234" s="878"/>
      <c r="L234" s="880"/>
    </row>
    <row r="235" spans="1:12" ht="15" thickBot="1" x14ac:dyDescent="0.35">
      <c r="A235" s="179">
        <v>712</v>
      </c>
      <c r="B235" s="234">
        <v>34215.25</v>
      </c>
      <c r="C235" s="42" t="s">
        <v>1301</v>
      </c>
      <c r="D235" s="42">
        <f t="shared" si="93"/>
        <v>712</v>
      </c>
      <c r="E235" s="42">
        <f t="shared" si="93"/>
        <v>31925.1</v>
      </c>
      <c r="F235" s="42" t="s">
        <v>1302</v>
      </c>
      <c r="G235" s="42">
        <v>90881</v>
      </c>
      <c r="H235" s="43"/>
      <c r="I235" s="42">
        <v>712</v>
      </c>
      <c r="J235" s="44">
        <v>31925.1</v>
      </c>
      <c r="K235" s="54">
        <f t="shared" si="78"/>
        <v>0</v>
      </c>
      <c r="L235" s="53">
        <f t="shared" ref="L235:L236" si="95">(+B235-E235)/B235</f>
        <v>6.6933604167732266E-2</v>
      </c>
    </row>
    <row r="236" spans="1:12" ht="15" thickBot="1" x14ac:dyDescent="0.35">
      <c r="A236" s="177">
        <v>215</v>
      </c>
      <c r="B236" s="233">
        <v>10021.5</v>
      </c>
      <c r="C236" s="39" t="s">
        <v>1303</v>
      </c>
      <c r="D236" s="39">
        <f t="shared" si="93"/>
        <v>215</v>
      </c>
      <c r="E236" s="39">
        <f t="shared" si="93"/>
        <v>8701</v>
      </c>
      <c r="F236" s="39" t="s">
        <v>1304</v>
      </c>
      <c r="G236" s="39">
        <v>9093</v>
      </c>
      <c r="H236" s="40"/>
      <c r="I236" s="39">
        <v>215</v>
      </c>
      <c r="J236" s="41">
        <v>8701</v>
      </c>
      <c r="K236" s="54">
        <f t="shared" si="78"/>
        <v>0</v>
      </c>
      <c r="L236" s="53">
        <f t="shared" si="95"/>
        <v>0.13176670159157811</v>
      </c>
    </row>
    <row r="237" spans="1:12" x14ac:dyDescent="0.3">
      <c r="A237" s="871">
        <v>2059</v>
      </c>
      <c r="B237" s="964">
        <v>90125.1</v>
      </c>
      <c r="C237" s="873" t="s">
        <v>1305</v>
      </c>
      <c r="D237" s="873">
        <f>+I237+I238</f>
        <v>2057</v>
      </c>
      <c r="E237" s="873">
        <f>+J237+J238</f>
        <v>86011</v>
      </c>
      <c r="F237" s="39" t="s">
        <v>1306</v>
      </c>
      <c r="G237" s="39">
        <v>90941</v>
      </c>
      <c r="H237" s="40"/>
      <c r="I237" s="39">
        <v>73</v>
      </c>
      <c r="J237" s="41">
        <v>2942</v>
      </c>
      <c r="K237" s="877">
        <f t="shared" si="78"/>
        <v>2</v>
      </c>
      <c r="L237" s="879">
        <f t="shared" ref="L237" si="96">((+B237/A237)-(E237/D237))/(B237/A237)</f>
        <v>4.4720864520220519E-2</v>
      </c>
    </row>
    <row r="238" spans="1:12" ht="15" thickBot="1" x14ac:dyDescent="0.35">
      <c r="A238" s="872"/>
      <c r="B238" s="965"/>
      <c r="C238" s="874"/>
      <c r="D238" s="874"/>
      <c r="E238" s="874"/>
      <c r="F238" s="42" t="s">
        <v>1306</v>
      </c>
      <c r="G238" s="42">
        <v>90941</v>
      </c>
      <c r="H238" s="43"/>
      <c r="I238" s="42">
        <v>1984</v>
      </c>
      <c r="J238" s="44">
        <v>83069</v>
      </c>
      <c r="K238" s="878"/>
      <c r="L238" s="880"/>
    </row>
    <row r="239" spans="1:12" ht="15" thickBot="1" x14ac:dyDescent="0.35">
      <c r="A239" s="178">
        <v>186</v>
      </c>
      <c r="B239" s="232">
        <v>6939.25</v>
      </c>
      <c r="C239" s="45" t="s">
        <v>1393</v>
      </c>
      <c r="D239" s="45">
        <f t="shared" ref="D239:E241" si="97">+I239</f>
        <v>187</v>
      </c>
      <c r="E239" s="45">
        <f t="shared" si="97"/>
        <v>6698.7</v>
      </c>
      <c r="F239" s="45" t="s">
        <v>1394</v>
      </c>
      <c r="G239" s="45">
        <v>90951</v>
      </c>
      <c r="H239" s="14"/>
      <c r="I239" s="45">
        <v>187</v>
      </c>
      <c r="J239" s="46">
        <v>6698.7</v>
      </c>
      <c r="K239" s="54">
        <f t="shared" si="78"/>
        <v>-1</v>
      </c>
      <c r="L239" s="31">
        <f>((+B239/A239)-(E239/D239))/(B239/A239)</f>
        <v>3.9827348075611863E-2</v>
      </c>
    </row>
    <row r="240" spans="1:12" ht="15" thickBot="1" x14ac:dyDescent="0.35">
      <c r="A240" s="178">
        <v>281</v>
      </c>
      <c r="B240" s="232">
        <v>13720.5</v>
      </c>
      <c r="C240" s="45" t="s">
        <v>1395</v>
      </c>
      <c r="D240" s="45">
        <f t="shared" si="97"/>
        <v>281</v>
      </c>
      <c r="E240" s="45">
        <f t="shared" si="97"/>
        <v>12760.7</v>
      </c>
      <c r="F240" s="45" t="s">
        <v>1396</v>
      </c>
      <c r="G240" s="45">
        <v>90981</v>
      </c>
      <c r="H240" s="14"/>
      <c r="I240" s="45">
        <v>281</v>
      </c>
      <c r="J240" s="46">
        <v>12760.7</v>
      </c>
      <c r="K240" s="54">
        <f t="shared" si="78"/>
        <v>0</v>
      </c>
      <c r="L240" s="53">
        <f t="shared" ref="L240:L242" si="98">(+B240-E240)/B240</f>
        <v>6.9953718887795585E-2</v>
      </c>
    </row>
    <row r="241" spans="1:12" ht="15" thickBot="1" x14ac:dyDescent="0.35">
      <c r="A241" s="178">
        <v>455</v>
      </c>
      <c r="B241" s="232">
        <v>21795.25</v>
      </c>
      <c r="C241" s="45" t="s">
        <v>1397</v>
      </c>
      <c r="D241" s="45">
        <f t="shared" si="97"/>
        <v>455</v>
      </c>
      <c r="E241" s="45">
        <f t="shared" si="97"/>
        <v>20469</v>
      </c>
      <c r="F241" s="45" t="s">
        <v>1398</v>
      </c>
      <c r="G241" s="45">
        <v>90991</v>
      </c>
      <c r="H241" s="14"/>
      <c r="I241" s="45">
        <v>455</v>
      </c>
      <c r="J241" s="46">
        <v>20469</v>
      </c>
      <c r="K241" s="54">
        <f t="shared" si="78"/>
        <v>0</v>
      </c>
      <c r="L241" s="53">
        <f t="shared" si="98"/>
        <v>6.0850414654569231E-2</v>
      </c>
    </row>
    <row r="242" spans="1:12" x14ac:dyDescent="0.3">
      <c r="A242" s="871">
        <v>1250</v>
      </c>
      <c r="B242" s="964">
        <v>58059.5</v>
      </c>
      <c r="C242" s="873" t="s">
        <v>1399</v>
      </c>
      <c r="D242" s="873">
        <f>+I242+I243</f>
        <v>1250</v>
      </c>
      <c r="E242" s="873">
        <f>+J242+J243</f>
        <v>55132.1</v>
      </c>
      <c r="F242" s="39" t="s">
        <v>1400</v>
      </c>
      <c r="G242" s="39">
        <v>91031</v>
      </c>
      <c r="H242" s="40"/>
      <c r="I242" s="39">
        <v>271</v>
      </c>
      <c r="J242" s="41">
        <v>11647</v>
      </c>
      <c r="K242" s="877">
        <f t="shared" si="78"/>
        <v>0</v>
      </c>
      <c r="L242" s="879">
        <f t="shared" si="98"/>
        <v>5.04206891206435E-2</v>
      </c>
    </row>
    <row r="243" spans="1:12" ht="15" thickBot="1" x14ac:dyDescent="0.35">
      <c r="A243" s="872"/>
      <c r="B243" s="965"/>
      <c r="C243" s="874"/>
      <c r="D243" s="874"/>
      <c r="E243" s="874"/>
      <c r="F243" s="42" t="s">
        <v>1400</v>
      </c>
      <c r="G243" s="42">
        <v>91031</v>
      </c>
      <c r="H243" s="43"/>
      <c r="I243" s="42">
        <v>979</v>
      </c>
      <c r="J243" s="44">
        <v>43485.1</v>
      </c>
      <c r="K243" s="878"/>
      <c r="L243" s="880"/>
    </row>
    <row r="244" spans="1:12" ht="15" thickBot="1" x14ac:dyDescent="0.35">
      <c r="A244" s="178">
        <v>981</v>
      </c>
      <c r="B244" s="232">
        <v>46993.5</v>
      </c>
      <c r="C244" s="45" t="s">
        <v>1401</v>
      </c>
      <c r="D244" s="45">
        <f>+I244</f>
        <v>979</v>
      </c>
      <c r="E244" s="45">
        <f>+J244</f>
        <v>44667.199999999997</v>
      </c>
      <c r="F244" s="45" t="s">
        <v>1402</v>
      </c>
      <c r="G244" s="45">
        <v>91041</v>
      </c>
      <c r="H244" s="14"/>
      <c r="I244" s="45">
        <v>979</v>
      </c>
      <c r="J244" s="46">
        <v>44667.199999999997</v>
      </c>
      <c r="K244" s="54">
        <f t="shared" ref="K244:K245" si="99">+A244-D244</f>
        <v>2</v>
      </c>
      <c r="L244" s="31">
        <f t="shared" ref="L244:L245" si="100">((+B244/A244)-(E244/D244))/(B244/A244)</f>
        <v>4.7560818752746807E-2</v>
      </c>
    </row>
    <row r="245" spans="1:12" x14ac:dyDescent="0.3">
      <c r="A245" s="871">
        <v>2451</v>
      </c>
      <c r="B245" s="964">
        <v>109307.25</v>
      </c>
      <c r="C245" s="873" t="s">
        <v>1403</v>
      </c>
      <c r="D245" s="873">
        <f>+I245+I246</f>
        <v>2453</v>
      </c>
      <c r="E245" s="873">
        <f>+J245+J246</f>
        <v>107502.1</v>
      </c>
      <c r="F245" s="39" t="s">
        <v>1404</v>
      </c>
      <c r="G245" s="39">
        <v>91101</v>
      </c>
      <c r="H245" s="40"/>
      <c r="I245" s="39">
        <v>1502</v>
      </c>
      <c r="J245" s="41">
        <v>65559.199999999997</v>
      </c>
      <c r="K245" s="877">
        <f t="shared" si="99"/>
        <v>-2</v>
      </c>
      <c r="L245" s="879">
        <f t="shared" si="100"/>
        <v>1.7316321565311408E-2</v>
      </c>
    </row>
    <row r="246" spans="1:12" ht="15" thickBot="1" x14ac:dyDescent="0.35">
      <c r="A246" s="872"/>
      <c r="B246" s="965"/>
      <c r="C246" s="874"/>
      <c r="D246" s="874"/>
      <c r="E246" s="874"/>
      <c r="F246" s="42" t="s">
        <v>1404</v>
      </c>
      <c r="G246" s="42">
        <v>91101</v>
      </c>
      <c r="H246" s="43"/>
      <c r="I246" s="42">
        <v>951</v>
      </c>
      <c r="J246" s="44">
        <v>41942.9</v>
      </c>
      <c r="K246" s="878"/>
      <c r="L246" s="880"/>
    </row>
    <row r="247" spans="1:12" x14ac:dyDescent="0.3">
      <c r="A247" s="882">
        <v>1437</v>
      </c>
      <c r="B247" s="964">
        <v>66137</v>
      </c>
      <c r="C247" s="873" t="s">
        <v>1423</v>
      </c>
      <c r="D247" s="873">
        <f>+I247+I248</f>
        <v>1436</v>
      </c>
      <c r="E247" s="873">
        <f>+J247+J248</f>
        <v>63013</v>
      </c>
      <c r="F247" s="39" t="s">
        <v>1424</v>
      </c>
      <c r="G247" s="39">
        <v>91181</v>
      </c>
      <c r="H247" s="40"/>
      <c r="I247" s="39">
        <v>681</v>
      </c>
      <c r="J247" s="41">
        <v>30364.7</v>
      </c>
      <c r="K247" s="877">
        <f t="shared" ref="K247" si="101">+A247-D247</f>
        <v>1</v>
      </c>
      <c r="L247" s="879">
        <f t="shared" ref="L247" si="102">((+B247/A247)-(E247/D247))/(B247/A247)</f>
        <v>4.6571799155993583E-2</v>
      </c>
    </row>
    <row r="248" spans="1:12" ht="15" thickBot="1" x14ac:dyDescent="0.35">
      <c r="A248" s="884"/>
      <c r="B248" s="965"/>
      <c r="C248" s="874"/>
      <c r="D248" s="874"/>
      <c r="E248" s="874"/>
      <c r="F248" s="42" t="s">
        <v>1424</v>
      </c>
      <c r="G248" s="42">
        <v>91181</v>
      </c>
      <c r="H248" s="43"/>
      <c r="I248" s="42">
        <v>755</v>
      </c>
      <c r="J248" s="44">
        <v>32648.3</v>
      </c>
      <c r="K248" s="878"/>
      <c r="L248" s="880"/>
    </row>
    <row r="249" spans="1:12" ht="15" thickBot="1" x14ac:dyDescent="0.35">
      <c r="A249" s="236">
        <v>1325</v>
      </c>
      <c r="B249" s="233">
        <v>62112.25</v>
      </c>
      <c r="C249" s="39" t="s">
        <v>1425</v>
      </c>
      <c r="D249" s="39">
        <f>+I249</f>
        <v>1325</v>
      </c>
      <c r="E249" s="39">
        <f>+J249</f>
        <v>58526.400000000001</v>
      </c>
      <c r="F249" s="39" t="s">
        <v>1426</v>
      </c>
      <c r="G249" s="39">
        <v>91211</v>
      </c>
      <c r="H249" s="40"/>
      <c r="I249" s="39">
        <v>1325</v>
      </c>
      <c r="J249" s="41">
        <v>58526.400000000001</v>
      </c>
      <c r="K249" s="54">
        <f t="shared" ref="K249" si="103">+A249-D249</f>
        <v>0</v>
      </c>
      <c r="L249" s="53">
        <f t="shared" ref="L249" si="104">(+B249-E249)/B249</f>
        <v>5.7731767887976987E-2</v>
      </c>
    </row>
    <row r="250" spans="1:12" x14ac:dyDescent="0.3">
      <c r="A250" s="882">
        <v>1000</v>
      </c>
      <c r="B250" s="964">
        <v>42430.3</v>
      </c>
      <c r="C250" s="873" t="s">
        <v>1427</v>
      </c>
      <c r="D250" s="873">
        <f>+I250+I251</f>
        <v>998</v>
      </c>
      <c r="E250" s="873">
        <f>+J250+J251</f>
        <v>40809</v>
      </c>
      <c r="F250" s="39" t="s">
        <v>1428</v>
      </c>
      <c r="G250" s="39">
        <v>91221</v>
      </c>
      <c r="H250" s="40"/>
      <c r="I250" s="39">
        <v>251</v>
      </c>
      <c r="J250" s="41">
        <v>10233.299999999999</v>
      </c>
      <c r="K250" s="877">
        <f t="shared" ref="K250" si="105">+A250-D250</f>
        <v>2</v>
      </c>
      <c r="L250" s="879">
        <f t="shared" ref="L250" si="106">((+B250/A250)-(E250/D250))/(B250/A250)</f>
        <v>3.6283468108256334E-2</v>
      </c>
    </row>
    <row r="251" spans="1:12" ht="15" thickBot="1" x14ac:dyDescent="0.35">
      <c r="A251" s="884"/>
      <c r="B251" s="965"/>
      <c r="C251" s="874"/>
      <c r="D251" s="874"/>
      <c r="E251" s="874"/>
      <c r="F251" s="42" t="s">
        <v>1428</v>
      </c>
      <c r="G251" s="42">
        <v>91221</v>
      </c>
      <c r="H251" s="43"/>
      <c r="I251" s="42">
        <v>747</v>
      </c>
      <c r="J251" s="44">
        <v>30575.7</v>
      </c>
      <c r="K251" s="878"/>
      <c r="L251" s="880"/>
    </row>
    <row r="252" spans="1:12" ht="15" thickBot="1" x14ac:dyDescent="0.35">
      <c r="A252" s="236">
        <v>329</v>
      </c>
      <c r="B252" s="237">
        <v>13409.5</v>
      </c>
      <c r="C252" s="39" t="s">
        <v>1429</v>
      </c>
      <c r="D252" s="39">
        <f>+I252</f>
        <v>329</v>
      </c>
      <c r="E252" s="39">
        <f>+J252</f>
        <v>12923.4</v>
      </c>
      <c r="F252" s="39" t="s">
        <v>1430</v>
      </c>
      <c r="G252" s="39">
        <v>91251</v>
      </c>
      <c r="H252" s="40"/>
      <c r="I252" s="39">
        <v>329</v>
      </c>
      <c r="J252" s="41">
        <v>12923.4</v>
      </c>
      <c r="K252" s="54">
        <f t="shared" ref="K252" si="107">+A252-D252</f>
        <v>0</v>
      </c>
      <c r="L252" s="53">
        <f t="shared" ref="L252" si="108">(+B252-E252)/B252</f>
        <v>3.6250419478727793E-2</v>
      </c>
    </row>
    <row r="253" spans="1:12" x14ac:dyDescent="0.3">
      <c r="A253" s="882">
        <v>1841</v>
      </c>
      <c r="B253" s="964">
        <v>82336.5</v>
      </c>
      <c r="C253" s="873" t="s">
        <v>1431</v>
      </c>
      <c r="D253" s="873">
        <f>+I253+I254</f>
        <v>1844</v>
      </c>
      <c r="E253" s="873">
        <f>+J253+J254</f>
        <v>79947.899999999994</v>
      </c>
      <c r="F253" s="39" t="s">
        <v>1432</v>
      </c>
      <c r="G253" s="39">
        <v>91261</v>
      </c>
      <c r="H253" s="40"/>
      <c r="I253" s="39">
        <v>1300</v>
      </c>
      <c r="J253" s="41">
        <v>56151.199999999997</v>
      </c>
      <c r="K253" s="877">
        <f t="shared" ref="K253" si="109">+A253-D253</f>
        <v>-3</v>
      </c>
      <c r="L253" s="879">
        <f t="shared" ref="L253" si="110">((+B253/A253)-(E253/D253))/(B253/A253)</f>
        <v>3.0589921631712518E-2</v>
      </c>
    </row>
    <row r="254" spans="1:12" ht="15" thickBot="1" x14ac:dyDescent="0.35">
      <c r="A254" s="884"/>
      <c r="B254" s="965"/>
      <c r="C254" s="874"/>
      <c r="D254" s="874"/>
      <c r="E254" s="874"/>
      <c r="F254" s="42" t="s">
        <v>1432</v>
      </c>
      <c r="G254" s="42">
        <v>91261</v>
      </c>
      <c r="H254" s="43"/>
      <c r="I254" s="42">
        <v>544</v>
      </c>
      <c r="J254" s="44">
        <v>23796.7</v>
      </c>
      <c r="K254" s="878"/>
      <c r="L254" s="880"/>
    </row>
    <row r="255" spans="1:12" ht="15" thickBot="1" x14ac:dyDescent="0.35">
      <c r="A255" s="178">
        <v>682</v>
      </c>
      <c r="B255" s="195">
        <v>30360.25</v>
      </c>
      <c r="C255" s="45" t="s">
        <v>1490</v>
      </c>
      <c r="D255" s="45">
        <f>+I255</f>
        <v>682</v>
      </c>
      <c r="E255" s="45">
        <f>+J255</f>
        <v>29281.9</v>
      </c>
      <c r="F255" s="45" t="s">
        <v>1491</v>
      </c>
      <c r="G255" s="45">
        <v>91321</v>
      </c>
      <c r="H255" s="14"/>
      <c r="I255" s="45">
        <v>682</v>
      </c>
      <c r="J255" s="46">
        <v>29281.9</v>
      </c>
      <c r="K255" s="54">
        <f t="shared" ref="K255:K256" si="111">+A255-D255</f>
        <v>0</v>
      </c>
      <c r="L255" s="53">
        <f t="shared" ref="L255" si="112">(+B255-E255)/B255</f>
        <v>3.5518482225936829E-2</v>
      </c>
    </row>
    <row r="256" spans="1:12" x14ac:dyDescent="0.3">
      <c r="A256" s="871">
        <v>1710</v>
      </c>
      <c r="B256" s="964">
        <v>75097.5</v>
      </c>
      <c r="C256" s="873" t="s">
        <v>1492</v>
      </c>
      <c r="D256" s="873">
        <f>+I256+I257+I258</f>
        <v>1703</v>
      </c>
      <c r="E256" s="873">
        <f>+J256+J257+J258</f>
        <v>72036.2</v>
      </c>
      <c r="F256" s="39" t="s">
        <v>1493</v>
      </c>
      <c r="G256" s="39">
        <v>91331</v>
      </c>
      <c r="H256" s="40"/>
      <c r="I256" s="39">
        <v>750</v>
      </c>
      <c r="J256" s="41">
        <v>32123.599999999999</v>
      </c>
      <c r="K256" s="882">
        <f t="shared" si="111"/>
        <v>7</v>
      </c>
      <c r="L256" s="879">
        <f t="shared" ref="L256" si="113">((+B256/A256)-(E256/D256))/(B256/A256)</f>
        <v>3.6821503742140556E-2</v>
      </c>
    </row>
    <row r="257" spans="1:12" x14ac:dyDescent="0.3">
      <c r="A257" s="875"/>
      <c r="B257" s="966"/>
      <c r="C257" s="881"/>
      <c r="D257" s="881"/>
      <c r="E257" s="881"/>
      <c r="F257" s="50" t="s">
        <v>1493</v>
      </c>
      <c r="G257" s="50">
        <v>91331</v>
      </c>
      <c r="I257" s="50">
        <v>833</v>
      </c>
      <c r="J257" s="51">
        <v>34791.4</v>
      </c>
      <c r="K257" s="883"/>
      <c r="L257" s="885"/>
    </row>
    <row r="258" spans="1:12" ht="15" thickBot="1" x14ac:dyDescent="0.35">
      <c r="A258" s="872"/>
      <c r="B258" s="965"/>
      <c r="C258" s="874"/>
      <c r="D258" s="874"/>
      <c r="E258" s="874"/>
      <c r="F258" s="42" t="s">
        <v>1493</v>
      </c>
      <c r="G258" s="42">
        <v>91331</v>
      </c>
      <c r="H258" s="43"/>
      <c r="I258" s="42">
        <v>120</v>
      </c>
      <c r="J258" s="44">
        <v>5121.2</v>
      </c>
      <c r="K258" s="884"/>
      <c r="L258" s="880"/>
    </row>
    <row r="259" spans="1:12" ht="15" thickBot="1" x14ac:dyDescent="0.35">
      <c r="A259" s="178">
        <v>665</v>
      </c>
      <c r="B259" s="195">
        <v>30933.5</v>
      </c>
      <c r="C259" s="45" t="s">
        <v>1494</v>
      </c>
      <c r="D259" s="45">
        <f>+I259</f>
        <v>655</v>
      </c>
      <c r="E259" s="45">
        <f>+J259</f>
        <v>29201.8</v>
      </c>
      <c r="F259" s="45" t="s">
        <v>1495</v>
      </c>
      <c r="G259" s="45">
        <v>91341</v>
      </c>
      <c r="H259" s="14"/>
      <c r="I259" s="45">
        <v>655</v>
      </c>
      <c r="J259" s="46">
        <v>29201.8</v>
      </c>
      <c r="K259" s="54">
        <f t="shared" ref="K259:K262" si="114">+A259-D259</f>
        <v>10</v>
      </c>
      <c r="L259" s="31">
        <f t="shared" ref="L259" si="115">((+B259/A259)-(E259/D259))/(B259/A259)</f>
        <v>4.1568881386406721E-2</v>
      </c>
    </row>
    <row r="260" spans="1:12" ht="15" thickBot="1" x14ac:dyDescent="0.35">
      <c r="A260" s="178">
        <v>466</v>
      </c>
      <c r="B260" s="195">
        <v>21175.25</v>
      </c>
      <c r="C260" s="45" t="s">
        <v>1496</v>
      </c>
      <c r="D260" s="45">
        <f t="shared" ref="D260:E261" si="116">+I260</f>
        <v>466</v>
      </c>
      <c r="E260" s="45">
        <f t="shared" si="116"/>
        <v>20464.3</v>
      </c>
      <c r="F260" s="45" t="s">
        <v>1497</v>
      </c>
      <c r="G260" s="45">
        <v>91381</v>
      </c>
      <c r="H260" s="14"/>
      <c r="I260" s="45">
        <v>466</v>
      </c>
      <c r="J260" s="46">
        <v>20464.3</v>
      </c>
      <c r="K260" s="54">
        <f t="shared" si="114"/>
        <v>0</v>
      </c>
      <c r="L260" s="53">
        <f t="shared" ref="L260:L262" si="117">(+B260-E260)/B260</f>
        <v>3.3574574090034393E-2</v>
      </c>
    </row>
    <row r="261" spans="1:12" ht="15" thickBot="1" x14ac:dyDescent="0.35">
      <c r="A261" s="177">
        <v>103</v>
      </c>
      <c r="B261" s="237">
        <v>4861.75</v>
      </c>
      <c r="C261" s="39" t="s">
        <v>1498</v>
      </c>
      <c r="D261" s="39">
        <f t="shared" si="116"/>
        <v>103</v>
      </c>
      <c r="E261" s="39">
        <f t="shared" si="116"/>
        <v>4697.5</v>
      </c>
      <c r="F261" s="39" t="s">
        <v>1499</v>
      </c>
      <c r="G261" s="39">
        <v>91391</v>
      </c>
      <c r="H261" s="40"/>
      <c r="I261" s="39">
        <v>103</v>
      </c>
      <c r="J261" s="41">
        <v>4697.5</v>
      </c>
      <c r="K261" s="54">
        <f t="shared" si="114"/>
        <v>0</v>
      </c>
      <c r="L261" s="53">
        <f t="shared" si="117"/>
        <v>3.3784131228467115E-2</v>
      </c>
    </row>
    <row r="262" spans="1:12" x14ac:dyDescent="0.3">
      <c r="A262" s="871">
        <v>192</v>
      </c>
      <c r="B262" s="873">
        <v>8396.5</v>
      </c>
      <c r="C262" s="873" t="s">
        <v>1500</v>
      </c>
      <c r="D262" s="873">
        <f>+I262+I263</f>
        <v>192</v>
      </c>
      <c r="E262" s="873">
        <f>+J262+J263</f>
        <v>8085.3</v>
      </c>
      <c r="F262" s="39" t="s">
        <v>1501</v>
      </c>
      <c r="G262" s="39">
        <v>91401</v>
      </c>
      <c r="H262" s="40"/>
      <c r="I262" s="39">
        <v>118</v>
      </c>
      <c r="J262" s="41">
        <v>5249.8</v>
      </c>
      <c r="K262" s="882">
        <f t="shared" si="114"/>
        <v>0</v>
      </c>
      <c r="L262" s="879">
        <f t="shared" si="117"/>
        <v>3.7063061990114908E-2</v>
      </c>
    </row>
    <row r="263" spans="1:12" ht="15" thickBot="1" x14ac:dyDescent="0.35">
      <c r="A263" s="872"/>
      <c r="B263" s="874"/>
      <c r="C263" s="874"/>
      <c r="D263" s="874"/>
      <c r="E263" s="874"/>
      <c r="F263" s="42" t="s">
        <v>1501</v>
      </c>
      <c r="G263" s="42">
        <v>91401</v>
      </c>
      <c r="H263" s="43"/>
      <c r="I263" s="42">
        <v>74</v>
      </c>
      <c r="J263" s="44">
        <v>2835.5</v>
      </c>
      <c r="K263" s="884"/>
      <c r="L263" s="880"/>
    </row>
    <row r="264" spans="1:12" ht="15" thickBot="1" x14ac:dyDescent="0.35">
      <c r="A264" s="212">
        <v>368</v>
      </c>
      <c r="B264" s="241">
        <v>16643.5</v>
      </c>
      <c r="C264" s="50" t="s">
        <v>1502</v>
      </c>
      <c r="D264" s="50">
        <f t="shared" ref="D264:E267" si="118">+I264</f>
        <v>368</v>
      </c>
      <c r="E264" s="50">
        <f t="shared" si="118"/>
        <v>16086.5</v>
      </c>
      <c r="F264" s="50" t="s">
        <v>1503</v>
      </c>
      <c r="G264" s="50">
        <v>91411</v>
      </c>
      <c r="I264" s="50">
        <v>368</v>
      </c>
      <c r="J264" s="51">
        <v>16086.5</v>
      </c>
      <c r="K264" s="54">
        <f t="shared" ref="K264:K265" si="119">+A264-D264</f>
        <v>0</v>
      </c>
      <c r="L264" s="53">
        <f t="shared" ref="L264" si="120">(+B264-E264)/B264</f>
        <v>3.3466518460660316E-2</v>
      </c>
    </row>
    <row r="265" spans="1:12" x14ac:dyDescent="0.3">
      <c r="A265" s="871">
        <v>1791</v>
      </c>
      <c r="B265" s="964">
        <v>71295.5</v>
      </c>
      <c r="C265" s="873" t="s">
        <v>1504</v>
      </c>
      <c r="D265" s="873">
        <f>+I265+I266</f>
        <v>1784</v>
      </c>
      <c r="E265" s="873">
        <f>+J265+J266</f>
        <v>67248</v>
      </c>
      <c r="F265" s="39" t="s">
        <v>1505</v>
      </c>
      <c r="G265" s="39">
        <v>91451</v>
      </c>
      <c r="H265" s="40"/>
      <c r="I265" s="39">
        <v>754</v>
      </c>
      <c r="J265" s="41">
        <v>28712.3</v>
      </c>
      <c r="K265" s="882">
        <f t="shared" si="119"/>
        <v>7</v>
      </c>
      <c r="L265" s="879">
        <f t="shared" ref="L265" si="121">((+B265/A265)-(E265/D265))/(B265/A265)</f>
        <v>5.3069752356712289E-2</v>
      </c>
    </row>
    <row r="266" spans="1:12" ht="15" thickBot="1" x14ac:dyDescent="0.35">
      <c r="A266" s="872"/>
      <c r="B266" s="965"/>
      <c r="C266" s="874"/>
      <c r="D266" s="874"/>
      <c r="E266" s="874"/>
      <c r="F266" s="42" t="s">
        <v>1505</v>
      </c>
      <c r="G266" s="42">
        <v>91451</v>
      </c>
      <c r="H266" s="43"/>
      <c r="I266" s="42">
        <v>1030</v>
      </c>
      <c r="J266" s="44">
        <v>38535.700000000004</v>
      </c>
      <c r="K266" s="884"/>
      <c r="L266" s="880"/>
    </row>
    <row r="267" spans="1:12" ht="15" thickBot="1" x14ac:dyDescent="0.35">
      <c r="A267" s="212">
        <v>518</v>
      </c>
      <c r="B267" s="241">
        <v>20304</v>
      </c>
      <c r="C267" s="50" t="s">
        <v>1506</v>
      </c>
      <c r="D267" s="50">
        <f>+I267</f>
        <v>518</v>
      </c>
      <c r="E267" s="50">
        <f t="shared" si="118"/>
        <v>19323.7</v>
      </c>
      <c r="F267" s="50" t="s">
        <v>1507</v>
      </c>
      <c r="G267" s="50">
        <v>91461</v>
      </c>
      <c r="I267" s="50">
        <v>518</v>
      </c>
      <c r="J267" s="51">
        <v>19323.7</v>
      </c>
      <c r="K267" s="54">
        <f t="shared" ref="K267:K270" si="122">+A267-D267</f>
        <v>0</v>
      </c>
      <c r="L267" s="53">
        <f t="shared" ref="L267" si="123">(+B267-E267)/B267</f>
        <v>4.8281126871552366E-2</v>
      </c>
    </row>
    <row r="268" spans="1:12" x14ac:dyDescent="0.3">
      <c r="A268" s="871">
        <v>838</v>
      </c>
      <c r="B268" s="964">
        <v>38594.75</v>
      </c>
      <c r="C268" s="873" t="s">
        <v>1508</v>
      </c>
      <c r="D268" s="873">
        <f>+I268+I269</f>
        <v>836</v>
      </c>
      <c r="E268" s="873">
        <f>+J268+J269</f>
        <v>36761</v>
      </c>
      <c r="F268" s="39" t="s">
        <v>1509</v>
      </c>
      <c r="G268" s="39">
        <v>91481</v>
      </c>
      <c r="H268" s="40"/>
      <c r="I268" s="39">
        <v>200</v>
      </c>
      <c r="J268" s="41">
        <v>8754.2000000000007</v>
      </c>
      <c r="K268" s="882">
        <f t="shared" si="122"/>
        <v>2</v>
      </c>
      <c r="L268" s="879">
        <f t="shared" ref="L268" si="124">((+B268/A268)-(E268/D268))/(B268/A268)</f>
        <v>4.5234261756416219E-2</v>
      </c>
    </row>
    <row r="269" spans="1:12" ht="15" thickBot="1" x14ac:dyDescent="0.35">
      <c r="A269" s="872"/>
      <c r="B269" s="965"/>
      <c r="C269" s="874"/>
      <c r="D269" s="874"/>
      <c r="E269" s="874"/>
      <c r="F269" s="42" t="s">
        <v>1509</v>
      </c>
      <c r="G269" s="42">
        <v>91481</v>
      </c>
      <c r="H269" s="43"/>
      <c r="I269" s="42">
        <v>636</v>
      </c>
      <c r="J269" s="44">
        <v>28006.800000000003</v>
      </c>
      <c r="K269" s="884"/>
      <c r="L269" s="880"/>
    </row>
    <row r="270" spans="1:12" ht="15" thickBot="1" x14ac:dyDescent="0.35">
      <c r="A270" s="175">
        <v>600</v>
      </c>
      <c r="B270" s="242">
        <v>27078</v>
      </c>
      <c r="C270" s="8" t="s">
        <v>1588</v>
      </c>
      <c r="D270" s="8">
        <f>+I270</f>
        <v>601</v>
      </c>
      <c r="E270" s="8">
        <f>+J270</f>
        <v>25763</v>
      </c>
      <c r="F270" s="45" t="s">
        <v>1589</v>
      </c>
      <c r="G270" s="45">
        <v>91501</v>
      </c>
      <c r="H270" s="14"/>
      <c r="I270" s="45">
        <v>601</v>
      </c>
      <c r="J270" s="46">
        <v>25763</v>
      </c>
      <c r="K270" s="54">
        <f t="shared" si="122"/>
        <v>-1</v>
      </c>
      <c r="L270" s="31">
        <f t="shared" ref="L270" si="125">((+B270/A270)-(E270/D270))/(B270/A270)</f>
        <v>5.0146498578888254E-2</v>
      </c>
    </row>
    <row r="271" spans="1:12" x14ac:dyDescent="0.3">
      <c r="A271" s="873">
        <v>2529</v>
      </c>
      <c r="B271" s="873">
        <v>113233.5</v>
      </c>
      <c r="C271" s="873" t="s">
        <v>1510</v>
      </c>
      <c r="D271" s="873">
        <f>+I271+I272+I273+I275+I274</f>
        <v>2528</v>
      </c>
      <c r="E271" s="873">
        <f>+J271+J272+J273+J275+J274</f>
        <v>108467.99999999999</v>
      </c>
      <c r="F271" s="39" t="s">
        <v>1511</v>
      </c>
      <c r="G271" s="39">
        <v>91631</v>
      </c>
      <c r="H271" s="40"/>
      <c r="I271" s="39">
        <v>304</v>
      </c>
      <c r="J271" s="41">
        <v>13096.400000000001</v>
      </c>
      <c r="K271" s="877">
        <f t="shared" ref="K271" si="126">+A271-D271</f>
        <v>1</v>
      </c>
      <c r="L271" s="879">
        <f t="shared" ref="L271" si="127">((+B271/A271)-(E271/D271))/(B271/A271)</f>
        <v>4.1706680041069172E-2</v>
      </c>
    </row>
    <row r="272" spans="1:12" x14ac:dyDescent="0.3">
      <c r="A272" s="881"/>
      <c r="B272" s="881"/>
      <c r="C272" s="881"/>
      <c r="D272" s="881"/>
      <c r="E272" s="881"/>
      <c r="F272" s="50" t="s">
        <v>1511</v>
      </c>
      <c r="G272" s="50">
        <v>91631</v>
      </c>
      <c r="I272" s="50">
        <v>100</v>
      </c>
      <c r="J272" s="51">
        <v>4362.8</v>
      </c>
      <c r="K272" s="886"/>
      <c r="L272" s="885"/>
    </row>
    <row r="273" spans="1:12" x14ac:dyDescent="0.3">
      <c r="A273" s="881"/>
      <c r="B273" s="881"/>
      <c r="C273" s="881"/>
      <c r="D273" s="881"/>
      <c r="E273" s="881"/>
      <c r="F273" s="50" t="s">
        <v>1511</v>
      </c>
      <c r="G273" s="50">
        <v>91631</v>
      </c>
      <c r="I273" s="50">
        <v>1366</v>
      </c>
      <c r="J273" s="51">
        <v>58371.099999999991</v>
      </c>
      <c r="K273" s="886"/>
      <c r="L273" s="885"/>
    </row>
    <row r="274" spans="1:12" x14ac:dyDescent="0.3">
      <c r="A274" s="881"/>
      <c r="B274" s="881"/>
      <c r="C274" s="881"/>
      <c r="D274" s="881"/>
      <c r="E274" s="881"/>
      <c r="F274" s="50" t="s">
        <v>1511</v>
      </c>
      <c r="G274" s="50">
        <v>91631</v>
      </c>
      <c r="I274" s="50">
        <v>144</v>
      </c>
      <c r="J274" s="51">
        <v>6284.2</v>
      </c>
      <c r="K274" s="886"/>
      <c r="L274" s="885"/>
    </row>
    <row r="275" spans="1:12" ht="15" thickBot="1" x14ac:dyDescent="0.35">
      <c r="A275" s="874"/>
      <c r="B275" s="874"/>
      <c r="C275" s="874"/>
      <c r="D275" s="874"/>
      <c r="E275" s="874"/>
      <c r="F275" s="42" t="s">
        <v>1511</v>
      </c>
      <c r="G275" s="42">
        <v>91631</v>
      </c>
      <c r="H275" s="43"/>
      <c r="I275" s="42">
        <v>614</v>
      </c>
      <c r="J275" s="44">
        <v>26353.5</v>
      </c>
      <c r="K275" s="878"/>
      <c r="L275" s="880"/>
    </row>
    <row r="276" spans="1:12" x14ac:dyDescent="0.3">
      <c r="A276" s="873">
        <v>1804</v>
      </c>
      <c r="B276" s="873">
        <v>80767.5</v>
      </c>
      <c r="C276" s="873" t="s">
        <v>1590</v>
      </c>
      <c r="D276" s="873">
        <f>+I276+I277+I278</f>
        <v>1782</v>
      </c>
      <c r="E276" s="873">
        <f>+J276+J277+J278</f>
        <v>76361.100000000006</v>
      </c>
      <c r="F276" s="39" t="s">
        <v>1591</v>
      </c>
      <c r="G276" s="39">
        <v>91641</v>
      </c>
      <c r="H276" s="40"/>
      <c r="I276" s="39">
        <v>851</v>
      </c>
      <c r="J276" s="41">
        <v>36448.300000000003</v>
      </c>
      <c r="K276" s="882">
        <f t="shared" ref="K276" si="128">+A276-D276</f>
        <v>22</v>
      </c>
      <c r="L276" s="879">
        <f t="shared" ref="L276" si="129">((+B276/A276)-(E276/D276))/(B276/A276)</f>
        <v>4.2884456871518414E-2</v>
      </c>
    </row>
    <row r="277" spans="1:12" x14ac:dyDescent="0.3">
      <c r="A277" s="881"/>
      <c r="B277" s="881"/>
      <c r="C277" s="881"/>
      <c r="D277" s="881"/>
      <c r="E277" s="881"/>
      <c r="F277" s="50" t="s">
        <v>1591</v>
      </c>
      <c r="G277" s="50">
        <v>91641</v>
      </c>
      <c r="I277" s="50">
        <v>843</v>
      </c>
      <c r="J277" s="51">
        <v>36159.199999999997</v>
      </c>
      <c r="K277" s="883"/>
      <c r="L277" s="885"/>
    </row>
    <row r="278" spans="1:12" ht="15" thickBot="1" x14ac:dyDescent="0.35">
      <c r="A278" s="874"/>
      <c r="B278" s="874"/>
      <c r="C278" s="874"/>
      <c r="D278" s="874"/>
      <c r="E278" s="874"/>
      <c r="F278" s="42" t="s">
        <v>1591</v>
      </c>
      <c r="G278" s="42">
        <v>91641</v>
      </c>
      <c r="H278" s="43"/>
      <c r="I278" s="42">
        <v>88</v>
      </c>
      <c r="J278" s="44">
        <v>3753.6</v>
      </c>
      <c r="K278" s="884"/>
      <c r="L278" s="880"/>
    </row>
    <row r="279" spans="1:12" ht="15" thickBot="1" x14ac:dyDescent="0.35">
      <c r="A279" s="175">
        <v>99</v>
      </c>
      <c r="B279" s="242">
        <v>4585</v>
      </c>
      <c r="C279" s="8" t="s">
        <v>1592</v>
      </c>
      <c r="D279" s="8">
        <f t="shared" ref="D279:E283" si="130">+I279</f>
        <v>99</v>
      </c>
      <c r="E279" s="8">
        <f t="shared" si="130"/>
        <v>4268.7</v>
      </c>
      <c r="F279" s="45" t="s">
        <v>1593</v>
      </c>
      <c r="G279" s="45">
        <v>91671</v>
      </c>
      <c r="H279" s="14"/>
      <c r="I279" s="45">
        <v>99</v>
      </c>
      <c r="J279" s="46">
        <v>4268.7</v>
      </c>
      <c r="K279" s="54">
        <f t="shared" ref="K279:K286" si="131">+A279-D279</f>
        <v>0</v>
      </c>
      <c r="L279" s="53">
        <f t="shared" ref="L279:L280" si="132">(+B279-E279)/B279</f>
        <v>6.8985823336968413E-2</v>
      </c>
    </row>
    <row r="280" spans="1:12" ht="15" thickBot="1" x14ac:dyDescent="0.35">
      <c r="A280" s="175">
        <v>377</v>
      </c>
      <c r="B280" s="242">
        <v>16536.75</v>
      </c>
      <c r="C280" s="8" t="s">
        <v>1594</v>
      </c>
      <c r="D280" s="8">
        <f t="shared" si="130"/>
        <v>377</v>
      </c>
      <c r="E280" s="8">
        <f t="shared" si="130"/>
        <v>15626</v>
      </c>
      <c r="F280" s="45" t="s">
        <v>1595</v>
      </c>
      <c r="G280" s="45">
        <v>91681</v>
      </c>
      <c r="H280" s="14"/>
      <c r="I280" s="45">
        <v>377</v>
      </c>
      <c r="J280" s="46">
        <v>15626</v>
      </c>
      <c r="K280" s="54">
        <f t="shared" si="131"/>
        <v>0</v>
      </c>
      <c r="L280" s="53">
        <f t="shared" si="132"/>
        <v>5.507430420124873E-2</v>
      </c>
    </row>
    <row r="281" spans="1:12" ht="15" thickBot="1" x14ac:dyDescent="0.35">
      <c r="A281" s="175">
        <v>581</v>
      </c>
      <c r="B281" s="242">
        <v>27636</v>
      </c>
      <c r="C281" s="8" t="s">
        <v>1596</v>
      </c>
      <c r="D281" s="8">
        <f t="shared" si="130"/>
        <v>579</v>
      </c>
      <c r="E281" s="8">
        <f t="shared" si="130"/>
        <v>25506</v>
      </c>
      <c r="F281" s="45" t="s">
        <v>1597</v>
      </c>
      <c r="G281" s="45">
        <v>91691</v>
      </c>
      <c r="H281" s="14"/>
      <c r="I281" s="45">
        <v>579</v>
      </c>
      <c r="J281" s="46">
        <v>25506</v>
      </c>
      <c r="K281" s="54">
        <f t="shared" si="131"/>
        <v>2</v>
      </c>
      <c r="L281" s="31">
        <f t="shared" ref="L281" si="133">((+B281/A281)-(E281/D281))/(B281/A281)</f>
        <v>7.3885380411673016E-2</v>
      </c>
    </row>
    <row r="282" spans="1:12" ht="15" thickBot="1" x14ac:dyDescent="0.35">
      <c r="A282" s="175">
        <v>252</v>
      </c>
      <c r="B282" s="242">
        <v>11444</v>
      </c>
      <c r="C282" s="8" t="s">
        <v>1598</v>
      </c>
      <c r="D282" s="8">
        <f t="shared" si="130"/>
        <v>252</v>
      </c>
      <c r="E282" s="8">
        <f t="shared" si="130"/>
        <v>10862.6</v>
      </c>
      <c r="F282" s="45" t="s">
        <v>1599</v>
      </c>
      <c r="G282" s="45">
        <v>91721</v>
      </c>
      <c r="H282" s="14"/>
      <c r="I282" s="45">
        <v>252</v>
      </c>
      <c r="J282" s="46">
        <v>10862.6</v>
      </c>
      <c r="K282" s="54">
        <f t="shared" si="131"/>
        <v>0</v>
      </c>
      <c r="L282" s="53">
        <f t="shared" ref="L282:L285" si="134">(+B282-E282)/B282</f>
        <v>5.0803914715134534E-2</v>
      </c>
    </row>
    <row r="283" spans="1:12" ht="15" thickBot="1" x14ac:dyDescent="0.35">
      <c r="A283" s="175">
        <v>635</v>
      </c>
      <c r="B283" s="242">
        <v>28690.5</v>
      </c>
      <c r="C283" s="8" t="s">
        <v>1600</v>
      </c>
      <c r="D283" s="8">
        <f t="shared" si="130"/>
        <v>635</v>
      </c>
      <c r="E283" s="8">
        <f t="shared" si="130"/>
        <v>27490.400000000001</v>
      </c>
      <c r="F283" s="45" t="s">
        <v>1601</v>
      </c>
      <c r="G283" s="45">
        <v>91731</v>
      </c>
      <c r="H283" s="14"/>
      <c r="I283" s="45">
        <v>635</v>
      </c>
      <c r="J283" s="46">
        <v>27490.400000000001</v>
      </c>
      <c r="K283" s="54">
        <f t="shared" si="131"/>
        <v>0</v>
      </c>
      <c r="L283" s="53">
        <f t="shared" si="134"/>
        <v>4.1829176905247331E-2</v>
      </c>
    </row>
    <row r="284" spans="1:12" ht="15" thickBot="1" x14ac:dyDescent="0.35">
      <c r="A284" s="178">
        <v>91</v>
      </c>
      <c r="B284" s="195">
        <v>4024.5</v>
      </c>
      <c r="C284" s="45" t="s">
        <v>1602</v>
      </c>
      <c r="D284" s="45">
        <f>+I284</f>
        <v>91</v>
      </c>
      <c r="E284" s="45">
        <f>+J284</f>
        <v>3849.5</v>
      </c>
      <c r="F284" s="45" t="s">
        <v>1603</v>
      </c>
      <c r="G284" s="45">
        <v>91811</v>
      </c>
      <c r="H284" s="14"/>
      <c r="I284" s="45">
        <v>91</v>
      </c>
      <c r="J284" s="46">
        <v>3849.5</v>
      </c>
      <c r="K284" s="54">
        <f t="shared" si="131"/>
        <v>0</v>
      </c>
      <c r="L284" s="53">
        <f t="shared" si="134"/>
        <v>4.3483662566778485E-2</v>
      </c>
    </row>
    <row r="285" spans="1:12" ht="15" thickBot="1" x14ac:dyDescent="0.35">
      <c r="A285" s="178">
        <v>756</v>
      </c>
      <c r="B285" s="195">
        <v>34738.25</v>
      </c>
      <c r="C285" s="45" t="s">
        <v>1604</v>
      </c>
      <c r="D285" s="45">
        <v>756</v>
      </c>
      <c r="E285" s="45">
        <v>33250.300000000003</v>
      </c>
      <c r="F285" s="45" t="s">
        <v>1605</v>
      </c>
      <c r="G285" s="45">
        <v>91821</v>
      </c>
      <c r="H285" s="14"/>
      <c r="I285" s="45">
        <v>426</v>
      </c>
      <c r="J285" s="46">
        <v>18766.599999999999</v>
      </c>
      <c r="K285" s="54">
        <f t="shared" si="131"/>
        <v>0</v>
      </c>
      <c r="L285" s="53">
        <f t="shared" si="134"/>
        <v>4.2833188200326645E-2</v>
      </c>
    </row>
    <row r="286" spans="1:12" x14ac:dyDescent="0.3">
      <c r="A286" s="875">
        <v>2407</v>
      </c>
      <c r="B286" s="966">
        <v>98057.2</v>
      </c>
      <c r="C286" s="881" t="s">
        <v>1667</v>
      </c>
      <c r="D286" s="881">
        <f>+I286+I287+I288</f>
        <v>2404</v>
      </c>
      <c r="E286" s="881">
        <f>+J286+J287+J288</f>
        <v>93045.9</v>
      </c>
      <c r="F286" s="50" t="s">
        <v>1668</v>
      </c>
      <c r="G286" s="50">
        <v>91891</v>
      </c>
      <c r="I286" s="50">
        <v>500</v>
      </c>
      <c r="J286" s="51">
        <v>20062.7</v>
      </c>
      <c r="K286" s="877">
        <f t="shared" si="131"/>
        <v>3</v>
      </c>
      <c r="L286" s="879">
        <f t="shared" ref="L286" si="135">((+B286/A286)-(E286/D286))/(B286/A286)</f>
        <v>4.9921741066301414E-2</v>
      </c>
    </row>
    <row r="287" spans="1:12" x14ac:dyDescent="0.3">
      <c r="A287" s="875"/>
      <c r="B287" s="966"/>
      <c r="C287" s="881"/>
      <c r="D287" s="881"/>
      <c r="E287" s="881"/>
      <c r="F287" s="50" t="s">
        <v>1668</v>
      </c>
      <c r="G287" s="50">
        <v>91891</v>
      </c>
      <c r="I287" s="50">
        <v>747</v>
      </c>
      <c r="J287" s="51">
        <v>28923</v>
      </c>
      <c r="K287" s="886"/>
      <c r="L287" s="885"/>
    </row>
    <row r="288" spans="1:12" ht="15" thickBot="1" x14ac:dyDescent="0.35">
      <c r="A288" s="872"/>
      <c r="B288" s="965"/>
      <c r="C288" s="874"/>
      <c r="D288" s="874"/>
      <c r="E288" s="874"/>
      <c r="F288" s="42" t="s">
        <v>1668</v>
      </c>
      <c r="G288" s="42">
        <v>91891</v>
      </c>
      <c r="H288" s="43"/>
      <c r="I288" s="42">
        <v>1157</v>
      </c>
      <c r="J288" s="44">
        <v>44060.2</v>
      </c>
      <c r="K288" s="878"/>
      <c r="L288" s="880"/>
    </row>
    <row r="289" spans="1:12" x14ac:dyDescent="0.3">
      <c r="A289" s="871">
        <v>370</v>
      </c>
      <c r="B289" s="964">
        <v>16593</v>
      </c>
      <c r="C289" s="873" t="s">
        <v>1669</v>
      </c>
      <c r="D289" s="873">
        <f>+I289+I290</f>
        <v>371</v>
      </c>
      <c r="E289" s="873">
        <f>+J289+J290</f>
        <v>15784.4</v>
      </c>
      <c r="F289" s="39" t="s">
        <v>1670</v>
      </c>
      <c r="G289" s="39">
        <v>91901</v>
      </c>
      <c r="H289" s="40"/>
      <c r="I289" s="39">
        <v>36</v>
      </c>
      <c r="J289" s="41">
        <v>1566.6</v>
      </c>
      <c r="K289" s="877">
        <f t="shared" ref="K289" si="136">+A289-D289</f>
        <v>-1</v>
      </c>
      <c r="L289" s="879">
        <f t="shared" ref="L289" si="137">((+B289/A289)-(E289/D289))/(B289/A289)</f>
        <v>5.1295459082784725E-2</v>
      </c>
    </row>
    <row r="290" spans="1:12" ht="15" thickBot="1" x14ac:dyDescent="0.35">
      <c r="A290" s="872"/>
      <c r="B290" s="965"/>
      <c r="C290" s="874"/>
      <c r="D290" s="874"/>
      <c r="E290" s="874"/>
      <c r="F290" s="42" t="s">
        <v>1670</v>
      </c>
      <c r="G290" s="42">
        <v>91901</v>
      </c>
      <c r="H290" s="43"/>
      <c r="I290" s="42">
        <v>335</v>
      </c>
      <c r="J290" s="44">
        <v>14217.8</v>
      </c>
      <c r="K290" s="878"/>
      <c r="L290" s="880"/>
    </row>
    <row r="291" spans="1:12" ht="15" thickBot="1" x14ac:dyDescent="0.35">
      <c r="A291" s="178">
        <v>124</v>
      </c>
      <c r="B291" s="195">
        <v>5584.25</v>
      </c>
      <c r="C291" s="45" t="s">
        <v>1671</v>
      </c>
      <c r="D291" s="45">
        <f t="shared" ref="D291:E294" si="138">+I291</f>
        <v>124</v>
      </c>
      <c r="E291" s="45">
        <f t="shared" si="138"/>
        <v>5340.2</v>
      </c>
      <c r="F291" s="45" t="s">
        <v>1672</v>
      </c>
      <c r="G291" s="45">
        <v>91921</v>
      </c>
      <c r="H291" s="14"/>
      <c r="I291" s="45">
        <v>124</v>
      </c>
      <c r="J291" s="46">
        <v>5340.2</v>
      </c>
      <c r="K291" s="54">
        <f t="shared" ref="K291:K295" si="139">+A291-D291</f>
        <v>0</v>
      </c>
      <c r="L291" s="53">
        <f t="shared" ref="L291:L292" si="140">(+B291-E291)/B291</f>
        <v>4.3703272597036338E-2</v>
      </c>
    </row>
    <row r="292" spans="1:12" ht="15" thickBot="1" x14ac:dyDescent="0.35">
      <c r="A292" s="178">
        <v>165</v>
      </c>
      <c r="B292" s="195">
        <v>7698.5</v>
      </c>
      <c r="C292" s="45" t="s">
        <v>1673</v>
      </c>
      <c r="D292" s="45">
        <f t="shared" si="138"/>
        <v>165</v>
      </c>
      <c r="E292" s="45">
        <f t="shared" si="138"/>
        <v>7234.8</v>
      </c>
      <c r="F292" s="45" t="s">
        <v>1674</v>
      </c>
      <c r="G292" s="45">
        <v>91971</v>
      </c>
      <c r="H292" s="14"/>
      <c r="I292" s="45">
        <v>165</v>
      </c>
      <c r="J292" s="46">
        <v>7234.8</v>
      </c>
      <c r="K292" s="54">
        <f t="shared" si="139"/>
        <v>0</v>
      </c>
      <c r="L292" s="53">
        <f t="shared" si="140"/>
        <v>6.0232512827174102E-2</v>
      </c>
    </row>
    <row r="293" spans="1:12" ht="15" thickBot="1" x14ac:dyDescent="0.35">
      <c r="A293" s="178">
        <v>250</v>
      </c>
      <c r="B293" s="195">
        <v>11628.75</v>
      </c>
      <c r="C293" s="45" t="s">
        <v>1675</v>
      </c>
      <c r="D293" s="45">
        <f t="shared" si="138"/>
        <v>251</v>
      </c>
      <c r="E293" s="45">
        <f t="shared" si="138"/>
        <v>11038.1</v>
      </c>
      <c r="F293" s="45" t="s">
        <v>1676</v>
      </c>
      <c r="G293" s="45">
        <v>91981</v>
      </c>
      <c r="H293" s="14"/>
      <c r="I293" s="45">
        <v>251</v>
      </c>
      <c r="J293" s="46">
        <v>11038.1</v>
      </c>
      <c r="K293" s="54">
        <f t="shared" si="139"/>
        <v>-1</v>
      </c>
      <c r="L293" s="31">
        <f t="shared" ref="L293:L295" si="141">((+B293/A293)-(E293/D293))/(B293/A293)</f>
        <v>5.4573921876719639E-2</v>
      </c>
    </row>
    <row r="294" spans="1:12" ht="15" thickBot="1" x14ac:dyDescent="0.35">
      <c r="A294" s="178">
        <v>300</v>
      </c>
      <c r="B294" s="195">
        <v>14090.75</v>
      </c>
      <c r="C294" s="45" t="s">
        <v>1677</v>
      </c>
      <c r="D294" s="45">
        <f t="shared" si="138"/>
        <v>301</v>
      </c>
      <c r="E294" s="45">
        <f t="shared" si="138"/>
        <v>13486.8</v>
      </c>
      <c r="F294" s="45" t="s">
        <v>1678</v>
      </c>
      <c r="G294" s="45">
        <v>92001</v>
      </c>
      <c r="H294" s="14"/>
      <c r="I294" s="45">
        <v>301</v>
      </c>
      <c r="J294" s="46">
        <v>13486.8</v>
      </c>
      <c r="K294" s="54">
        <f t="shared" si="139"/>
        <v>-1</v>
      </c>
      <c r="L294" s="31">
        <f t="shared" si="141"/>
        <v>4.6041313948389805E-2</v>
      </c>
    </row>
    <row r="295" spans="1:12" x14ac:dyDescent="0.3">
      <c r="A295" s="871">
        <v>1076</v>
      </c>
      <c r="B295" s="964">
        <v>50065.25</v>
      </c>
      <c r="C295" s="873" t="s">
        <v>1679</v>
      </c>
      <c r="D295" s="873">
        <f>+I295+I296</f>
        <v>1075</v>
      </c>
      <c r="E295" s="873">
        <f>+J295+J296</f>
        <v>47939.600000000006</v>
      </c>
      <c r="F295" s="39" t="s">
        <v>1680</v>
      </c>
      <c r="G295" s="39">
        <v>92051</v>
      </c>
      <c r="H295" s="40"/>
      <c r="I295" s="39">
        <v>344</v>
      </c>
      <c r="J295" s="41">
        <v>15154.7</v>
      </c>
      <c r="K295" s="877">
        <f t="shared" si="139"/>
        <v>1</v>
      </c>
      <c r="L295" s="879">
        <f t="shared" si="141"/>
        <v>4.1566855718403767E-2</v>
      </c>
    </row>
    <row r="296" spans="1:12" ht="15" thickBot="1" x14ac:dyDescent="0.35">
      <c r="A296" s="875"/>
      <c r="B296" s="966"/>
      <c r="C296" s="881"/>
      <c r="D296" s="881"/>
      <c r="E296" s="881"/>
      <c r="F296" s="50" t="s">
        <v>1680</v>
      </c>
      <c r="G296" s="50">
        <v>92051</v>
      </c>
      <c r="I296" s="50">
        <v>731</v>
      </c>
      <c r="J296" s="51">
        <v>32784.9</v>
      </c>
      <c r="K296" s="878"/>
      <c r="L296" s="880"/>
    </row>
    <row r="297" spans="1:12" ht="15" thickBot="1" x14ac:dyDescent="0.35">
      <c r="A297" s="175">
        <v>1317</v>
      </c>
      <c r="B297" s="8">
        <v>60098.25</v>
      </c>
      <c r="C297" s="8" t="s">
        <v>1681</v>
      </c>
      <c r="D297" s="8">
        <f t="shared" ref="D297:E303" si="142">+I297</f>
        <v>1316</v>
      </c>
      <c r="E297" s="8">
        <f t="shared" si="142"/>
        <v>57701.799999999988</v>
      </c>
      <c r="F297" s="45" t="s">
        <v>1682</v>
      </c>
      <c r="G297" s="45">
        <v>92061</v>
      </c>
      <c r="H297" s="14"/>
      <c r="I297" s="45">
        <v>1316</v>
      </c>
      <c r="J297" s="46">
        <v>57701.799999999988</v>
      </c>
      <c r="K297" s="54">
        <f t="shared" ref="K297:K299" si="143">+A297-D297</f>
        <v>1</v>
      </c>
      <c r="L297" s="31">
        <f t="shared" ref="L297" si="144">((+B297/A297)-(E297/D297))/(B297/A297)</f>
        <v>3.9145959281949659E-2</v>
      </c>
    </row>
    <row r="298" spans="1:12" ht="15" thickBot="1" x14ac:dyDescent="0.35">
      <c r="A298" s="212">
        <v>606</v>
      </c>
      <c r="B298" s="241">
        <v>27920</v>
      </c>
      <c r="C298" s="50" t="s">
        <v>1683</v>
      </c>
      <c r="D298" s="50">
        <f t="shared" si="142"/>
        <v>606</v>
      </c>
      <c r="E298" s="50">
        <f t="shared" si="142"/>
        <v>26786.400000000001</v>
      </c>
      <c r="F298" s="50" t="s">
        <v>1684</v>
      </c>
      <c r="G298" s="50">
        <v>92081</v>
      </c>
      <c r="I298" s="50">
        <v>606</v>
      </c>
      <c r="J298" s="51">
        <v>26786.400000000001</v>
      </c>
      <c r="K298" s="54">
        <f t="shared" si="143"/>
        <v>0</v>
      </c>
      <c r="L298" s="53">
        <f t="shared" ref="L298" si="145">(+B298-E298)/B298</f>
        <v>4.0601719197707685E-2</v>
      </c>
    </row>
    <row r="299" spans="1:12" x14ac:dyDescent="0.3">
      <c r="A299" s="871">
        <v>1343</v>
      </c>
      <c r="B299" s="873">
        <v>57526.5</v>
      </c>
      <c r="C299" s="873" t="s">
        <v>1685</v>
      </c>
      <c r="D299" s="873">
        <f>+I299+I300</f>
        <v>1339</v>
      </c>
      <c r="E299" s="873">
        <f>+J299+J300</f>
        <v>54277.099999999991</v>
      </c>
      <c r="F299" s="39" t="s">
        <v>1686</v>
      </c>
      <c r="G299" s="39">
        <v>92121</v>
      </c>
      <c r="H299" s="40"/>
      <c r="I299" s="39">
        <v>800</v>
      </c>
      <c r="J299" s="41">
        <v>32398.899999999998</v>
      </c>
      <c r="K299" s="882">
        <f t="shared" si="143"/>
        <v>4</v>
      </c>
      <c r="L299" s="879">
        <f t="shared" ref="L299" si="146">((+B299/A299)-(E299/D299))/(B299/A299)</f>
        <v>5.3666706723537835E-2</v>
      </c>
    </row>
    <row r="300" spans="1:12" ht="15" thickBot="1" x14ac:dyDescent="0.35">
      <c r="A300" s="875"/>
      <c r="B300" s="881"/>
      <c r="C300" s="881"/>
      <c r="D300" s="881"/>
      <c r="E300" s="881"/>
      <c r="F300" s="50" t="s">
        <v>1687</v>
      </c>
      <c r="G300" s="50">
        <v>92121</v>
      </c>
      <c r="I300" s="50">
        <v>539</v>
      </c>
      <c r="J300" s="51">
        <v>21878.199999999997</v>
      </c>
      <c r="K300" s="884"/>
      <c r="L300" s="880"/>
    </row>
    <row r="301" spans="1:12" x14ac:dyDescent="0.3">
      <c r="A301" s="871">
        <v>596</v>
      </c>
      <c r="B301" s="873">
        <v>27401</v>
      </c>
      <c r="C301" s="873" t="s">
        <v>1688</v>
      </c>
      <c r="D301" s="873">
        <f>+I301+I302</f>
        <v>596</v>
      </c>
      <c r="E301" s="873">
        <f>+J301+J302</f>
        <v>26325.899999999998</v>
      </c>
      <c r="F301" s="39" t="s">
        <v>1689</v>
      </c>
      <c r="G301" s="39">
        <v>92131</v>
      </c>
      <c r="H301" s="40"/>
      <c r="I301" s="39">
        <v>200</v>
      </c>
      <c r="J301" s="41">
        <v>8963.2999999999993</v>
      </c>
      <c r="K301" s="882">
        <f t="shared" ref="K301:K303" si="147">+A301-D301</f>
        <v>0</v>
      </c>
      <c r="L301" s="879">
        <f t="shared" ref="L301" si="148">(+B301-E301)/B301</f>
        <v>3.9235794314076207E-2</v>
      </c>
    </row>
    <row r="302" spans="1:12" ht="15" thickBot="1" x14ac:dyDescent="0.35">
      <c r="A302" s="872"/>
      <c r="B302" s="874"/>
      <c r="C302" s="874"/>
      <c r="D302" s="874"/>
      <c r="E302" s="874"/>
      <c r="F302" s="42" t="s">
        <v>1689</v>
      </c>
      <c r="G302" s="42">
        <v>92131</v>
      </c>
      <c r="H302" s="43"/>
      <c r="I302" s="42">
        <v>396</v>
      </c>
      <c r="J302" s="44">
        <v>17362.599999999999</v>
      </c>
      <c r="K302" s="884"/>
      <c r="L302" s="880"/>
    </row>
    <row r="303" spans="1:12" ht="15" thickBot="1" x14ac:dyDescent="0.35">
      <c r="A303" s="179">
        <v>626</v>
      </c>
      <c r="B303" s="42">
        <v>28960.75</v>
      </c>
      <c r="C303" s="42" t="s">
        <v>1690</v>
      </c>
      <c r="D303" s="42">
        <f t="shared" si="142"/>
        <v>627</v>
      </c>
      <c r="E303" s="42">
        <f t="shared" si="142"/>
        <v>27668.3</v>
      </c>
      <c r="F303" s="42" t="s">
        <v>1691</v>
      </c>
      <c r="G303" s="42">
        <v>92151</v>
      </c>
      <c r="H303" s="43"/>
      <c r="I303" s="42">
        <v>627</v>
      </c>
      <c r="J303" s="44">
        <v>27668.3</v>
      </c>
      <c r="K303" s="54">
        <f t="shared" si="147"/>
        <v>-1</v>
      </c>
      <c r="L303" s="31">
        <f t="shared" ref="L303:L307" si="149">((+B303/A303)-(E303/D303))/(B303/A303)</f>
        <v>4.6151362453508225E-2</v>
      </c>
    </row>
    <row r="304" spans="1:12" ht="15" thickBot="1" x14ac:dyDescent="0.35">
      <c r="A304" s="179">
        <v>888</v>
      </c>
      <c r="B304" s="42">
        <v>40394</v>
      </c>
      <c r="C304" s="42" t="s">
        <v>1692</v>
      </c>
      <c r="D304" s="42">
        <v>888</v>
      </c>
      <c r="E304" s="42">
        <v>38751.1</v>
      </c>
      <c r="F304" s="42" t="s">
        <v>1693</v>
      </c>
      <c r="G304" s="42">
        <v>92211</v>
      </c>
      <c r="H304" s="43"/>
      <c r="I304" s="42">
        <v>181</v>
      </c>
      <c r="J304" s="44">
        <v>7909.6</v>
      </c>
      <c r="K304" s="54">
        <f t="shared" ref="K304:K319" si="150">+A304-D304</f>
        <v>0</v>
      </c>
      <c r="L304" s="53">
        <f t="shared" ref="L304:L306" si="151">(+B304-E304)/B304</f>
        <v>4.0671881962667758E-2</v>
      </c>
    </row>
    <row r="305" spans="1:12" ht="15" thickBot="1" x14ac:dyDescent="0.35">
      <c r="A305" s="212">
        <v>168</v>
      </c>
      <c r="B305" s="50">
        <v>7867.25</v>
      </c>
      <c r="C305" s="50" t="s">
        <v>1777</v>
      </c>
      <c r="D305" s="50">
        <f>+I305</f>
        <v>166</v>
      </c>
      <c r="E305" s="50">
        <f>+J305</f>
        <v>7449.6</v>
      </c>
      <c r="F305" s="50" t="s">
        <v>1778</v>
      </c>
      <c r="G305" s="50">
        <v>92231</v>
      </c>
      <c r="I305" s="50">
        <v>166</v>
      </c>
      <c r="J305" s="51">
        <v>7449.6</v>
      </c>
      <c r="K305" s="54">
        <f t="shared" si="150"/>
        <v>2</v>
      </c>
      <c r="L305" s="31">
        <f t="shared" si="149"/>
        <v>4.1678576774925258E-2</v>
      </c>
    </row>
    <row r="306" spans="1:12" ht="15" thickBot="1" x14ac:dyDescent="0.35">
      <c r="A306" s="178">
        <v>803</v>
      </c>
      <c r="B306" s="8">
        <v>37318.5</v>
      </c>
      <c r="C306" s="45" t="s">
        <v>1694</v>
      </c>
      <c r="D306" s="45">
        <v>803</v>
      </c>
      <c r="E306" s="45">
        <v>35233.699999999997</v>
      </c>
      <c r="F306" s="45" t="s">
        <v>1695</v>
      </c>
      <c r="G306" s="45">
        <v>92241</v>
      </c>
      <c r="H306" s="14"/>
      <c r="I306" s="45">
        <v>233</v>
      </c>
      <c r="J306" s="46">
        <v>10229.400000000001</v>
      </c>
      <c r="K306" s="54">
        <f t="shared" si="150"/>
        <v>0</v>
      </c>
      <c r="L306" s="53">
        <f t="shared" si="151"/>
        <v>5.5865053525731283E-2</v>
      </c>
    </row>
    <row r="307" spans="1:12" x14ac:dyDescent="0.3">
      <c r="A307" s="875">
        <v>200</v>
      </c>
      <c r="B307" s="881">
        <v>10041.5</v>
      </c>
      <c r="C307" s="881" t="s">
        <v>1779</v>
      </c>
      <c r="D307" s="881">
        <f>+I307+I308</f>
        <v>196</v>
      </c>
      <c r="E307" s="881">
        <f>+J307+J308</f>
        <v>9173.4000000000015</v>
      </c>
      <c r="F307" s="50" t="s">
        <v>1780</v>
      </c>
      <c r="G307" s="50">
        <v>92251</v>
      </c>
      <c r="I307" s="50">
        <v>96</v>
      </c>
      <c r="J307" s="51">
        <v>4459.1000000000004</v>
      </c>
      <c r="K307" s="877">
        <f t="shared" si="150"/>
        <v>4</v>
      </c>
      <c r="L307" s="974">
        <f t="shared" si="149"/>
        <v>6.7807374904350959E-2</v>
      </c>
    </row>
    <row r="308" spans="1:12" ht="15" thickBot="1" x14ac:dyDescent="0.35">
      <c r="A308" s="872"/>
      <c r="B308" s="874"/>
      <c r="C308" s="874"/>
      <c r="D308" s="874"/>
      <c r="E308" s="874"/>
      <c r="F308" s="42" t="s">
        <v>1780</v>
      </c>
      <c r="G308" s="42">
        <v>92251</v>
      </c>
      <c r="H308" s="43"/>
      <c r="I308" s="42">
        <v>100</v>
      </c>
      <c r="J308" s="44">
        <v>4714.3</v>
      </c>
      <c r="K308" s="878"/>
      <c r="L308" s="975"/>
    </row>
    <row r="309" spans="1:12" ht="15" thickBot="1" x14ac:dyDescent="0.35">
      <c r="A309" s="178">
        <v>897</v>
      </c>
      <c r="B309" s="8">
        <v>40915.25</v>
      </c>
      <c r="C309" s="45" t="s">
        <v>1781</v>
      </c>
      <c r="D309" s="45">
        <f>+I309</f>
        <v>897</v>
      </c>
      <c r="E309" s="45">
        <f>+J309</f>
        <v>39646.199999999997</v>
      </c>
      <c r="F309" s="45" t="s">
        <v>1782</v>
      </c>
      <c r="G309" s="45">
        <v>92261</v>
      </c>
      <c r="H309" s="14"/>
      <c r="I309" s="45">
        <v>897</v>
      </c>
      <c r="J309" s="46">
        <v>39646.199999999997</v>
      </c>
      <c r="K309" s="54">
        <f t="shared" si="150"/>
        <v>0</v>
      </c>
      <c r="L309" s="53">
        <f t="shared" ref="L309:L310" si="152">(+B309-E309)/B309</f>
        <v>3.1016552507928043E-2</v>
      </c>
    </row>
    <row r="310" spans="1:12" ht="15" thickBot="1" x14ac:dyDescent="0.35">
      <c r="A310" s="178">
        <v>160</v>
      </c>
      <c r="B310" s="8">
        <v>7080</v>
      </c>
      <c r="C310" s="45" t="s">
        <v>1783</v>
      </c>
      <c r="D310" s="45">
        <f>+I310</f>
        <v>160</v>
      </c>
      <c r="E310" s="45">
        <f>+J310</f>
        <v>6810.5</v>
      </c>
      <c r="F310" s="45" t="s">
        <v>1784</v>
      </c>
      <c r="G310" s="45">
        <v>92271</v>
      </c>
      <c r="H310" s="14"/>
      <c r="I310" s="45">
        <v>160</v>
      </c>
      <c r="J310" s="46">
        <v>6810.5</v>
      </c>
      <c r="K310" s="54">
        <f t="shared" si="150"/>
        <v>0</v>
      </c>
      <c r="L310" s="53">
        <f t="shared" si="152"/>
        <v>3.8064971751412428E-2</v>
      </c>
    </row>
    <row r="311" spans="1:12" x14ac:dyDescent="0.3">
      <c r="A311" s="871">
        <v>526</v>
      </c>
      <c r="B311" s="873">
        <v>24509.75</v>
      </c>
      <c r="C311" s="873" t="s">
        <v>1785</v>
      </c>
      <c r="D311" s="873">
        <f>+I311+I312</f>
        <v>530</v>
      </c>
      <c r="E311" s="873">
        <f>+J311+J312</f>
        <v>23786.6</v>
      </c>
      <c r="F311" s="12" t="s">
        <v>1786</v>
      </c>
      <c r="G311" s="12">
        <v>92351</v>
      </c>
      <c r="H311" s="38"/>
      <c r="I311" s="12">
        <v>204</v>
      </c>
      <c r="J311" s="13">
        <v>9265.1</v>
      </c>
      <c r="K311" s="877">
        <f t="shared" si="150"/>
        <v>-4</v>
      </c>
      <c r="L311" s="879">
        <f t="shared" ref="L311" si="153">((+B311/A311)-(E311/D311))/(B311/A311)</f>
        <v>3.6829078608878706E-2</v>
      </c>
    </row>
    <row r="312" spans="1:12" ht="15" thickBot="1" x14ac:dyDescent="0.35">
      <c r="A312" s="872"/>
      <c r="B312" s="874"/>
      <c r="C312" s="874"/>
      <c r="D312" s="874"/>
      <c r="E312" s="874"/>
      <c r="F312" s="10" t="s">
        <v>1786</v>
      </c>
      <c r="G312" s="10">
        <v>92351</v>
      </c>
      <c r="H312" s="82"/>
      <c r="I312" s="10">
        <v>326</v>
      </c>
      <c r="J312" s="11">
        <v>14521.5</v>
      </c>
      <c r="K312" s="878"/>
      <c r="L312" s="880"/>
    </row>
    <row r="313" spans="1:12" ht="15" thickBot="1" x14ac:dyDescent="0.35">
      <c r="A313" s="178">
        <v>878</v>
      </c>
      <c r="B313" s="8">
        <v>38151.75</v>
      </c>
      <c r="C313" s="45" t="s">
        <v>1787</v>
      </c>
      <c r="D313" s="45">
        <f t="shared" ref="D313:E315" si="154">+I313</f>
        <v>878</v>
      </c>
      <c r="E313" s="45">
        <f t="shared" si="154"/>
        <v>36319.300000000003</v>
      </c>
      <c r="F313" s="45" t="s">
        <v>1786</v>
      </c>
      <c r="G313" s="45">
        <v>92351</v>
      </c>
      <c r="H313" s="14"/>
      <c r="I313" s="45">
        <v>878</v>
      </c>
      <c r="J313" s="46">
        <v>36319.300000000003</v>
      </c>
      <c r="K313" s="54">
        <f t="shared" si="150"/>
        <v>0</v>
      </c>
      <c r="L313" s="53">
        <f t="shared" ref="L313" si="155">(+B313-E313)/B313</f>
        <v>4.8030562162941333E-2</v>
      </c>
    </row>
    <row r="314" spans="1:12" ht="15" thickBot="1" x14ac:dyDescent="0.35">
      <c r="A314" s="178">
        <v>767</v>
      </c>
      <c r="B314" s="8">
        <v>35306</v>
      </c>
      <c r="C314" s="45" t="s">
        <v>1788</v>
      </c>
      <c r="D314" s="45">
        <f t="shared" si="154"/>
        <v>768</v>
      </c>
      <c r="E314" s="45">
        <f t="shared" si="154"/>
        <v>33320.199999999997</v>
      </c>
      <c r="F314" s="45" t="s">
        <v>1789</v>
      </c>
      <c r="G314" s="45">
        <v>92371</v>
      </c>
      <c r="H314" s="14"/>
      <c r="I314" s="45">
        <v>768</v>
      </c>
      <c r="J314" s="46">
        <v>33320.199999999997</v>
      </c>
      <c r="K314" s="54">
        <f t="shared" si="150"/>
        <v>-1</v>
      </c>
      <c r="L314" s="31">
        <f t="shared" ref="L314" si="156">((+B314/A314)-(E314/D314))/(B314/A314)</f>
        <v>5.7474244521705534E-2</v>
      </c>
    </row>
    <row r="315" spans="1:12" ht="15" thickBot="1" x14ac:dyDescent="0.35">
      <c r="A315" s="178">
        <v>734</v>
      </c>
      <c r="B315" s="8">
        <v>33324.5</v>
      </c>
      <c r="C315" s="45" t="s">
        <v>1790</v>
      </c>
      <c r="D315" s="45">
        <f t="shared" si="154"/>
        <v>734</v>
      </c>
      <c r="E315" s="45">
        <f t="shared" si="154"/>
        <v>32204.799999999999</v>
      </c>
      <c r="F315" s="45" t="s">
        <v>1791</v>
      </c>
      <c r="G315" s="45">
        <v>92381</v>
      </c>
      <c r="H315" s="14"/>
      <c r="I315" s="45">
        <v>734</v>
      </c>
      <c r="J315" s="46">
        <v>32204.799999999999</v>
      </c>
      <c r="K315" s="54">
        <f t="shared" si="150"/>
        <v>0</v>
      </c>
      <c r="L315" s="53">
        <f t="shared" ref="L315:L316" si="157">(+B315-E315)/B315</f>
        <v>3.3599903974553279E-2</v>
      </c>
    </row>
    <row r="316" spans="1:12" x14ac:dyDescent="0.3">
      <c r="A316" s="871">
        <v>455</v>
      </c>
      <c r="B316" s="873">
        <v>20079.5</v>
      </c>
      <c r="C316" s="873" t="s">
        <v>1792</v>
      </c>
      <c r="D316" s="873">
        <f>+I316+I317</f>
        <v>455</v>
      </c>
      <c r="E316" s="873">
        <f>+J316+J317</f>
        <v>19229.8</v>
      </c>
      <c r="F316" s="39" t="s">
        <v>1793</v>
      </c>
      <c r="G316" s="39">
        <v>92391</v>
      </c>
      <c r="H316" s="40"/>
      <c r="I316" s="39">
        <v>185</v>
      </c>
      <c r="J316" s="41">
        <v>7999.2</v>
      </c>
      <c r="K316" s="877">
        <f t="shared" si="150"/>
        <v>0</v>
      </c>
      <c r="L316" s="879">
        <f t="shared" si="157"/>
        <v>4.2316790756741988E-2</v>
      </c>
    </row>
    <row r="317" spans="1:12" ht="15" thickBot="1" x14ac:dyDescent="0.35">
      <c r="A317" s="872"/>
      <c r="B317" s="874"/>
      <c r="C317" s="874"/>
      <c r="D317" s="874"/>
      <c r="E317" s="874"/>
      <c r="F317" s="42" t="s">
        <v>1793</v>
      </c>
      <c r="G317" s="42">
        <v>92391</v>
      </c>
      <c r="H317" s="43"/>
      <c r="I317" s="42">
        <v>270</v>
      </c>
      <c r="J317" s="44">
        <v>11230.599999999999</v>
      </c>
      <c r="K317" s="878"/>
      <c r="L317" s="880"/>
    </row>
    <row r="318" spans="1:12" ht="15" thickBot="1" x14ac:dyDescent="0.35">
      <c r="A318" s="177">
        <v>573</v>
      </c>
      <c r="B318" s="12">
        <v>25403.25</v>
      </c>
      <c r="C318" s="39" t="s">
        <v>1794</v>
      </c>
      <c r="D318" s="39">
        <f>+I318</f>
        <v>573</v>
      </c>
      <c r="E318" s="39">
        <f>+J318</f>
        <v>24385.5</v>
      </c>
      <c r="F318" s="39" t="s">
        <v>1795</v>
      </c>
      <c r="G318" s="39">
        <v>92401</v>
      </c>
      <c r="H318" s="40"/>
      <c r="I318" s="39">
        <v>573</v>
      </c>
      <c r="J318" s="41">
        <v>24385.5</v>
      </c>
      <c r="K318" s="54">
        <f t="shared" si="150"/>
        <v>0</v>
      </c>
      <c r="L318" s="53">
        <f t="shared" ref="L318" si="158">(+B318-E318)/B318</f>
        <v>4.0063771367836794E-2</v>
      </c>
    </row>
    <row r="319" spans="1:12" x14ac:dyDescent="0.3">
      <c r="A319" s="871">
        <v>1274</v>
      </c>
      <c r="B319" s="873">
        <v>58280.25</v>
      </c>
      <c r="C319" s="873" t="s">
        <v>1796</v>
      </c>
      <c r="D319" s="873">
        <f>+I319+I320+I321</f>
        <v>1273</v>
      </c>
      <c r="E319" s="873">
        <f>+J319+J320+J321</f>
        <v>55924.700000000004</v>
      </c>
      <c r="F319" s="39" t="s">
        <v>1797</v>
      </c>
      <c r="G319" s="39">
        <v>92421</v>
      </c>
      <c r="H319" s="40"/>
      <c r="I319" s="39">
        <v>558</v>
      </c>
      <c r="J319" s="41">
        <v>24725.300000000003</v>
      </c>
      <c r="K319" s="877">
        <f t="shared" si="150"/>
        <v>1</v>
      </c>
      <c r="L319" s="879">
        <f t="shared" ref="L319" si="159">((+B319/A319)-(E319/D319))/(B319/A319)</f>
        <v>3.9663841149648889E-2</v>
      </c>
    </row>
    <row r="320" spans="1:12" x14ac:dyDescent="0.3">
      <c r="A320" s="875"/>
      <c r="B320" s="881"/>
      <c r="C320" s="881"/>
      <c r="D320" s="881"/>
      <c r="E320" s="881"/>
      <c r="F320" s="50" t="s">
        <v>1797</v>
      </c>
      <c r="G320" s="50">
        <v>92421</v>
      </c>
      <c r="I320" s="50">
        <v>261</v>
      </c>
      <c r="J320" s="51">
        <v>11164.8</v>
      </c>
      <c r="K320" s="886"/>
      <c r="L320" s="885"/>
    </row>
    <row r="321" spans="1:12" ht="15" thickBot="1" x14ac:dyDescent="0.35">
      <c r="A321" s="872"/>
      <c r="B321" s="874"/>
      <c r="C321" s="874"/>
      <c r="D321" s="874"/>
      <c r="E321" s="874"/>
      <c r="F321" s="42" t="s">
        <v>1797</v>
      </c>
      <c r="G321" s="42">
        <v>92421</v>
      </c>
      <c r="H321" s="43"/>
      <c r="I321" s="42">
        <v>454</v>
      </c>
      <c r="J321" s="44">
        <v>20034.599999999999</v>
      </c>
      <c r="K321" s="878"/>
      <c r="L321" s="880"/>
    </row>
    <row r="322" spans="1:12" ht="15" thickBot="1" x14ac:dyDescent="0.35">
      <c r="A322" s="178">
        <v>2555</v>
      </c>
      <c r="B322" s="8">
        <v>109752.1</v>
      </c>
      <c r="C322" s="45" t="s">
        <v>1798</v>
      </c>
      <c r="D322" s="45">
        <v>2556</v>
      </c>
      <c r="E322" s="45">
        <v>104043.5</v>
      </c>
      <c r="F322" s="45" t="s">
        <v>1799</v>
      </c>
      <c r="G322" s="45">
        <v>92461</v>
      </c>
      <c r="H322" s="14"/>
      <c r="I322" s="45">
        <v>1999</v>
      </c>
      <c r="J322" s="46">
        <v>81843.099999999977</v>
      </c>
      <c r="K322" s="54">
        <f t="shared" ref="K322:K324" si="160">+A322-D322</f>
        <v>-1</v>
      </c>
      <c r="L322" s="31">
        <f t="shared" ref="L322" si="161">((+B322/A322)-(E322/D322))/(B322/A322)</f>
        <v>5.2384470043663756E-2</v>
      </c>
    </row>
    <row r="323" spans="1:12" ht="15" thickBot="1" x14ac:dyDescent="0.35">
      <c r="A323" s="178">
        <v>198</v>
      </c>
      <c r="B323" s="8">
        <v>9306.5</v>
      </c>
      <c r="C323" s="45" t="s">
        <v>1864</v>
      </c>
      <c r="D323" s="45">
        <f>+I323</f>
        <v>198</v>
      </c>
      <c r="E323" s="45">
        <f>+J323</f>
        <v>8744.9</v>
      </c>
      <c r="F323" s="45" t="s">
        <v>1865</v>
      </c>
      <c r="G323" s="45">
        <v>92481</v>
      </c>
      <c r="H323" s="14"/>
      <c r="I323" s="45">
        <v>198</v>
      </c>
      <c r="J323" s="46">
        <v>8744.9</v>
      </c>
      <c r="K323" s="54">
        <f t="shared" si="160"/>
        <v>0</v>
      </c>
      <c r="L323" s="53">
        <f t="shared" ref="L323:L324" si="162">(+B323-E323)/B323</f>
        <v>6.0344920217052636E-2</v>
      </c>
    </row>
    <row r="324" spans="1:12" x14ac:dyDescent="0.3">
      <c r="A324" s="871">
        <v>1091</v>
      </c>
      <c r="B324" s="873">
        <v>50617.5</v>
      </c>
      <c r="C324" s="873" t="s">
        <v>1866</v>
      </c>
      <c r="D324" s="873">
        <f>+I324+I325+I326</f>
        <v>1091</v>
      </c>
      <c r="E324" s="873">
        <f>+J324+J325+J326</f>
        <v>48016.9</v>
      </c>
      <c r="F324" s="39" t="s">
        <v>1867</v>
      </c>
      <c r="G324" s="39">
        <v>92491</v>
      </c>
      <c r="H324" s="40"/>
      <c r="I324" s="39">
        <v>524</v>
      </c>
      <c r="J324" s="41">
        <v>22976.799999999999</v>
      </c>
      <c r="K324" s="882">
        <f t="shared" si="160"/>
        <v>0</v>
      </c>
      <c r="L324" s="879">
        <f t="shared" si="162"/>
        <v>5.1377488022916945E-2</v>
      </c>
    </row>
    <row r="325" spans="1:12" x14ac:dyDescent="0.3">
      <c r="A325" s="875"/>
      <c r="B325" s="881"/>
      <c r="C325" s="881"/>
      <c r="D325" s="881"/>
      <c r="E325" s="881"/>
      <c r="F325" s="50" t="s">
        <v>1867</v>
      </c>
      <c r="G325" s="50">
        <v>92491</v>
      </c>
      <c r="I325" s="50">
        <v>36</v>
      </c>
      <c r="J325" s="51">
        <v>1565.7</v>
      </c>
      <c r="K325" s="883"/>
      <c r="L325" s="885"/>
    </row>
    <row r="326" spans="1:12" ht="15" thickBot="1" x14ac:dyDescent="0.35">
      <c r="A326" s="872"/>
      <c r="B326" s="874"/>
      <c r="C326" s="874"/>
      <c r="D326" s="874"/>
      <c r="E326" s="874"/>
      <c r="F326" s="42" t="s">
        <v>1867</v>
      </c>
      <c r="G326" s="42">
        <v>92491</v>
      </c>
      <c r="H326" s="43"/>
      <c r="I326" s="42">
        <v>531</v>
      </c>
      <c r="J326" s="44">
        <v>23474.400000000001</v>
      </c>
      <c r="K326" s="884"/>
      <c r="L326" s="880"/>
    </row>
    <row r="327" spans="1:12" x14ac:dyDescent="0.3">
      <c r="A327" s="871">
        <v>1451</v>
      </c>
      <c r="B327" s="873">
        <v>64314.3</v>
      </c>
      <c r="C327" s="873" t="s">
        <v>1868</v>
      </c>
      <c r="D327" s="873">
        <f>+I327+I328</f>
        <v>1451</v>
      </c>
      <c r="E327" s="873">
        <f>+J327+J328</f>
        <v>61079.5</v>
      </c>
      <c r="F327" s="39" t="s">
        <v>1869</v>
      </c>
      <c r="G327" s="39">
        <v>92521</v>
      </c>
      <c r="H327" s="40"/>
      <c r="I327" s="39">
        <v>1007</v>
      </c>
      <c r="J327" s="41">
        <v>42763.199999999997</v>
      </c>
      <c r="K327" s="882">
        <f t="shared" ref="K327:K329" si="163">+A327-D327</f>
        <v>0</v>
      </c>
      <c r="L327" s="879">
        <f t="shared" ref="L327" si="164">(+B327-E327)/B327</f>
        <v>5.0296745824801058E-2</v>
      </c>
    </row>
    <row r="328" spans="1:12" ht="15" thickBot="1" x14ac:dyDescent="0.35">
      <c r="A328" s="872"/>
      <c r="B328" s="874"/>
      <c r="C328" s="874"/>
      <c r="D328" s="874"/>
      <c r="E328" s="874"/>
      <c r="F328" s="42" t="s">
        <v>1869</v>
      </c>
      <c r="G328" s="42">
        <v>92521</v>
      </c>
      <c r="H328" s="43"/>
      <c r="I328" s="42">
        <v>444</v>
      </c>
      <c r="J328" s="44">
        <v>18316.3</v>
      </c>
      <c r="K328" s="884"/>
      <c r="L328" s="880"/>
    </row>
    <row r="329" spans="1:12" x14ac:dyDescent="0.3">
      <c r="A329" s="871">
        <v>1341</v>
      </c>
      <c r="B329" s="873">
        <v>61322.25</v>
      </c>
      <c r="C329" s="873" t="s">
        <v>1920</v>
      </c>
      <c r="D329" s="873">
        <v>1342</v>
      </c>
      <c r="E329" s="873">
        <v>57631.8</v>
      </c>
      <c r="F329" s="39" t="s">
        <v>1921</v>
      </c>
      <c r="G329" s="39">
        <v>92541</v>
      </c>
      <c r="H329" s="40"/>
      <c r="I329" s="39">
        <v>201</v>
      </c>
      <c r="J329" s="41">
        <v>8387.2999999999993</v>
      </c>
      <c r="K329" s="882">
        <f t="shared" si="163"/>
        <v>-1</v>
      </c>
      <c r="L329" s="879">
        <f t="shared" ref="L329" si="165">((+B329/A329)-(E329/D329))/(B329/A329)</f>
        <v>6.088156761027138E-2</v>
      </c>
    </row>
    <row r="330" spans="1:12" ht="15" thickBot="1" x14ac:dyDescent="0.35">
      <c r="A330" s="872"/>
      <c r="B330" s="874"/>
      <c r="C330" s="874"/>
      <c r="D330" s="874"/>
      <c r="E330" s="874"/>
      <c r="F330" s="42" t="s">
        <v>1921</v>
      </c>
      <c r="G330" s="42">
        <v>92541</v>
      </c>
      <c r="H330" s="43"/>
      <c r="I330" s="42">
        <v>400</v>
      </c>
      <c r="J330" s="44">
        <v>17062</v>
      </c>
      <c r="K330" s="884"/>
      <c r="L330" s="880"/>
    </row>
    <row r="331" spans="1:12" ht="15" thickBot="1" x14ac:dyDescent="0.35">
      <c r="A331" s="178">
        <v>500</v>
      </c>
      <c r="B331" s="8">
        <v>23340.799999999999</v>
      </c>
      <c r="C331" s="45" t="s">
        <v>1870</v>
      </c>
      <c r="D331" s="45">
        <f>+I331</f>
        <v>495</v>
      </c>
      <c r="E331" s="45">
        <f>+J331</f>
        <v>21721.8</v>
      </c>
      <c r="F331" s="45" t="s">
        <v>1871</v>
      </c>
      <c r="G331" s="45">
        <v>92591</v>
      </c>
      <c r="H331" s="14"/>
      <c r="I331" s="45">
        <v>495</v>
      </c>
      <c r="J331" s="46">
        <v>21721.8</v>
      </c>
      <c r="K331" s="54">
        <f t="shared" ref="K331:K341" si="166">+A331-D331</f>
        <v>5</v>
      </c>
      <c r="L331" s="31">
        <f t="shared" ref="L331:L332" si="167">((+B331/A331)-(E331/D331))/(B331/A331)</f>
        <v>5.996314945451213E-2</v>
      </c>
    </row>
    <row r="332" spans="1:12" ht="15" thickBot="1" x14ac:dyDescent="0.35">
      <c r="A332" s="178">
        <v>1318</v>
      </c>
      <c r="B332" s="8">
        <v>57637.25</v>
      </c>
      <c r="C332" s="45" t="s">
        <v>1872</v>
      </c>
      <c r="D332" s="45">
        <f>+I332</f>
        <v>1321</v>
      </c>
      <c r="E332" s="45">
        <f>+J332</f>
        <v>55099.3</v>
      </c>
      <c r="F332" s="45" t="s">
        <v>1873</v>
      </c>
      <c r="G332" s="45">
        <v>92621</v>
      </c>
      <c r="H332" s="14"/>
      <c r="I332" s="45">
        <v>1321</v>
      </c>
      <c r="J332" s="46">
        <v>55099.3</v>
      </c>
      <c r="K332" s="54">
        <f t="shared" si="166"/>
        <v>-3</v>
      </c>
      <c r="L332" s="31">
        <f t="shared" si="167"/>
        <v>4.62041628580937E-2</v>
      </c>
    </row>
    <row r="333" spans="1:12" ht="15" thickBot="1" x14ac:dyDescent="0.35">
      <c r="A333" s="178">
        <f>+D333</f>
        <v>823</v>
      </c>
      <c r="B333" s="8">
        <v>38022.6</v>
      </c>
      <c r="C333" s="45" t="s">
        <v>1922</v>
      </c>
      <c r="D333" s="45">
        <f t="shared" ref="D333:E335" si="168">+I333</f>
        <v>823</v>
      </c>
      <c r="E333" s="45">
        <f t="shared" si="168"/>
        <v>35728.6</v>
      </c>
      <c r="F333" s="45" t="s">
        <v>1923</v>
      </c>
      <c r="G333" s="45">
        <v>92661</v>
      </c>
      <c r="H333" s="14"/>
      <c r="I333" s="45">
        <v>823</v>
      </c>
      <c r="J333" s="46">
        <v>35728.6</v>
      </c>
      <c r="K333" s="54">
        <f t="shared" si="166"/>
        <v>0</v>
      </c>
      <c r="L333" s="53">
        <f t="shared" ref="L333:L339" si="169">(+B333-E333)/B333</f>
        <v>6.0332539068869567E-2</v>
      </c>
    </row>
    <row r="334" spans="1:12" ht="15" thickBot="1" x14ac:dyDescent="0.35">
      <c r="A334" s="178">
        <f>+D334</f>
        <v>832</v>
      </c>
      <c r="B334" s="8">
        <v>37640</v>
      </c>
      <c r="C334" s="45" t="s">
        <v>1924</v>
      </c>
      <c r="D334" s="45">
        <f t="shared" si="168"/>
        <v>832</v>
      </c>
      <c r="E334" s="45">
        <f t="shared" si="168"/>
        <v>35439.199999999997</v>
      </c>
      <c r="F334" s="45" t="s">
        <v>1925</v>
      </c>
      <c r="G334" s="45">
        <v>92671</v>
      </c>
      <c r="H334" s="14"/>
      <c r="I334" s="45">
        <v>832</v>
      </c>
      <c r="J334" s="46">
        <v>35439.199999999997</v>
      </c>
      <c r="K334" s="54">
        <f t="shared" si="166"/>
        <v>0</v>
      </c>
      <c r="L334" s="53">
        <f t="shared" si="169"/>
        <v>5.8469713071200927E-2</v>
      </c>
    </row>
    <row r="335" spans="1:12" ht="15" thickBot="1" x14ac:dyDescent="0.35">
      <c r="A335" s="178">
        <v>872</v>
      </c>
      <c r="B335" s="8">
        <v>40149.25</v>
      </c>
      <c r="C335" s="45" t="s">
        <v>1961</v>
      </c>
      <c r="D335" s="45">
        <f>+I335</f>
        <v>872</v>
      </c>
      <c r="E335" s="45">
        <f t="shared" si="168"/>
        <v>37940.5</v>
      </c>
      <c r="F335" s="45" t="s">
        <v>1962</v>
      </c>
      <c r="G335" s="45">
        <v>92711</v>
      </c>
      <c r="H335" s="14"/>
      <c r="I335" s="45">
        <v>872</v>
      </c>
      <c r="J335" s="46">
        <v>37940.5</v>
      </c>
      <c r="K335" s="54">
        <f t="shared" si="166"/>
        <v>0</v>
      </c>
      <c r="L335" s="53">
        <f t="shared" si="169"/>
        <v>5.5013480949208264E-2</v>
      </c>
    </row>
    <row r="336" spans="1:12" x14ac:dyDescent="0.3">
      <c r="A336" s="871">
        <v>1466</v>
      </c>
      <c r="B336" s="873">
        <v>65679.75</v>
      </c>
      <c r="C336" s="873" t="s">
        <v>1963</v>
      </c>
      <c r="D336" s="873">
        <f>+I336+I337</f>
        <v>1466</v>
      </c>
      <c r="E336" s="873">
        <f>+J336+J337</f>
        <v>62699.399999999994</v>
      </c>
      <c r="F336" s="39" t="s">
        <v>1964</v>
      </c>
      <c r="G336" s="39">
        <v>92861</v>
      </c>
      <c r="H336" s="40"/>
      <c r="I336" s="39">
        <v>730</v>
      </c>
      <c r="J336" s="41">
        <v>30847.8</v>
      </c>
      <c r="K336" s="882">
        <f t="shared" si="166"/>
        <v>0</v>
      </c>
      <c r="L336" s="879">
        <f t="shared" si="169"/>
        <v>4.5376999760200147E-2</v>
      </c>
    </row>
    <row r="337" spans="1:12" ht="15" thickBot="1" x14ac:dyDescent="0.35">
      <c r="A337" s="872"/>
      <c r="B337" s="874"/>
      <c r="C337" s="874"/>
      <c r="D337" s="874"/>
      <c r="E337" s="874"/>
      <c r="F337" s="42" t="s">
        <v>1964</v>
      </c>
      <c r="G337" s="42">
        <v>92861</v>
      </c>
      <c r="H337" s="43"/>
      <c r="I337" s="42">
        <v>736</v>
      </c>
      <c r="J337" s="44">
        <v>31851.599999999999</v>
      </c>
      <c r="K337" s="884"/>
      <c r="L337" s="880"/>
    </row>
    <row r="338" spans="1:12" ht="15" thickBot="1" x14ac:dyDescent="0.35">
      <c r="A338" s="178">
        <v>450</v>
      </c>
      <c r="B338" s="8">
        <v>21005.25</v>
      </c>
      <c r="C338" s="45" t="s">
        <v>1965</v>
      </c>
      <c r="D338" s="45">
        <f>+I338</f>
        <v>450</v>
      </c>
      <c r="E338" s="45">
        <f>+J338</f>
        <v>19967.5</v>
      </c>
      <c r="F338" s="45" t="s">
        <v>1966</v>
      </c>
      <c r="G338" s="45">
        <v>92891</v>
      </c>
      <c r="H338" s="14"/>
      <c r="I338" s="45">
        <v>450</v>
      </c>
      <c r="J338" s="46">
        <v>19967.5</v>
      </c>
      <c r="K338" s="54">
        <f t="shared" si="166"/>
        <v>0</v>
      </c>
      <c r="L338" s="53">
        <f t="shared" si="169"/>
        <v>4.9404315587769726E-2</v>
      </c>
    </row>
    <row r="339" spans="1:12" x14ac:dyDescent="0.3">
      <c r="A339" s="871">
        <v>1915</v>
      </c>
      <c r="B339" s="873">
        <v>81605.899999999994</v>
      </c>
      <c r="C339" s="873" t="s">
        <v>1967</v>
      </c>
      <c r="D339" s="873">
        <v>1915</v>
      </c>
      <c r="E339" s="873">
        <v>77393.8</v>
      </c>
      <c r="F339" s="39" t="s">
        <v>1968</v>
      </c>
      <c r="G339" s="39">
        <v>93021</v>
      </c>
      <c r="H339" s="40"/>
      <c r="I339" s="39">
        <v>250</v>
      </c>
      <c r="J339" s="41">
        <v>10016.4</v>
      </c>
      <c r="K339" s="877">
        <f t="shared" si="166"/>
        <v>0</v>
      </c>
      <c r="L339" s="879">
        <f t="shared" si="169"/>
        <v>5.1615140571943836E-2</v>
      </c>
    </row>
    <row r="340" spans="1:12" ht="15" thickBot="1" x14ac:dyDescent="0.35">
      <c r="A340" s="872"/>
      <c r="B340" s="874"/>
      <c r="C340" s="874"/>
      <c r="D340" s="874"/>
      <c r="E340" s="874"/>
      <c r="F340" s="42" t="s">
        <v>1968</v>
      </c>
      <c r="G340" s="42">
        <v>93021</v>
      </c>
      <c r="H340" s="43"/>
      <c r="I340" s="42">
        <v>400</v>
      </c>
      <c r="J340" s="44">
        <v>16222.7</v>
      </c>
      <c r="K340" s="878"/>
      <c r="L340" s="880"/>
    </row>
    <row r="341" spans="1:12" x14ac:dyDescent="0.3">
      <c r="A341" s="871">
        <v>846</v>
      </c>
      <c r="B341" s="873">
        <v>39050.5</v>
      </c>
      <c r="C341" s="873" t="s">
        <v>2013</v>
      </c>
      <c r="D341" s="873">
        <f>+I341+I342+I343</f>
        <v>842</v>
      </c>
      <c r="E341" s="873">
        <f>+J341+J342+J343</f>
        <v>36511.1</v>
      </c>
      <c r="F341" s="39" t="s">
        <v>2014</v>
      </c>
      <c r="G341" s="39">
        <v>93041</v>
      </c>
      <c r="H341" s="40"/>
      <c r="I341" s="39">
        <v>400</v>
      </c>
      <c r="J341" s="41">
        <v>17421.8</v>
      </c>
      <c r="K341" s="882">
        <f t="shared" si="166"/>
        <v>4</v>
      </c>
      <c r="L341" s="879">
        <f t="shared" ref="L341" si="170">((+B341/A341)-(E341/D341))/(B341/A341)</f>
        <v>6.058694751217597E-2</v>
      </c>
    </row>
    <row r="342" spans="1:12" x14ac:dyDescent="0.3">
      <c r="A342" s="875"/>
      <c r="B342" s="881"/>
      <c r="C342" s="881"/>
      <c r="D342" s="881"/>
      <c r="E342" s="881"/>
      <c r="F342" s="50" t="s">
        <v>2014</v>
      </c>
      <c r="G342" s="50">
        <v>93041</v>
      </c>
      <c r="I342" s="50">
        <v>61</v>
      </c>
      <c r="J342" s="51">
        <v>2596</v>
      </c>
      <c r="K342" s="883"/>
      <c r="L342" s="885"/>
    </row>
    <row r="343" spans="1:12" ht="15" thickBot="1" x14ac:dyDescent="0.35">
      <c r="A343" s="872"/>
      <c r="B343" s="874"/>
      <c r="C343" s="874"/>
      <c r="D343" s="874"/>
      <c r="E343" s="874"/>
      <c r="F343" s="42" t="s">
        <v>2014</v>
      </c>
      <c r="G343" s="42">
        <v>93041</v>
      </c>
      <c r="H343" s="43"/>
      <c r="I343" s="42">
        <v>381</v>
      </c>
      <c r="J343" s="44">
        <v>16493.3</v>
      </c>
      <c r="K343" s="884"/>
      <c r="L343" s="880"/>
    </row>
    <row r="344" spans="1:12" x14ac:dyDescent="0.3">
      <c r="A344" s="871">
        <v>637</v>
      </c>
      <c r="B344" s="873">
        <v>30449.25</v>
      </c>
      <c r="C344" s="873" t="s">
        <v>2050</v>
      </c>
      <c r="D344" s="873">
        <f>+I344+I345</f>
        <v>637</v>
      </c>
      <c r="E344" s="873">
        <f>+J344+J345</f>
        <v>28358.2</v>
      </c>
      <c r="F344" s="39" t="s">
        <v>2051</v>
      </c>
      <c r="G344" s="39">
        <v>93051</v>
      </c>
      <c r="H344" s="40"/>
      <c r="I344" s="39">
        <v>200</v>
      </c>
      <c r="J344" s="41">
        <v>9050.5</v>
      </c>
      <c r="K344" s="882">
        <f t="shared" ref="K344" si="171">+A344-D344</f>
        <v>0</v>
      </c>
      <c r="L344" s="879">
        <f t="shared" ref="L344" si="172">(+B344-E344)/B344</f>
        <v>6.8673284235243867E-2</v>
      </c>
    </row>
    <row r="345" spans="1:12" ht="15" thickBot="1" x14ac:dyDescent="0.35">
      <c r="A345" s="872"/>
      <c r="B345" s="874"/>
      <c r="C345" s="874"/>
      <c r="D345" s="874"/>
      <c r="E345" s="874"/>
      <c r="F345" s="42" t="s">
        <v>2051</v>
      </c>
      <c r="G345" s="42">
        <v>93051</v>
      </c>
      <c r="H345" s="43"/>
      <c r="I345" s="42">
        <v>437</v>
      </c>
      <c r="J345" s="44">
        <v>19307.7</v>
      </c>
      <c r="K345" s="884"/>
      <c r="L345" s="880"/>
    </row>
    <row r="346" spans="1:12" x14ac:dyDescent="0.3">
      <c r="A346" s="871">
        <v>1980</v>
      </c>
      <c r="B346" s="873">
        <v>94197.75</v>
      </c>
      <c r="C346" s="873" t="s">
        <v>2015</v>
      </c>
      <c r="D346" s="873">
        <f>+I346+I347</f>
        <v>1980</v>
      </c>
      <c r="E346" s="873">
        <f>+J346+J347</f>
        <v>88642.9</v>
      </c>
      <c r="F346" s="39" t="s">
        <v>2016</v>
      </c>
      <c r="G346" s="39">
        <v>93111</v>
      </c>
      <c r="H346" s="40"/>
      <c r="I346" s="39">
        <v>601</v>
      </c>
      <c r="J346" s="41">
        <v>27271.199999999997</v>
      </c>
      <c r="K346" s="882">
        <f t="shared" ref="K346" si="173">+A346-D346</f>
        <v>0</v>
      </c>
      <c r="L346" s="879">
        <f t="shared" ref="L346:L348" si="174">(+B346-E346)/B346</f>
        <v>5.8970092173114601E-2</v>
      </c>
    </row>
    <row r="347" spans="1:12" ht="15" thickBot="1" x14ac:dyDescent="0.35">
      <c r="A347" s="875"/>
      <c r="B347" s="881"/>
      <c r="C347" s="881"/>
      <c r="D347" s="881"/>
      <c r="E347" s="881"/>
      <c r="F347" s="50" t="s">
        <v>2016</v>
      </c>
      <c r="G347" s="50">
        <v>93111</v>
      </c>
      <c r="I347" s="50">
        <v>1379</v>
      </c>
      <c r="J347" s="51">
        <v>61371.700000000004</v>
      </c>
      <c r="K347" s="884"/>
      <c r="L347" s="880"/>
    </row>
    <row r="348" spans="1:12" x14ac:dyDescent="0.3">
      <c r="A348" s="871">
        <v>1968</v>
      </c>
      <c r="B348" s="873">
        <v>92340.5</v>
      </c>
      <c r="C348" s="873" t="s">
        <v>2017</v>
      </c>
      <c r="D348" s="873">
        <v>1968</v>
      </c>
      <c r="E348" s="873">
        <v>86739</v>
      </c>
      <c r="F348" s="39" t="s">
        <v>2018</v>
      </c>
      <c r="G348" s="39">
        <v>93171</v>
      </c>
      <c r="H348" s="40"/>
      <c r="I348" s="39">
        <v>745</v>
      </c>
      <c r="J348" s="41">
        <v>32987.4</v>
      </c>
      <c r="K348" s="877">
        <f t="shared" ref="K348" si="175">+A348-D348</f>
        <v>0</v>
      </c>
      <c r="L348" s="879">
        <f t="shared" si="174"/>
        <v>6.0661356609505036E-2</v>
      </c>
    </row>
    <row r="349" spans="1:12" ht="15" thickBot="1" x14ac:dyDescent="0.35">
      <c r="A349" s="872"/>
      <c r="B349" s="874"/>
      <c r="C349" s="874"/>
      <c r="D349" s="874"/>
      <c r="E349" s="874"/>
      <c r="F349" s="42" t="s">
        <v>2018</v>
      </c>
      <c r="G349" s="42">
        <v>93171</v>
      </c>
      <c r="H349" s="43"/>
      <c r="I349" s="42">
        <v>783</v>
      </c>
      <c r="J349" s="44">
        <v>34187.1</v>
      </c>
      <c r="K349" s="878"/>
      <c r="L349" s="880"/>
    </row>
    <row r="350" spans="1:12" x14ac:dyDescent="0.3">
      <c r="A350" s="871">
        <v>1255</v>
      </c>
      <c r="B350" s="873">
        <v>55765.75</v>
      </c>
      <c r="C350" s="873" t="s">
        <v>2052</v>
      </c>
      <c r="D350" s="873">
        <f>+I350+I351</f>
        <v>1255</v>
      </c>
      <c r="E350" s="873">
        <f>+J350+J351</f>
        <v>53388.600000000006</v>
      </c>
      <c r="F350" s="39" t="s">
        <v>2053</v>
      </c>
      <c r="G350" s="39">
        <v>93201</v>
      </c>
      <c r="H350" s="40"/>
      <c r="I350" s="39">
        <v>624</v>
      </c>
      <c r="J350" s="41">
        <v>26421.4</v>
      </c>
      <c r="K350" s="877">
        <f t="shared" ref="K350" si="176">+A350-D350</f>
        <v>0</v>
      </c>
      <c r="L350" s="879">
        <f t="shared" ref="L350" si="177">(+B350-E350)/B350</f>
        <v>4.2627419159609513E-2</v>
      </c>
    </row>
    <row r="351" spans="1:12" ht="15" thickBot="1" x14ac:dyDescent="0.35">
      <c r="A351" s="875"/>
      <c r="B351" s="881"/>
      <c r="C351" s="881"/>
      <c r="D351" s="881"/>
      <c r="E351" s="881"/>
      <c r="F351" s="50" t="s">
        <v>2053</v>
      </c>
      <c r="G351" s="50">
        <v>93201</v>
      </c>
      <c r="I351" s="50">
        <v>631</v>
      </c>
      <c r="J351" s="51">
        <v>26967.200000000004</v>
      </c>
      <c r="K351" s="878"/>
      <c r="L351" s="880"/>
    </row>
    <row r="352" spans="1:12" x14ac:dyDescent="0.3">
      <c r="A352" s="871">
        <v>564</v>
      </c>
      <c r="B352" s="873">
        <v>25340</v>
      </c>
      <c r="C352" s="873" t="s">
        <v>2054</v>
      </c>
      <c r="D352" s="873">
        <f>+I352+I353</f>
        <v>564</v>
      </c>
      <c r="E352" s="873">
        <f>+J352+J353</f>
        <v>24357.599999999999</v>
      </c>
      <c r="F352" s="39" t="s">
        <v>2055</v>
      </c>
      <c r="G352" s="39">
        <v>93291</v>
      </c>
      <c r="H352" s="40"/>
      <c r="I352" s="39">
        <v>400</v>
      </c>
      <c r="J352" s="41">
        <v>17389.7</v>
      </c>
      <c r="K352" s="877">
        <f t="shared" ref="K352" si="178">+A352-D352</f>
        <v>0</v>
      </c>
      <c r="L352" s="879">
        <f t="shared" ref="L352" si="179">(+B352-E352)/B352</f>
        <v>3.8768745067087669E-2</v>
      </c>
    </row>
    <row r="353" spans="1:12" ht="15" thickBot="1" x14ac:dyDescent="0.35">
      <c r="A353" s="872"/>
      <c r="B353" s="874"/>
      <c r="C353" s="874"/>
      <c r="D353" s="874"/>
      <c r="E353" s="874"/>
      <c r="F353" s="42" t="s">
        <v>2055</v>
      </c>
      <c r="G353" s="42">
        <v>93291</v>
      </c>
      <c r="H353" s="43"/>
      <c r="I353" s="42">
        <v>164</v>
      </c>
      <c r="J353" s="44">
        <v>6967.9</v>
      </c>
      <c r="K353" s="878"/>
      <c r="L353" s="880"/>
    </row>
    <row r="354" spans="1:12" x14ac:dyDescent="0.3">
      <c r="A354" s="871">
        <v>725</v>
      </c>
      <c r="B354" s="873">
        <v>32350</v>
      </c>
      <c r="C354" s="873" t="s">
        <v>2056</v>
      </c>
      <c r="D354" s="873">
        <f>+I354+I355</f>
        <v>725</v>
      </c>
      <c r="E354" s="873">
        <f>+J354+J355</f>
        <v>31046.800000000003</v>
      </c>
      <c r="F354" s="39" t="s">
        <v>2057</v>
      </c>
      <c r="G354" s="39">
        <v>93301</v>
      </c>
      <c r="H354" s="40"/>
      <c r="I354" s="39">
        <v>542</v>
      </c>
      <c r="J354" s="41">
        <v>23169.9</v>
      </c>
      <c r="K354" s="877">
        <f t="shared" ref="K354" si="180">+A354-D354</f>
        <v>0</v>
      </c>
      <c r="L354" s="879">
        <f t="shared" ref="L354" si="181">(+B354-E354)/B354</f>
        <v>4.028438948995354E-2</v>
      </c>
    </row>
    <row r="355" spans="1:12" ht="15" thickBot="1" x14ac:dyDescent="0.35">
      <c r="A355" s="872"/>
      <c r="B355" s="874"/>
      <c r="C355" s="874"/>
      <c r="D355" s="874"/>
      <c r="E355" s="874"/>
      <c r="F355" s="42" t="s">
        <v>2057</v>
      </c>
      <c r="G355" s="42">
        <v>93301</v>
      </c>
      <c r="H355" s="43"/>
      <c r="I355" s="42">
        <v>183</v>
      </c>
      <c r="J355" s="44">
        <v>7876.9</v>
      </c>
      <c r="K355" s="878"/>
      <c r="L355" s="880"/>
    </row>
    <row r="356" spans="1:12" ht="15" thickBot="1" x14ac:dyDescent="0.35">
      <c r="A356" s="175">
        <v>1460</v>
      </c>
      <c r="B356" s="8">
        <v>62141.3</v>
      </c>
      <c r="C356" s="8" t="s">
        <v>2058</v>
      </c>
      <c r="D356" s="8">
        <f>+I356+953</f>
        <v>1453</v>
      </c>
      <c r="E356" s="8">
        <f>+J356+38106.1</f>
        <v>58563.8</v>
      </c>
      <c r="F356" s="45" t="s">
        <v>2059</v>
      </c>
      <c r="G356" s="45">
        <v>93311</v>
      </c>
      <c r="H356" s="14"/>
      <c r="I356" s="45">
        <v>500</v>
      </c>
      <c r="J356" s="46">
        <v>20457.7</v>
      </c>
      <c r="K356" s="54">
        <f t="shared" ref="K356:K357" si="182">+A356-D356</f>
        <v>7</v>
      </c>
      <c r="L356" s="31">
        <f t="shared" ref="L356" si="183">((+B356/A356)-(E356/D356))/(B356/A356)</f>
        <v>5.3030141641905088E-2</v>
      </c>
    </row>
    <row r="357" spans="1:12" x14ac:dyDescent="0.3">
      <c r="A357" s="935">
        <v>986</v>
      </c>
      <c r="B357" s="908">
        <v>42502</v>
      </c>
      <c r="C357" s="908" t="s">
        <v>2186</v>
      </c>
      <c r="D357" s="873">
        <f>+I357+I358</f>
        <v>986</v>
      </c>
      <c r="E357" s="873">
        <f>+J357+J358</f>
        <v>41017.9</v>
      </c>
      <c r="F357" s="39" t="s">
        <v>2187</v>
      </c>
      <c r="G357" s="39">
        <v>93331</v>
      </c>
      <c r="H357" s="40"/>
      <c r="I357" s="39">
        <v>400</v>
      </c>
      <c r="J357" s="41">
        <v>17073.5</v>
      </c>
      <c r="K357" s="877">
        <f t="shared" si="182"/>
        <v>0</v>
      </c>
      <c r="L357" s="879">
        <f t="shared" ref="L357" si="184">(+B357-E357)/B357</f>
        <v>3.4918356783210168E-2</v>
      </c>
    </row>
    <row r="358" spans="1:12" ht="15" thickBot="1" x14ac:dyDescent="0.35">
      <c r="A358" s="937"/>
      <c r="B358" s="910"/>
      <c r="C358" s="910"/>
      <c r="D358" s="874"/>
      <c r="E358" s="874"/>
      <c r="F358" s="42" t="s">
        <v>2187</v>
      </c>
      <c r="G358" s="42">
        <v>93331</v>
      </c>
      <c r="H358" s="43"/>
      <c r="I358" s="42">
        <v>586</v>
      </c>
      <c r="J358" s="44">
        <v>23944.400000000001</v>
      </c>
      <c r="K358" s="878"/>
      <c r="L358" s="880"/>
    </row>
    <row r="359" spans="1:12" x14ac:dyDescent="0.3">
      <c r="A359" s="935">
        <v>1084</v>
      </c>
      <c r="B359" s="908">
        <v>46930.5</v>
      </c>
      <c r="C359" s="908" t="s">
        <v>2188</v>
      </c>
      <c r="D359" s="873">
        <f>+I359+I360</f>
        <v>1084</v>
      </c>
      <c r="E359" s="873">
        <f>+J359+J360</f>
        <v>44819.199999999997</v>
      </c>
      <c r="F359" s="39" t="s">
        <v>2189</v>
      </c>
      <c r="G359" s="39">
        <v>93341</v>
      </c>
      <c r="H359" s="40"/>
      <c r="I359" s="39">
        <v>400</v>
      </c>
      <c r="J359" s="41">
        <v>16628.599999999999</v>
      </c>
      <c r="K359" s="877">
        <f t="shared" ref="K359" si="185">+A359-D359</f>
        <v>0</v>
      </c>
      <c r="L359" s="879">
        <f t="shared" ref="L359" si="186">(+B359-E359)/B359</f>
        <v>4.4987801110152312E-2</v>
      </c>
    </row>
    <row r="360" spans="1:12" ht="15" thickBot="1" x14ac:dyDescent="0.35">
      <c r="A360" s="937"/>
      <c r="B360" s="910"/>
      <c r="C360" s="910"/>
      <c r="D360" s="874"/>
      <c r="E360" s="874"/>
      <c r="F360" s="42" t="s">
        <v>2189</v>
      </c>
      <c r="G360" s="42">
        <v>93341</v>
      </c>
      <c r="H360" s="43"/>
      <c r="I360" s="42">
        <v>684</v>
      </c>
      <c r="J360" s="44">
        <v>28190.6</v>
      </c>
      <c r="K360" s="878"/>
      <c r="L360" s="880"/>
    </row>
    <row r="361" spans="1:12" ht="15" thickBot="1" x14ac:dyDescent="0.35">
      <c r="A361" s="255">
        <v>1469</v>
      </c>
      <c r="B361" s="256">
        <v>63477.25</v>
      </c>
      <c r="C361" s="256" t="s">
        <v>2190</v>
      </c>
      <c r="D361" s="8">
        <f t="shared" ref="D361:E365" si="187">+I361</f>
        <v>1460</v>
      </c>
      <c r="E361" s="8">
        <f t="shared" si="187"/>
        <v>60638.3</v>
      </c>
      <c r="F361" s="45" t="s">
        <v>2191</v>
      </c>
      <c r="G361" s="45">
        <v>93391</v>
      </c>
      <c r="H361" s="14"/>
      <c r="I361" s="45">
        <v>1460</v>
      </c>
      <c r="J361" s="46">
        <v>60638.3</v>
      </c>
      <c r="K361" s="54">
        <f t="shared" ref="K361:K365" si="188">+A361-D361</f>
        <v>9</v>
      </c>
      <c r="L361" s="31">
        <f t="shared" ref="L361" si="189">((+B361/A361)-(E361/D361))/(B361/A361)</f>
        <v>3.88352088389773E-2</v>
      </c>
    </row>
    <row r="362" spans="1:12" ht="15" thickBot="1" x14ac:dyDescent="0.35">
      <c r="A362" s="255">
        <v>327</v>
      </c>
      <c r="B362" s="256">
        <v>13633.75</v>
      </c>
      <c r="C362" s="256" t="s">
        <v>2192</v>
      </c>
      <c r="D362" s="8">
        <f t="shared" si="187"/>
        <v>327</v>
      </c>
      <c r="E362" s="8">
        <f t="shared" si="187"/>
        <v>13125</v>
      </c>
      <c r="F362" s="45" t="s">
        <v>2193</v>
      </c>
      <c r="G362" s="45">
        <v>93401</v>
      </c>
      <c r="H362" s="14"/>
      <c r="I362" s="45">
        <v>327</v>
      </c>
      <c r="J362" s="46">
        <v>13125</v>
      </c>
      <c r="K362" s="54">
        <f t="shared" si="188"/>
        <v>0</v>
      </c>
      <c r="L362" s="53">
        <f t="shared" ref="L362:L365" si="190">(+B362-E362)/B362</f>
        <v>3.731548546804804E-2</v>
      </c>
    </row>
    <row r="363" spans="1:12" ht="15" thickBot="1" x14ac:dyDescent="0.35">
      <c r="A363" s="255">
        <v>210</v>
      </c>
      <c r="B363" s="256">
        <v>9411.75</v>
      </c>
      <c r="C363" s="256" t="s">
        <v>2194</v>
      </c>
      <c r="D363" s="8">
        <f t="shared" si="187"/>
        <v>210</v>
      </c>
      <c r="E363" s="8">
        <f t="shared" si="187"/>
        <v>9033.2000000000007</v>
      </c>
      <c r="F363" s="45" t="s">
        <v>2195</v>
      </c>
      <c r="G363" s="45">
        <v>93521</v>
      </c>
      <c r="H363" s="14"/>
      <c r="I363" s="45">
        <v>210</v>
      </c>
      <c r="J363" s="46">
        <v>9033.2000000000007</v>
      </c>
      <c r="K363" s="54">
        <f t="shared" si="188"/>
        <v>0</v>
      </c>
      <c r="L363" s="53">
        <f t="shared" si="190"/>
        <v>4.0221000345312966E-2</v>
      </c>
    </row>
    <row r="364" spans="1:12" ht="15" thickBot="1" x14ac:dyDescent="0.35">
      <c r="A364" s="255">
        <v>300</v>
      </c>
      <c r="B364" s="256">
        <v>13779.5</v>
      </c>
      <c r="C364" s="256" t="s">
        <v>2196</v>
      </c>
      <c r="D364" s="8">
        <f t="shared" si="187"/>
        <v>300</v>
      </c>
      <c r="E364" s="8">
        <f t="shared" si="187"/>
        <v>13382.5</v>
      </c>
      <c r="F364" s="45" t="s">
        <v>2197</v>
      </c>
      <c r="G364" s="45">
        <v>93531</v>
      </c>
      <c r="H364" s="14"/>
      <c r="I364" s="45">
        <v>300</v>
      </c>
      <c r="J364" s="46">
        <v>13382.5</v>
      </c>
      <c r="K364" s="54">
        <f t="shared" si="188"/>
        <v>0</v>
      </c>
      <c r="L364" s="53">
        <f t="shared" si="190"/>
        <v>2.8810914764686672E-2</v>
      </c>
    </row>
    <row r="365" spans="1:12" ht="15" thickBot="1" x14ac:dyDescent="0.35">
      <c r="A365" s="178">
        <v>215</v>
      </c>
      <c r="B365" s="8">
        <v>9499.75</v>
      </c>
      <c r="C365" s="45" t="s">
        <v>2198</v>
      </c>
      <c r="D365" s="45">
        <f t="shared" si="187"/>
        <v>215</v>
      </c>
      <c r="E365" s="45">
        <f t="shared" si="187"/>
        <v>9084.7999999999993</v>
      </c>
      <c r="F365" s="45" t="s">
        <v>2199</v>
      </c>
      <c r="G365" s="45">
        <v>93571</v>
      </c>
      <c r="H365" s="14"/>
      <c r="I365" s="45">
        <v>215</v>
      </c>
      <c r="J365" s="46">
        <v>9084.7999999999993</v>
      </c>
      <c r="K365" s="54">
        <f t="shared" si="188"/>
        <v>0</v>
      </c>
      <c r="L365" s="53">
        <f t="shared" si="190"/>
        <v>4.3680096844653883E-2</v>
      </c>
    </row>
    <row r="366" spans="1:12" x14ac:dyDescent="0.3">
      <c r="A366" s="871">
        <v>1767</v>
      </c>
      <c r="B366" s="873">
        <v>79300</v>
      </c>
      <c r="C366" s="873" t="s">
        <v>2200</v>
      </c>
      <c r="D366" s="873">
        <f>+I366+I367</f>
        <v>1769</v>
      </c>
      <c r="E366" s="873">
        <f>+J366+J367</f>
        <v>75853.5</v>
      </c>
      <c r="F366" s="39" t="s">
        <v>2201</v>
      </c>
      <c r="G366" s="39">
        <v>93581</v>
      </c>
      <c r="H366" s="40"/>
      <c r="I366" s="39">
        <v>1484</v>
      </c>
      <c r="J366" s="41">
        <v>63536.6</v>
      </c>
      <c r="K366" s="877">
        <f t="shared" ref="K366" si="191">+A366-D366</f>
        <v>-2</v>
      </c>
      <c r="L366" s="879">
        <f t="shared" ref="L366" si="192">((+B366/A366)-(E366/D366))/(B366/A366)</f>
        <v>4.4542983867461014E-2</v>
      </c>
    </row>
    <row r="367" spans="1:12" ht="15" thickBot="1" x14ac:dyDescent="0.35">
      <c r="A367" s="872"/>
      <c r="B367" s="874"/>
      <c r="C367" s="874"/>
      <c r="D367" s="874"/>
      <c r="E367" s="874"/>
      <c r="F367" s="42" t="s">
        <v>2201</v>
      </c>
      <c r="G367" s="42">
        <v>93581</v>
      </c>
      <c r="H367" s="43"/>
      <c r="I367" s="42">
        <v>285</v>
      </c>
      <c r="J367" s="44">
        <v>12316.9</v>
      </c>
      <c r="K367" s="878"/>
      <c r="L367" s="880"/>
    </row>
    <row r="368" spans="1:12" ht="15" thickBot="1" x14ac:dyDescent="0.35">
      <c r="A368" s="178">
        <v>224</v>
      </c>
      <c r="B368" s="45">
        <v>9758.75</v>
      </c>
      <c r="C368" s="45" t="s">
        <v>2202</v>
      </c>
      <c r="D368" s="45">
        <v>224</v>
      </c>
      <c r="E368" s="45">
        <v>9359.1</v>
      </c>
      <c r="F368" s="45" t="s">
        <v>2203</v>
      </c>
      <c r="G368" s="45">
        <v>93611</v>
      </c>
      <c r="H368" s="14"/>
      <c r="I368" s="45">
        <v>204</v>
      </c>
      <c r="J368" s="46">
        <v>8511.9</v>
      </c>
      <c r="K368" s="54">
        <f t="shared" ref="K368" si="193">+A368-D368</f>
        <v>0</v>
      </c>
      <c r="L368" s="53">
        <f t="shared" ref="L368" si="194">(+B368-E368)/B368</f>
        <v>4.0952990905597501E-2</v>
      </c>
    </row>
    <row r="369" spans="1:12" x14ac:dyDescent="0.3">
      <c r="A369" s="871">
        <v>1534</v>
      </c>
      <c r="B369" s="873">
        <v>66403.75</v>
      </c>
      <c r="C369" s="873" t="s">
        <v>2204</v>
      </c>
      <c r="D369" s="873">
        <f>+I369+I370</f>
        <v>1531</v>
      </c>
      <c r="E369" s="873">
        <f>+J369+J370</f>
        <v>63941.4</v>
      </c>
      <c r="F369" s="39" t="s">
        <v>2205</v>
      </c>
      <c r="G369" s="39">
        <v>93661</v>
      </c>
      <c r="H369" s="40"/>
      <c r="I369" s="39">
        <v>515</v>
      </c>
      <c r="J369" s="41">
        <v>22159.4</v>
      </c>
      <c r="K369" s="877">
        <f t="shared" ref="K369" si="195">+A369-D369</f>
        <v>3</v>
      </c>
      <c r="L369" s="879">
        <f t="shared" ref="L369" si="196">((+B369/A369)-(E369/D369))/(B369/A369)</f>
        <v>3.5194647847379489E-2</v>
      </c>
    </row>
    <row r="370" spans="1:12" ht="15" thickBot="1" x14ac:dyDescent="0.35">
      <c r="A370" s="872"/>
      <c r="B370" s="874"/>
      <c r="C370" s="874"/>
      <c r="D370" s="874"/>
      <c r="E370" s="874"/>
      <c r="F370" s="42" t="s">
        <v>2205</v>
      </c>
      <c r="G370" s="42">
        <v>93661</v>
      </c>
      <c r="H370" s="43"/>
      <c r="I370" s="42">
        <v>1016</v>
      </c>
      <c r="J370" s="44">
        <v>41782</v>
      </c>
      <c r="K370" s="878"/>
      <c r="L370" s="880"/>
    </row>
    <row r="371" spans="1:12" x14ac:dyDescent="0.3">
      <c r="A371" s="871">
        <v>1746</v>
      </c>
      <c r="B371" s="873">
        <v>78623.5</v>
      </c>
      <c r="C371" s="873" t="s">
        <v>2206</v>
      </c>
      <c r="D371" s="873">
        <f>+I371+I372</f>
        <v>1746</v>
      </c>
      <c r="E371" s="873">
        <f>+J371+J372</f>
        <v>75056.7</v>
      </c>
      <c r="F371" s="39" t="s">
        <v>2207</v>
      </c>
      <c r="G371" s="39">
        <v>93741</v>
      </c>
      <c r="H371" s="40"/>
      <c r="I371" s="39">
        <v>1066</v>
      </c>
      <c r="J371" s="41">
        <v>46174</v>
      </c>
      <c r="K371" s="877">
        <f t="shared" ref="K371" si="197">+A371-D371</f>
        <v>0</v>
      </c>
      <c r="L371" s="879">
        <f t="shared" ref="L371" si="198">(+B371-E371)/B371</f>
        <v>4.5365571362251784E-2</v>
      </c>
    </row>
    <row r="372" spans="1:12" ht="15" thickBot="1" x14ac:dyDescent="0.35">
      <c r="A372" s="872"/>
      <c r="B372" s="874"/>
      <c r="C372" s="874"/>
      <c r="D372" s="874"/>
      <c r="E372" s="874"/>
      <c r="F372" s="42" t="s">
        <v>2207</v>
      </c>
      <c r="G372" s="42">
        <v>93741</v>
      </c>
      <c r="H372" s="43"/>
      <c r="I372" s="42">
        <v>680</v>
      </c>
      <c r="J372" s="44">
        <v>28882.7</v>
      </c>
      <c r="K372" s="878"/>
      <c r="L372" s="880"/>
    </row>
    <row r="373" spans="1:12" x14ac:dyDescent="0.3">
      <c r="A373" s="871">
        <v>788</v>
      </c>
      <c r="B373" s="873">
        <v>35040.75</v>
      </c>
      <c r="C373" s="873" t="s">
        <v>2208</v>
      </c>
      <c r="D373" s="873">
        <f>+I373+I374</f>
        <v>788</v>
      </c>
      <c r="E373" s="873">
        <f>+J373+J374</f>
        <v>33408</v>
      </c>
      <c r="F373" s="39" t="s">
        <v>2209</v>
      </c>
      <c r="G373" s="39">
        <v>93761</v>
      </c>
      <c r="H373" s="40"/>
      <c r="I373" s="39">
        <v>400</v>
      </c>
      <c r="J373" s="41">
        <v>17008.5</v>
      </c>
      <c r="K373" s="877">
        <f t="shared" ref="K373" si="199">+A373-D373</f>
        <v>0</v>
      </c>
      <c r="L373" s="879">
        <f t="shared" ref="L373" si="200">(+B373-E373)/B373</f>
        <v>4.6595749234819461E-2</v>
      </c>
    </row>
    <row r="374" spans="1:12" ht="15" thickBot="1" x14ac:dyDescent="0.35">
      <c r="A374" s="872"/>
      <c r="B374" s="874"/>
      <c r="C374" s="874"/>
      <c r="D374" s="874"/>
      <c r="E374" s="874"/>
      <c r="F374" s="42" t="s">
        <v>2209</v>
      </c>
      <c r="G374" s="42">
        <v>93761</v>
      </c>
      <c r="H374" s="43"/>
      <c r="I374" s="42">
        <v>388</v>
      </c>
      <c r="J374" s="44">
        <v>16399.5</v>
      </c>
      <c r="K374" s="878"/>
      <c r="L374" s="880"/>
    </row>
    <row r="375" spans="1:12" x14ac:dyDescent="0.3">
      <c r="A375" s="871">
        <v>1594</v>
      </c>
      <c r="B375" s="873">
        <v>74909.5</v>
      </c>
      <c r="C375" s="873" t="s">
        <v>2298</v>
      </c>
      <c r="D375" s="873">
        <f>+I375+I377+I376</f>
        <v>1588</v>
      </c>
      <c r="E375" s="873">
        <f>+J375+J377+J376</f>
        <v>70923.899999999994</v>
      </c>
      <c r="F375" s="39" t="s">
        <v>2299</v>
      </c>
      <c r="G375" s="39">
        <v>93791</v>
      </c>
      <c r="H375" s="40"/>
      <c r="I375" s="39">
        <v>220</v>
      </c>
      <c r="J375" s="41">
        <v>9715</v>
      </c>
      <c r="K375" s="882">
        <f t="shared" ref="K375" si="201">+A375-D375</f>
        <v>6</v>
      </c>
      <c r="L375" s="879">
        <f t="shared" ref="L375" si="202">((+B375/A375)-(E375/D375))/(B375/A375)</f>
        <v>4.9628225615584533E-2</v>
      </c>
    </row>
    <row r="376" spans="1:12" x14ac:dyDescent="0.3">
      <c r="A376" s="875"/>
      <c r="B376" s="881"/>
      <c r="C376" s="881"/>
      <c r="D376" s="881"/>
      <c r="E376" s="881"/>
      <c r="F376" s="50" t="s">
        <v>2299</v>
      </c>
      <c r="G376" s="50">
        <v>93791</v>
      </c>
      <c r="I376" s="50">
        <v>528</v>
      </c>
      <c r="J376" s="51">
        <v>23511</v>
      </c>
      <c r="K376" s="883"/>
      <c r="L376" s="885"/>
    </row>
    <row r="377" spans="1:12" ht="15" thickBot="1" x14ac:dyDescent="0.35">
      <c r="A377" s="872"/>
      <c r="B377" s="874"/>
      <c r="C377" s="874"/>
      <c r="D377" s="874"/>
      <c r="E377" s="874"/>
      <c r="F377" s="42" t="s">
        <v>2299</v>
      </c>
      <c r="G377" s="42">
        <v>93791</v>
      </c>
      <c r="H377" s="43"/>
      <c r="I377" s="42">
        <v>840</v>
      </c>
      <c r="J377" s="44">
        <v>37697.9</v>
      </c>
      <c r="K377" s="884"/>
      <c r="L377" s="880"/>
    </row>
    <row r="378" spans="1:12" x14ac:dyDescent="0.3">
      <c r="A378" s="871">
        <v>1201</v>
      </c>
      <c r="B378" s="873">
        <v>58914.5</v>
      </c>
      <c r="C378" s="873" t="s">
        <v>2300</v>
      </c>
      <c r="D378" s="873">
        <f>+I378+I379</f>
        <v>1202</v>
      </c>
      <c r="E378" s="873">
        <f>+J378+J379</f>
        <v>54768</v>
      </c>
      <c r="F378" s="39" t="s">
        <v>2301</v>
      </c>
      <c r="G378" s="39">
        <v>93811</v>
      </c>
      <c r="H378" s="40"/>
      <c r="I378" s="39">
        <v>643</v>
      </c>
      <c r="J378" s="41">
        <v>28996.2</v>
      </c>
      <c r="K378" s="877">
        <f t="shared" ref="K378" si="203">+A378-D378</f>
        <v>-1</v>
      </c>
      <c r="L378" s="879">
        <f t="shared" ref="L378" si="204">((+B378/A378)-(E378/D378))/(B378/A378)</f>
        <v>7.1155047736977575E-2</v>
      </c>
    </row>
    <row r="379" spans="1:12" ht="15" thickBot="1" x14ac:dyDescent="0.35">
      <c r="A379" s="875"/>
      <c r="B379" s="881"/>
      <c r="C379" s="881"/>
      <c r="D379" s="881"/>
      <c r="E379" s="881"/>
      <c r="F379" s="50" t="s">
        <v>2301</v>
      </c>
      <c r="G379" s="50">
        <v>93811</v>
      </c>
      <c r="I379" s="50">
        <v>559</v>
      </c>
      <c r="J379" s="51">
        <v>25771.8</v>
      </c>
      <c r="K379" s="878"/>
      <c r="L379" s="880"/>
    </row>
    <row r="380" spans="1:12" x14ac:dyDescent="0.3">
      <c r="A380" s="871">
        <v>743</v>
      </c>
      <c r="B380" s="873">
        <v>32728</v>
      </c>
      <c r="C380" s="873" t="s">
        <v>2302</v>
      </c>
      <c r="D380" s="873">
        <f>+I380+I381</f>
        <v>743</v>
      </c>
      <c r="E380" s="873">
        <f>+J380+J381</f>
        <v>31031.5</v>
      </c>
      <c r="F380" s="39" t="s">
        <v>2303</v>
      </c>
      <c r="G380" s="39">
        <v>93831</v>
      </c>
      <c r="H380" s="40"/>
      <c r="I380" s="39">
        <v>660</v>
      </c>
      <c r="J380" s="41">
        <v>27580</v>
      </c>
      <c r="K380" s="877">
        <f t="shared" ref="K380" si="205">+A380-D380</f>
        <v>0</v>
      </c>
      <c r="L380" s="879">
        <f t="shared" ref="L380" si="206">(+B380-E380)/B380</f>
        <v>5.1836348081153755E-2</v>
      </c>
    </row>
    <row r="381" spans="1:12" ht="15" thickBot="1" x14ac:dyDescent="0.35">
      <c r="A381" s="872"/>
      <c r="B381" s="874"/>
      <c r="C381" s="874"/>
      <c r="D381" s="874"/>
      <c r="E381" s="874"/>
      <c r="F381" s="42" t="s">
        <v>2303</v>
      </c>
      <c r="G381" s="42">
        <v>93831</v>
      </c>
      <c r="H381" s="43"/>
      <c r="I381" s="42">
        <v>83</v>
      </c>
      <c r="J381" s="44">
        <v>3451.5</v>
      </c>
      <c r="K381" s="878"/>
      <c r="L381" s="880"/>
    </row>
    <row r="382" spans="1:12" x14ac:dyDescent="0.3">
      <c r="A382" s="875">
        <v>1700</v>
      </c>
      <c r="B382" s="881">
        <v>78258.5</v>
      </c>
      <c r="C382" s="881" t="s">
        <v>2304</v>
      </c>
      <c r="D382" s="881">
        <f>+I382+I383+I384</f>
        <v>1701</v>
      </c>
      <c r="E382" s="881">
        <f>+J382+J383+J384</f>
        <v>75089.599999999991</v>
      </c>
      <c r="F382" s="50" t="s">
        <v>2305</v>
      </c>
      <c r="G382" s="50">
        <v>93851</v>
      </c>
      <c r="I382" s="50">
        <v>472</v>
      </c>
      <c r="J382" s="51">
        <v>19897.599999999999</v>
      </c>
      <c r="K382" s="882">
        <f t="shared" ref="K382" si="207">+A382-D382</f>
        <v>-1</v>
      </c>
      <c r="L382" s="879">
        <f t="shared" ref="L382" si="208">((+B382/A382)-(E382/D382))/(B382/A382)</f>
        <v>4.1056810259019777E-2</v>
      </c>
    </row>
    <row r="383" spans="1:12" x14ac:dyDescent="0.3">
      <c r="A383" s="875"/>
      <c r="B383" s="881"/>
      <c r="C383" s="881"/>
      <c r="D383" s="881"/>
      <c r="E383" s="881"/>
      <c r="F383" s="50" t="s">
        <v>2305</v>
      </c>
      <c r="G383" s="50">
        <v>93851</v>
      </c>
      <c r="I383" s="50">
        <v>980</v>
      </c>
      <c r="J383" s="51">
        <v>43341.899999999994</v>
      </c>
      <c r="K383" s="883"/>
      <c r="L383" s="885"/>
    </row>
    <row r="384" spans="1:12" ht="15" thickBot="1" x14ac:dyDescent="0.35">
      <c r="A384" s="872"/>
      <c r="B384" s="874"/>
      <c r="C384" s="874"/>
      <c r="D384" s="874"/>
      <c r="E384" s="874"/>
      <c r="F384" s="42" t="s">
        <v>2305</v>
      </c>
      <c r="G384" s="42">
        <v>93851</v>
      </c>
      <c r="H384" s="43"/>
      <c r="I384" s="42">
        <v>249</v>
      </c>
      <c r="J384" s="44">
        <v>11850.1</v>
      </c>
      <c r="K384" s="884"/>
      <c r="L384" s="880"/>
    </row>
    <row r="385" spans="1:12" ht="15" thickBot="1" x14ac:dyDescent="0.35">
      <c r="A385" s="175">
        <v>355</v>
      </c>
      <c r="B385" s="8">
        <v>16706.5</v>
      </c>
      <c r="C385" s="8" t="s">
        <v>2306</v>
      </c>
      <c r="D385" s="8">
        <f t="shared" ref="D385:E387" si="209">+I385</f>
        <v>355</v>
      </c>
      <c r="E385" s="8">
        <f t="shared" si="209"/>
        <v>15915.8</v>
      </c>
      <c r="F385" s="45" t="s">
        <v>2307</v>
      </c>
      <c r="G385" s="45">
        <v>93881</v>
      </c>
      <c r="H385" s="14"/>
      <c r="I385" s="45">
        <v>355</v>
      </c>
      <c r="J385" s="46">
        <v>15915.8</v>
      </c>
      <c r="K385" s="54">
        <f t="shared" ref="K385:K387" si="210">+A385-D385</f>
        <v>0</v>
      </c>
      <c r="L385" s="53">
        <f t="shared" ref="L385:L386" si="211">(+B385-E385)/B385</f>
        <v>4.7328883967318151E-2</v>
      </c>
    </row>
    <row r="386" spans="1:12" ht="15" thickBot="1" x14ac:dyDescent="0.35">
      <c r="A386" s="175">
        <v>893</v>
      </c>
      <c r="B386" s="8">
        <v>41926.199999999997</v>
      </c>
      <c r="C386" s="8" t="s">
        <v>2308</v>
      </c>
      <c r="D386" s="8">
        <f t="shared" si="209"/>
        <v>893</v>
      </c>
      <c r="E386" s="8">
        <f t="shared" si="209"/>
        <v>39921.5</v>
      </c>
      <c r="F386" s="45" t="s">
        <v>2309</v>
      </c>
      <c r="G386" s="45">
        <v>93921</v>
      </c>
      <c r="H386" s="14"/>
      <c r="I386" s="45">
        <v>893</v>
      </c>
      <c r="J386" s="46">
        <v>39921.5</v>
      </c>
      <c r="K386" s="54">
        <f t="shared" si="210"/>
        <v>0</v>
      </c>
      <c r="L386" s="53">
        <f t="shared" si="211"/>
        <v>4.7814970114152901E-2</v>
      </c>
    </row>
    <row r="387" spans="1:12" ht="15" thickBot="1" x14ac:dyDescent="0.35">
      <c r="A387" s="175">
        <v>149</v>
      </c>
      <c r="B387" s="8">
        <v>7173.75</v>
      </c>
      <c r="C387" s="8" t="s">
        <v>2310</v>
      </c>
      <c r="D387" s="8">
        <f t="shared" si="209"/>
        <v>149</v>
      </c>
      <c r="E387" s="8">
        <f t="shared" si="209"/>
        <v>6814.9</v>
      </c>
      <c r="F387" s="45" t="s">
        <v>2311</v>
      </c>
      <c r="G387" s="45">
        <v>93991</v>
      </c>
      <c r="H387" s="14"/>
      <c r="I387" s="45">
        <v>149</v>
      </c>
      <c r="J387" s="46">
        <v>6814.9</v>
      </c>
      <c r="K387" s="54">
        <f t="shared" si="210"/>
        <v>0</v>
      </c>
      <c r="L387" s="53">
        <f>(+B387-E387)/B387</f>
        <v>5.002265202997043E-2</v>
      </c>
    </row>
    <row r="388" spans="1:12" x14ac:dyDescent="0.3">
      <c r="A388" s="871">
        <v>1297</v>
      </c>
      <c r="B388" s="873">
        <v>57797.75</v>
      </c>
      <c r="C388" s="873" t="s">
        <v>2312</v>
      </c>
      <c r="D388" s="873">
        <f>+I388+I389</f>
        <v>1297</v>
      </c>
      <c r="E388" s="873">
        <f>+J388+J389</f>
        <v>55628.100000000006</v>
      </c>
      <c r="F388" s="39" t="s">
        <v>2313</v>
      </c>
      <c r="G388" s="39">
        <v>94001</v>
      </c>
      <c r="H388" s="40"/>
      <c r="I388" s="39">
        <v>800</v>
      </c>
      <c r="J388" s="41">
        <v>34317.200000000004</v>
      </c>
      <c r="K388" s="877">
        <f t="shared" ref="K388" si="212">+A388-D388</f>
        <v>0</v>
      </c>
      <c r="L388" s="879">
        <f t="shared" ref="L388" si="213">(+B388-E388)/B388</f>
        <v>3.753865851179318E-2</v>
      </c>
    </row>
    <row r="389" spans="1:12" ht="15" thickBot="1" x14ac:dyDescent="0.35">
      <c r="A389" s="875"/>
      <c r="B389" s="881"/>
      <c r="C389" s="881"/>
      <c r="D389" s="881"/>
      <c r="E389" s="881"/>
      <c r="F389" s="50" t="s">
        <v>2313</v>
      </c>
      <c r="G389" s="50">
        <v>94001</v>
      </c>
      <c r="I389" s="50">
        <v>497</v>
      </c>
      <c r="J389" s="51">
        <v>21310.899999999998</v>
      </c>
      <c r="K389" s="878"/>
      <c r="L389" s="880"/>
    </row>
    <row r="390" spans="1:12" x14ac:dyDescent="0.3">
      <c r="A390" s="871">
        <v>600</v>
      </c>
      <c r="B390" s="873">
        <v>27218.25</v>
      </c>
      <c r="C390" s="873" t="s">
        <v>2314</v>
      </c>
      <c r="D390" s="873">
        <f>+I390+I391+I392+I393</f>
        <v>609</v>
      </c>
      <c r="E390" s="873">
        <f>+J390+J391+J392+J393</f>
        <v>26194.299999999996</v>
      </c>
      <c r="F390" s="39" t="s">
        <v>2315</v>
      </c>
      <c r="G390" s="39">
        <v>94021</v>
      </c>
      <c r="H390" s="40"/>
      <c r="I390" s="39">
        <v>32</v>
      </c>
      <c r="J390" s="41">
        <v>1468.3</v>
      </c>
      <c r="K390" s="882">
        <f t="shared" ref="K390" si="214">+A390-D390</f>
        <v>-9</v>
      </c>
      <c r="L390" s="879">
        <f t="shared" ref="L390" si="215">((+B390/A390)-(E390/D390))/(B390/A390)</f>
        <v>5.1842344080659304E-2</v>
      </c>
    </row>
    <row r="391" spans="1:12" x14ac:dyDescent="0.3">
      <c r="A391" s="875"/>
      <c r="B391" s="881"/>
      <c r="C391" s="881"/>
      <c r="D391" s="881"/>
      <c r="E391" s="881"/>
      <c r="F391" s="50" t="s">
        <v>2315</v>
      </c>
      <c r="G391" s="50">
        <v>94021</v>
      </c>
      <c r="I391" s="50">
        <v>210</v>
      </c>
      <c r="J391" s="51">
        <v>8861</v>
      </c>
      <c r="K391" s="883"/>
      <c r="L391" s="885"/>
    </row>
    <row r="392" spans="1:12" x14ac:dyDescent="0.3">
      <c r="A392" s="875"/>
      <c r="B392" s="881"/>
      <c r="C392" s="881"/>
      <c r="D392" s="881"/>
      <c r="E392" s="881"/>
      <c r="F392" s="50" t="s">
        <v>2315</v>
      </c>
      <c r="G392" s="50">
        <v>94021</v>
      </c>
      <c r="I392" s="50">
        <v>215</v>
      </c>
      <c r="J392" s="51">
        <v>9136.9</v>
      </c>
      <c r="K392" s="883"/>
      <c r="L392" s="885"/>
    </row>
    <row r="393" spans="1:12" ht="15" thickBot="1" x14ac:dyDescent="0.35">
      <c r="A393" s="875"/>
      <c r="B393" s="881"/>
      <c r="C393" s="881"/>
      <c r="D393" s="881"/>
      <c r="E393" s="881"/>
      <c r="F393" s="50" t="s">
        <v>2315</v>
      </c>
      <c r="G393" s="50">
        <v>94021</v>
      </c>
      <c r="I393" s="50">
        <v>152</v>
      </c>
      <c r="J393" s="51">
        <v>6728.1</v>
      </c>
      <c r="K393" s="884"/>
      <c r="L393" s="880"/>
    </row>
    <row r="394" spans="1:12" ht="15" thickBot="1" x14ac:dyDescent="0.35">
      <c r="A394" s="178">
        <v>331</v>
      </c>
      <c r="B394" s="45">
        <v>15438</v>
      </c>
      <c r="C394" s="45" t="s">
        <v>2316</v>
      </c>
      <c r="D394" s="45">
        <f>+I394</f>
        <v>311</v>
      </c>
      <c r="E394" s="45">
        <f>+J394</f>
        <v>13533.3</v>
      </c>
      <c r="F394" s="45" t="s">
        <v>2317</v>
      </c>
      <c r="G394" s="45">
        <v>94051</v>
      </c>
      <c r="H394" s="14"/>
      <c r="I394" s="45">
        <v>311</v>
      </c>
      <c r="J394" s="46">
        <v>13533.3</v>
      </c>
      <c r="K394" s="54">
        <f t="shared" ref="K394" si="216">+A394-D394</f>
        <v>20</v>
      </c>
      <c r="L394" s="31">
        <f t="shared" ref="L394" si="217">((+B394/A394)-(E394/D394))/(B394/A394)</f>
        <v>6.7002935505115546E-2</v>
      </c>
    </row>
    <row r="395" spans="1:12" ht="15" thickBot="1" x14ac:dyDescent="0.35">
      <c r="A395" s="178">
        <v>1053</v>
      </c>
      <c r="B395" s="45">
        <v>47560</v>
      </c>
      <c r="C395" s="45" t="s">
        <v>2487</v>
      </c>
      <c r="D395" s="45">
        <v>1053</v>
      </c>
      <c r="E395" s="45">
        <v>45530.8</v>
      </c>
      <c r="F395" s="45" t="s">
        <v>2488</v>
      </c>
      <c r="G395" s="45">
        <v>94061</v>
      </c>
      <c r="H395" s="14"/>
      <c r="I395" s="45">
        <v>311</v>
      </c>
      <c r="J395" s="46">
        <v>13533.3</v>
      </c>
      <c r="K395" s="54">
        <f t="shared" ref="K395" si="218">+A395-D395</f>
        <v>0</v>
      </c>
      <c r="L395" s="53">
        <f t="shared" ref="L395" si="219">(+B395-E395)/B395</f>
        <v>4.266610597140448E-2</v>
      </c>
    </row>
    <row r="396" spans="1:12" x14ac:dyDescent="0.3">
      <c r="A396" s="871">
        <v>1132</v>
      </c>
      <c r="B396" s="873">
        <v>49749.75</v>
      </c>
      <c r="C396" s="873" t="s">
        <v>2318</v>
      </c>
      <c r="D396" s="873">
        <f>+I396+I397</f>
        <v>1132</v>
      </c>
      <c r="E396" s="873">
        <f>+J396+J397</f>
        <v>47034.6</v>
      </c>
      <c r="F396" s="39" t="s">
        <v>2319</v>
      </c>
      <c r="G396" s="39">
        <v>94171</v>
      </c>
      <c r="H396" s="40"/>
      <c r="I396" s="39">
        <v>782</v>
      </c>
      <c r="J396" s="41">
        <v>32284.6</v>
      </c>
      <c r="K396" s="877">
        <f t="shared" ref="K396" si="220">+A396-D396</f>
        <v>0</v>
      </c>
      <c r="L396" s="879">
        <f t="shared" ref="L396" si="221">(+B396-E396)/B396</f>
        <v>5.4576153649013338E-2</v>
      </c>
    </row>
    <row r="397" spans="1:12" ht="15" thickBot="1" x14ac:dyDescent="0.35">
      <c r="A397" s="875"/>
      <c r="B397" s="881"/>
      <c r="C397" s="881"/>
      <c r="D397" s="881"/>
      <c r="E397" s="881"/>
      <c r="F397" s="50" t="s">
        <v>2319</v>
      </c>
      <c r="G397" s="50">
        <v>94171</v>
      </c>
      <c r="I397" s="50">
        <v>350</v>
      </c>
      <c r="J397" s="51">
        <v>14750</v>
      </c>
      <c r="K397" s="878"/>
      <c r="L397" s="880"/>
    </row>
    <row r="398" spans="1:12" x14ac:dyDescent="0.3">
      <c r="A398" s="871">
        <v>2273</v>
      </c>
      <c r="B398" s="873">
        <v>98951.5</v>
      </c>
      <c r="C398" s="873" t="s">
        <v>2320</v>
      </c>
      <c r="D398" s="873">
        <f>+I398+I399+I400+I401</f>
        <v>2273</v>
      </c>
      <c r="E398" s="873">
        <f>+J398+J399+J400+J401</f>
        <v>94061.3</v>
      </c>
      <c r="F398" s="39" t="s">
        <v>2321</v>
      </c>
      <c r="G398" s="39">
        <v>94181</v>
      </c>
      <c r="H398" s="40"/>
      <c r="I398" s="39">
        <v>250</v>
      </c>
      <c r="J398" s="41">
        <v>10374.900000000001</v>
      </c>
      <c r="K398" s="882">
        <f t="shared" ref="K398" si="222">+A398-D398</f>
        <v>0</v>
      </c>
      <c r="L398" s="879">
        <f t="shared" ref="L398" si="223">(+B398-E398)/B398</f>
        <v>4.942017048756206E-2</v>
      </c>
    </row>
    <row r="399" spans="1:12" x14ac:dyDescent="0.3">
      <c r="A399" s="875"/>
      <c r="B399" s="881"/>
      <c r="C399" s="881"/>
      <c r="D399" s="881"/>
      <c r="E399" s="881"/>
      <c r="F399" s="50" t="s">
        <v>2321</v>
      </c>
      <c r="G399" s="50">
        <v>94181</v>
      </c>
      <c r="I399" s="50">
        <v>1000</v>
      </c>
      <c r="J399" s="51">
        <v>41296.900000000009</v>
      </c>
      <c r="K399" s="883"/>
      <c r="L399" s="885"/>
    </row>
    <row r="400" spans="1:12" x14ac:dyDescent="0.3">
      <c r="A400" s="875"/>
      <c r="B400" s="881"/>
      <c r="C400" s="881"/>
      <c r="D400" s="881"/>
      <c r="E400" s="881"/>
      <c r="F400" s="50" t="s">
        <v>2321</v>
      </c>
      <c r="G400" s="50">
        <v>94181</v>
      </c>
      <c r="I400" s="50">
        <v>823</v>
      </c>
      <c r="J400" s="51">
        <v>34197.300000000003</v>
      </c>
      <c r="K400" s="883"/>
      <c r="L400" s="885"/>
    </row>
    <row r="401" spans="1:12" ht="15" thickBot="1" x14ac:dyDescent="0.35">
      <c r="A401" s="872"/>
      <c r="B401" s="874"/>
      <c r="C401" s="874"/>
      <c r="D401" s="874"/>
      <c r="E401" s="874"/>
      <c r="F401" s="42" t="s">
        <v>2322</v>
      </c>
      <c r="G401" s="42">
        <v>98181</v>
      </c>
      <c r="H401" s="43"/>
      <c r="I401" s="42">
        <v>200</v>
      </c>
      <c r="J401" s="44">
        <v>8192.2000000000007</v>
      </c>
      <c r="K401" s="884"/>
      <c r="L401" s="880"/>
    </row>
    <row r="402" spans="1:12" ht="15" thickBot="1" x14ac:dyDescent="0.35">
      <c r="A402" s="177">
        <v>124</v>
      </c>
      <c r="B402" s="12">
        <v>4140.5</v>
      </c>
      <c r="C402" s="39" t="s">
        <v>2323</v>
      </c>
      <c r="D402" s="39">
        <f>+I402</f>
        <v>124</v>
      </c>
      <c r="E402" s="39">
        <f>+J402</f>
        <v>3987.3</v>
      </c>
      <c r="F402" s="39" t="s">
        <v>2324</v>
      </c>
      <c r="G402" s="39">
        <v>94231</v>
      </c>
      <c r="H402" s="40"/>
      <c r="I402" s="39">
        <v>124</v>
      </c>
      <c r="J402" s="41">
        <v>3987.3</v>
      </c>
      <c r="K402" s="54">
        <f t="shared" ref="K402" si="224">+A402-D402</f>
        <v>0</v>
      </c>
      <c r="L402" s="53">
        <f t="shared" ref="L402" si="225">(+B402-E402)/B402</f>
        <v>3.7000362275087503E-2</v>
      </c>
    </row>
    <row r="403" spans="1:12" x14ac:dyDescent="0.3">
      <c r="A403" s="871">
        <v>2100</v>
      </c>
      <c r="B403" s="873">
        <v>92890.6</v>
      </c>
      <c r="C403" s="873" t="s">
        <v>2325</v>
      </c>
      <c r="D403" s="873">
        <v>2098</v>
      </c>
      <c r="E403" s="873">
        <v>87889.1</v>
      </c>
      <c r="F403" s="39" t="s">
        <v>2326</v>
      </c>
      <c r="G403" s="39">
        <v>94291</v>
      </c>
      <c r="H403" s="40"/>
      <c r="I403" s="39">
        <v>900</v>
      </c>
      <c r="J403" s="41">
        <v>37471.100000000006</v>
      </c>
      <c r="K403" s="877">
        <f t="shared" ref="K403:K405" si="226">+A403-D403</f>
        <v>2</v>
      </c>
      <c r="L403" s="879">
        <f t="shared" ref="L403:L405" si="227">((+B403/A403)-(E403/D403))/(B403/A403)</f>
        <v>5.2940946675328573E-2</v>
      </c>
    </row>
    <row r="404" spans="1:12" ht="15" thickBot="1" x14ac:dyDescent="0.35">
      <c r="A404" s="872"/>
      <c r="B404" s="874"/>
      <c r="C404" s="874"/>
      <c r="D404" s="874"/>
      <c r="E404" s="874"/>
      <c r="F404" s="42" t="s">
        <v>2326</v>
      </c>
      <c r="G404" s="42">
        <v>94291</v>
      </c>
      <c r="H404" s="43"/>
      <c r="I404" s="42">
        <v>750</v>
      </c>
      <c r="J404" s="44">
        <v>32773.199999999997</v>
      </c>
      <c r="K404" s="878"/>
      <c r="L404" s="880"/>
    </row>
    <row r="405" spans="1:12" x14ac:dyDescent="0.3">
      <c r="A405" s="871">
        <v>1532</v>
      </c>
      <c r="B405" s="873">
        <v>75521.25</v>
      </c>
      <c r="C405" s="873" t="s">
        <v>2489</v>
      </c>
      <c r="D405" s="873">
        <f>+I405+I406</f>
        <v>1532</v>
      </c>
      <c r="E405" s="873">
        <f>+J405+J406</f>
        <v>73125.899999999994</v>
      </c>
      <c r="F405" s="39" t="s">
        <v>2490</v>
      </c>
      <c r="G405" s="39">
        <v>94301</v>
      </c>
      <c r="H405" s="40"/>
      <c r="I405" s="39">
        <v>1200</v>
      </c>
      <c r="J405" s="41">
        <v>57219.5</v>
      </c>
      <c r="K405" s="877">
        <f t="shared" si="226"/>
        <v>0</v>
      </c>
      <c r="L405" s="879">
        <f t="shared" si="227"/>
        <v>3.1717562937583918E-2</v>
      </c>
    </row>
    <row r="406" spans="1:12" ht="15" thickBot="1" x14ac:dyDescent="0.35">
      <c r="A406" s="872"/>
      <c r="B406" s="874"/>
      <c r="C406" s="874"/>
      <c r="D406" s="874"/>
      <c r="E406" s="874"/>
      <c r="F406" s="42" t="s">
        <v>2490</v>
      </c>
      <c r="G406" s="42">
        <v>94301</v>
      </c>
      <c r="H406" s="43"/>
      <c r="I406" s="42">
        <v>332</v>
      </c>
      <c r="J406" s="44">
        <v>15906.4</v>
      </c>
      <c r="K406" s="878"/>
      <c r="L406" s="880"/>
    </row>
    <row r="407" spans="1:12" ht="15" thickBot="1" x14ac:dyDescent="0.35">
      <c r="A407" s="178">
        <v>1000</v>
      </c>
      <c r="B407" s="8">
        <v>47108.4</v>
      </c>
      <c r="C407" s="45" t="s">
        <v>2491</v>
      </c>
      <c r="D407" s="45">
        <f t="shared" ref="D407:E410" si="228">+I407</f>
        <v>1001</v>
      </c>
      <c r="E407" s="45">
        <f t="shared" si="228"/>
        <v>45366.2</v>
      </c>
      <c r="F407" s="45" t="s">
        <v>2492</v>
      </c>
      <c r="G407" s="45">
        <v>94361</v>
      </c>
      <c r="H407" s="14"/>
      <c r="I407" s="45">
        <v>1001</v>
      </c>
      <c r="J407" s="46">
        <v>45366.2</v>
      </c>
      <c r="K407" s="54">
        <f t="shared" ref="K407:K410" si="229">+A407-D407</f>
        <v>-1</v>
      </c>
      <c r="L407" s="31">
        <f t="shared" ref="L407:L408" si="230">((+B407/A407)-(E407/D407))/(B407/A407)</f>
        <v>3.7944843788387701E-2</v>
      </c>
    </row>
    <row r="408" spans="1:12" ht="15" thickBot="1" x14ac:dyDescent="0.35">
      <c r="A408" s="178">
        <v>983</v>
      </c>
      <c r="B408" s="8">
        <v>44159.25</v>
      </c>
      <c r="C408" s="45" t="s">
        <v>2493</v>
      </c>
      <c r="D408" s="45">
        <v>975</v>
      </c>
      <c r="E408" s="45">
        <v>42343.5</v>
      </c>
      <c r="F408" s="45" t="s">
        <v>2494</v>
      </c>
      <c r="G408" s="45">
        <v>94401</v>
      </c>
      <c r="H408" s="14"/>
      <c r="I408" s="45">
        <v>400</v>
      </c>
      <c r="J408" s="46">
        <v>17362.8</v>
      </c>
      <c r="K408" s="54">
        <f t="shared" si="229"/>
        <v>8</v>
      </c>
      <c r="L408" s="31">
        <f t="shared" si="230"/>
        <v>3.3250477620116972E-2</v>
      </c>
    </row>
    <row r="409" spans="1:12" ht="15" thickBot="1" x14ac:dyDescent="0.35">
      <c r="A409" s="178">
        <v>750</v>
      </c>
      <c r="B409" s="8">
        <v>33057</v>
      </c>
      <c r="C409" s="45" t="s">
        <v>2495</v>
      </c>
      <c r="D409" s="45">
        <f t="shared" si="228"/>
        <v>750</v>
      </c>
      <c r="E409" s="45">
        <f t="shared" si="228"/>
        <v>31550.7</v>
      </c>
      <c r="F409" s="45" t="s">
        <v>2496</v>
      </c>
      <c r="G409" s="45">
        <v>94441</v>
      </c>
      <c r="H409" s="14"/>
      <c r="I409" s="45">
        <v>750</v>
      </c>
      <c r="J409" s="46">
        <v>31550.7</v>
      </c>
      <c r="K409" s="54">
        <f t="shared" si="229"/>
        <v>0</v>
      </c>
      <c r="L409" s="53">
        <f t="shared" ref="L409:L411" si="231">(+B409-E409)/B409</f>
        <v>4.5566748343769829E-2</v>
      </c>
    </row>
    <row r="410" spans="1:12" ht="15" thickBot="1" x14ac:dyDescent="0.35">
      <c r="A410" s="178">
        <v>882</v>
      </c>
      <c r="B410" s="8">
        <v>39064.199999999997</v>
      </c>
      <c r="C410" s="45" t="s">
        <v>2497</v>
      </c>
      <c r="D410" s="45">
        <f t="shared" si="228"/>
        <v>882</v>
      </c>
      <c r="E410" s="45">
        <f t="shared" si="228"/>
        <v>37397.300000000003</v>
      </c>
      <c r="F410" s="45" t="s">
        <v>2498</v>
      </c>
      <c r="G410" s="45">
        <v>94511</v>
      </c>
      <c r="H410" s="14"/>
      <c r="I410" s="45">
        <v>882</v>
      </c>
      <c r="J410" s="46">
        <v>37397.300000000003</v>
      </c>
      <c r="K410" s="54">
        <f t="shared" si="229"/>
        <v>0</v>
      </c>
      <c r="L410" s="53">
        <f t="shared" si="231"/>
        <v>4.2670782967525106E-2</v>
      </c>
    </row>
    <row r="411" spans="1:12" x14ac:dyDescent="0.3">
      <c r="A411" s="871">
        <v>880</v>
      </c>
      <c r="B411" s="873">
        <v>42197.7</v>
      </c>
      <c r="C411" s="873" t="s">
        <v>2499</v>
      </c>
      <c r="D411" s="873">
        <v>880</v>
      </c>
      <c r="E411" s="873">
        <v>38943.9</v>
      </c>
      <c r="F411" s="39" t="s">
        <v>2500</v>
      </c>
      <c r="G411" s="39">
        <v>94521</v>
      </c>
      <c r="H411" s="40"/>
      <c r="I411" s="39">
        <v>597</v>
      </c>
      <c r="J411" s="41">
        <v>26481.199999999997</v>
      </c>
      <c r="K411" s="877">
        <f t="shared" ref="K411" si="232">+A411-D411</f>
        <v>0</v>
      </c>
      <c r="L411" s="879">
        <f t="shared" si="231"/>
        <v>7.7108467997070829E-2</v>
      </c>
    </row>
    <row r="412" spans="1:12" ht="15" thickBot="1" x14ac:dyDescent="0.35">
      <c r="A412" s="872"/>
      <c r="B412" s="874"/>
      <c r="C412" s="874"/>
      <c r="D412" s="874"/>
      <c r="E412" s="874"/>
      <c r="F412" s="42" t="s">
        <v>2500</v>
      </c>
      <c r="G412" s="42">
        <v>94521</v>
      </c>
      <c r="H412" s="43"/>
      <c r="I412" s="42">
        <v>200</v>
      </c>
      <c r="J412" s="44">
        <v>8901.9</v>
      </c>
      <c r="K412" s="878"/>
      <c r="L412" s="880"/>
    </row>
    <row r="413" spans="1:12" ht="15" thickBot="1" x14ac:dyDescent="0.35">
      <c r="A413" s="174">
        <v>562</v>
      </c>
      <c r="B413" s="12">
        <v>24608.5</v>
      </c>
      <c r="C413" s="12" t="s">
        <v>2619</v>
      </c>
      <c r="D413" s="12">
        <f t="shared" ref="D413:E416" si="233">+I413</f>
        <v>569</v>
      </c>
      <c r="E413" s="12">
        <f t="shared" si="233"/>
        <v>23864.6</v>
      </c>
      <c r="F413" s="39" t="s">
        <v>2620</v>
      </c>
      <c r="G413" s="39">
        <v>94531</v>
      </c>
      <c r="H413" s="40"/>
      <c r="I413" s="39">
        <v>569</v>
      </c>
      <c r="J413" s="41">
        <v>23864.6</v>
      </c>
      <c r="K413" s="54">
        <f t="shared" ref="K413:K414" si="234">+A413-D413</f>
        <v>-7</v>
      </c>
      <c r="L413" s="31">
        <f t="shared" ref="L413:L414" si="235">((+B413/A413)-(E413/D413))/(B413/A413)</f>
        <v>4.2159786402693675E-2</v>
      </c>
    </row>
    <row r="414" spans="1:12" x14ac:dyDescent="0.3">
      <c r="A414" s="871">
        <v>809</v>
      </c>
      <c r="B414" s="873">
        <v>37030</v>
      </c>
      <c r="C414" s="873" t="s">
        <v>2621</v>
      </c>
      <c r="D414" s="873">
        <f>+I414+I415</f>
        <v>810</v>
      </c>
      <c r="E414" s="873">
        <f>+J414+J415</f>
        <v>34967.200000000004</v>
      </c>
      <c r="F414" s="39" t="s">
        <v>2622</v>
      </c>
      <c r="G414" s="39">
        <v>94611</v>
      </c>
      <c r="H414" s="40"/>
      <c r="I414" s="39">
        <v>791</v>
      </c>
      <c r="J414" s="41">
        <v>34112.300000000003</v>
      </c>
      <c r="K414" s="877">
        <f t="shared" si="234"/>
        <v>-1</v>
      </c>
      <c r="L414" s="879">
        <f t="shared" si="235"/>
        <v>5.6871979009344931E-2</v>
      </c>
    </row>
    <row r="415" spans="1:12" ht="15" thickBot="1" x14ac:dyDescent="0.35">
      <c r="A415" s="872"/>
      <c r="B415" s="874"/>
      <c r="C415" s="874"/>
      <c r="D415" s="874"/>
      <c r="E415" s="874"/>
      <c r="F415" s="42" t="s">
        <v>2622</v>
      </c>
      <c r="G415" s="42">
        <v>94611</v>
      </c>
      <c r="H415" s="43"/>
      <c r="I415" s="42">
        <v>19</v>
      </c>
      <c r="J415" s="44">
        <v>854.9</v>
      </c>
      <c r="K415" s="878"/>
      <c r="L415" s="880"/>
    </row>
    <row r="416" spans="1:12" ht="15" thickBot="1" x14ac:dyDescent="0.35">
      <c r="A416" s="199">
        <v>117</v>
      </c>
      <c r="B416" s="10">
        <v>4235</v>
      </c>
      <c r="C416" s="10" t="s">
        <v>2623</v>
      </c>
      <c r="D416" s="10">
        <f t="shared" si="233"/>
        <v>116</v>
      </c>
      <c r="E416" s="10">
        <f t="shared" si="233"/>
        <v>3935.5</v>
      </c>
      <c r="F416" s="42" t="s">
        <v>2624</v>
      </c>
      <c r="G416" s="42">
        <v>94651</v>
      </c>
      <c r="H416" s="43"/>
      <c r="I416" s="42">
        <v>116</v>
      </c>
      <c r="J416" s="44">
        <v>3935.5</v>
      </c>
      <c r="K416" s="54">
        <f t="shared" ref="K416:K417" si="236">+A416-D416</f>
        <v>1</v>
      </c>
      <c r="L416" s="31">
        <f t="shared" ref="L416:L417" si="237">((+B416/A416)-(E416/D416))/(B416/A416)</f>
        <v>6.2709156047714182E-2</v>
      </c>
    </row>
    <row r="417" spans="1:12" x14ac:dyDescent="0.3">
      <c r="A417" s="871">
        <v>1189</v>
      </c>
      <c r="B417" s="873">
        <v>57629</v>
      </c>
      <c r="C417" s="873" t="s">
        <v>2625</v>
      </c>
      <c r="D417" s="873">
        <f>+I417+I418</f>
        <v>1187</v>
      </c>
      <c r="E417" s="873">
        <f>+J417+J418</f>
        <v>56047.8</v>
      </c>
      <c r="F417" s="39" t="s">
        <v>2626</v>
      </c>
      <c r="G417" s="39">
        <v>94681</v>
      </c>
      <c r="H417" s="40"/>
      <c r="I417" s="39">
        <v>291</v>
      </c>
      <c r="J417" s="41">
        <v>13459.7</v>
      </c>
      <c r="K417" s="877">
        <f t="shared" si="236"/>
        <v>2</v>
      </c>
      <c r="L417" s="879">
        <f t="shared" si="237"/>
        <v>2.5798884983475646E-2</v>
      </c>
    </row>
    <row r="418" spans="1:12" ht="15" thickBot="1" x14ac:dyDescent="0.35">
      <c r="A418" s="872"/>
      <c r="B418" s="874"/>
      <c r="C418" s="874"/>
      <c r="D418" s="874"/>
      <c r="E418" s="874"/>
      <c r="F418" s="42" t="s">
        <v>2626</v>
      </c>
      <c r="G418" s="42">
        <v>94681</v>
      </c>
      <c r="H418" s="43"/>
      <c r="I418" s="42">
        <v>896</v>
      </c>
      <c r="J418" s="44">
        <v>42588.100000000006</v>
      </c>
      <c r="K418" s="878"/>
      <c r="L418" s="880"/>
    </row>
    <row r="419" spans="1:12" ht="15" thickBot="1" x14ac:dyDescent="0.35">
      <c r="A419" s="175">
        <v>313</v>
      </c>
      <c r="B419" s="8">
        <v>14391.2</v>
      </c>
      <c r="C419" s="8" t="s">
        <v>2627</v>
      </c>
      <c r="D419" s="8">
        <f>+I419</f>
        <v>313</v>
      </c>
      <c r="E419" s="8">
        <f>+J419</f>
        <v>13735.699999999999</v>
      </c>
      <c r="F419" s="45" t="s">
        <v>2628</v>
      </c>
      <c r="G419" s="45">
        <v>94691</v>
      </c>
      <c r="H419" s="14"/>
      <c r="I419" s="45">
        <v>313</v>
      </c>
      <c r="J419" s="46">
        <v>13735.699999999999</v>
      </c>
      <c r="K419" s="54">
        <f t="shared" ref="K419:K420" si="238">+A419-D419</f>
        <v>0</v>
      </c>
      <c r="L419" s="53">
        <f t="shared" ref="L419" si="239">(+B419-E419)/B419</f>
        <v>4.5548668630830076E-2</v>
      </c>
    </row>
    <row r="420" spans="1:12" x14ac:dyDescent="0.3">
      <c r="A420" s="871">
        <v>1084</v>
      </c>
      <c r="B420" s="873">
        <v>47448.25</v>
      </c>
      <c r="C420" s="873" t="s">
        <v>2629</v>
      </c>
      <c r="D420" s="873">
        <f>+I420+I421+I423+I422</f>
        <v>1082</v>
      </c>
      <c r="E420" s="873">
        <f>+J420+J421+J423+J422</f>
        <v>45415.6</v>
      </c>
      <c r="F420" s="873" t="s">
        <v>2630</v>
      </c>
      <c r="G420" s="873">
        <v>94701</v>
      </c>
      <c r="H420" s="40"/>
      <c r="I420" s="39">
        <v>604</v>
      </c>
      <c r="J420" s="41">
        <v>25530.699999999997</v>
      </c>
      <c r="K420" s="882">
        <f t="shared" si="238"/>
        <v>2</v>
      </c>
      <c r="L420" s="879">
        <f t="shared" ref="L420" si="240">((+B420/A420)-(E420/D420))/(B420/A420)</f>
        <v>4.1070060442248701E-2</v>
      </c>
    </row>
    <row r="421" spans="1:12" x14ac:dyDescent="0.3">
      <c r="A421" s="875"/>
      <c r="B421" s="881"/>
      <c r="C421" s="881"/>
      <c r="D421" s="881"/>
      <c r="E421" s="881"/>
      <c r="F421" s="881"/>
      <c r="G421" s="881"/>
      <c r="I421" s="50">
        <v>282</v>
      </c>
      <c r="J421" s="51">
        <v>12255.9</v>
      </c>
      <c r="K421" s="883"/>
      <c r="L421" s="885"/>
    </row>
    <row r="422" spans="1:12" x14ac:dyDescent="0.3">
      <c r="A422" s="875"/>
      <c r="B422" s="881"/>
      <c r="C422" s="881"/>
      <c r="D422" s="881"/>
      <c r="E422" s="881"/>
      <c r="F422" s="881"/>
      <c r="G422" s="881"/>
      <c r="I422" s="50">
        <v>84</v>
      </c>
      <c r="J422" s="51">
        <v>3485.7</v>
      </c>
      <c r="K422" s="883"/>
      <c r="L422" s="885"/>
    </row>
    <row r="423" spans="1:12" ht="15" thickBot="1" x14ac:dyDescent="0.35">
      <c r="A423" s="872"/>
      <c r="B423" s="874"/>
      <c r="C423" s="874"/>
      <c r="D423" s="874"/>
      <c r="E423" s="874"/>
      <c r="F423" s="874"/>
      <c r="G423" s="874"/>
      <c r="H423" s="43"/>
      <c r="I423" s="42">
        <v>112</v>
      </c>
      <c r="J423" s="44">
        <v>4143.3</v>
      </c>
      <c r="K423" s="884"/>
      <c r="L423" s="880"/>
    </row>
    <row r="424" spans="1:12" ht="15" thickBot="1" x14ac:dyDescent="0.35">
      <c r="A424" s="174">
        <v>504</v>
      </c>
      <c r="B424" s="12">
        <v>22479.75</v>
      </c>
      <c r="C424" s="12" t="s">
        <v>2631</v>
      </c>
      <c r="D424" s="12">
        <f t="shared" ref="D424:E427" si="241">+I424</f>
        <v>504</v>
      </c>
      <c r="E424" s="12">
        <f t="shared" si="241"/>
        <v>21535.600000000002</v>
      </c>
      <c r="F424" s="39" t="s">
        <v>2632</v>
      </c>
      <c r="G424" s="39">
        <v>94711</v>
      </c>
      <c r="H424" s="40"/>
      <c r="I424" s="39">
        <v>504</v>
      </c>
      <c r="J424" s="41">
        <v>21535.600000000002</v>
      </c>
      <c r="K424" s="54">
        <f t="shared" ref="K424:K425" si="242">+A424-D424</f>
        <v>0</v>
      </c>
      <c r="L424" s="53">
        <f t="shared" ref="L424" si="243">(+B424-E424)/B424</f>
        <v>4.2000022242240143E-2</v>
      </c>
    </row>
    <row r="425" spans="1:12" x14ac:dyDescent="0.3">
      <c r="A425" s="871">
        <v>1126</v>
      </c>
      <c r="B425" s="873">
        <v>50577.25</v>
      </c>
      <c r="C425" s="873" t="s">
        <v>2633</v>
      </c>
      <c r="D425" s="873">
        <f>+I425+I426</f>
        <v>1128</v>
      </c>
      <c r="E425" s="873">
        <f>+J425+J426</f>
        <v>48331.7</v>
      </c>
      <c r="F425" s="39" t="s">
        <v>2634</v>
      </c>
      <c r="G425" s="39">
        <v>94801</v>
      </c>
      <c r="H425" s="40"/>
      <c r="I425" s="39">
        <v>519</v>
      </c>
      <c r="J425" s="41">
        <v>22508.5</v>
      </c>
      <c r="K425" s="877">
        <f t="shared" si="242"/>
        <v>-2</v>
      </c>
      <c r="L425" s="879">
        <f t="shared" ref="L425" si="244">((+B425/A425)-(E425/D425))/(B425/A425)</f>
        <v>4.609274928047899E-2</v>
      </c>
    </row>
    <row r="426" spans="1:12" ht="15" thickBot="1" x14ac:dyDescent="0.35">
      <c r="A426" s="872"/>
      <c r="B426" s="874"/>
      <c r="C426" s="874"/>
      <c r="D426" s="874"/>
      <c r="E426" s="874"/>
      <c r="F426" s="42" t="s">
        <v>2634</v>
      </c>
      <c r="G426" s="42">
        <v>94801</v>
      </c>
      <c r="H426" s="43"/>
      <c r="I426" s="42">
        <v>609</v>
      </c>
      <c r="J426" s="44">
        <v>25823.200000000001</v>
      </c>
      <c r="K426" s="878"/>
      <c r="L426" s="880"/>
    </row>
    <row r="427" spans="1:12" ht="15" thickBot="1" x14ac:dyDescent="0.35">
      <c r="A427" s="212">
        <v>150</v>
      </c>
      <c r="B427" s="15">
        <v>6928</v>
      </c>
      <c r="C427" s="50" t="s">
        <v>2635</v>
      </c>
      <c r="D427" s="50">
        <f t="shared" si="241"/>
        <v>150</v>
      </c>
      <c r="E427" s="50">
        <f t="shared" si="241"/>
        <v>6614.9</v>
      </c>
      <c r="F427" s="50" t="s">
        <v>2636</v>
      </c>
      <c r="G427" s="50">
        <v>94871</v>
      </c>
      <c r="I427" s="50">
        <v>150</v>
      </c>
      <c r="J427" s="51">
        <v>6614.9</v>
      </c>
      <c r="K427" s="54">
        <f t="shared" ref="K427:K428" si="245">+A427-D427</f>
        <v>0</v>
      </c>
      <c r="L427" s="53">
        <f t="shared" ref="L427" si="246">(+B427-E427)/B427</f>
        <v>4.5193418013856866E-2</v>
      </c>
    </row>
    <row r="428" spans="1:12" x14ac:dyDescent="0.3">
      <c r="A428" s="871">
        <v>785</v>
      </c>
      <c r="B428" s="873">
        <v>35993</v>
      </c>
      <c r="C428" s="873" t="s">
        <v>2637</v>
      </c>
      <c r="D428" s="873">
        <f>+I428+I429</f>
        <v>785</v>
      </c>
      <c r="E428" s="873">
        <f>+J428+J429</f>
        <v>34137.5</v>
      </c>
      <c r="F428" s="39" t="s">
        <v>2638</v>
      </c>
      <c r="G428" s="39">
        <v>94881</v>
      </c>
      <c r="H428" s="40"/>
      <c r="I428" s="39">
        <v>480</v>
      </c>
      <c r="J428" s="41">
        <v>20476.900000000001</v>
      </c>
      <c r="K428" s="877">
        <f t="shared" si="245"/>
        <v>0</v>
      </c>
      <c r="L428" s="879">
        <f t="shared" ref="L428" si="247">(+B428-E428)/B428</f>
        <v>5.1551690606506821E-2</v>
      </c>
    </row>
    <row r="429" spans="1:12" ht="15" thickBot="1" x14ac:dyDescent="0.35">
      <c r="A429" s="872"/>
      <c r="B429" s="874"/>
      <c r="C429" s="874"/>
      <c r="D429" s="874"/>
      <c r="E429" s="874"/>
      <c r="F429" s="42" t="s">
        <v>2638</v>
      </c>
      <c r="G429" s="42">
        <v>94881</v>
      </c>
      <c r="H429" s="43"/>
      <c r="I429" s="42">
        <v>305</v>
      </c>
      <c r="J429" s="44">
        <v>13660.6</v>
      </c>
      <c r="K429" s="878"/>
      <c r="L429" s="880"/>
    </row>
    <row r="430" spans="1:12" x14ac:dyDescent="0.3">
      <c r="A430" s="871">
        <v>1026</v>
      </c>
      <c r="B430" s="873">
        <v>46201</v>
      </c>
      <c r="C430" s="873" t="s">
        <v>2639</v>
      </c>
      <c r="D430" s="873">
        <f>+I430+I431</f>
        <v>1028</v>
      </c>
      <c r="E430" s="873">
        <f>+J430+J431</f>
        <v>44138.9</v>
      </c>
      <c r="F430" s="39" t="s">
        <v>2640</v>
      </c>
      <c r="G430" s="39">
        <v>94901</v>
      </c>
      <c r="H430" s="40"/>
      <c r="I430" s="39">
        <v>200</v>
      </c>
      <c r="J430" s="41">
        <v>8450</v>
      </c>
      <c r="K430" s="877">
        <f t="shared" ref="K430" si="248">+A430-D430</f>
        <v>-2</v>
      </c>
      <c r="L430" s="879">
        <f t="shared" ref="L430" si="249">((+B430/A430)-(E430/D430))/(B430/A430)</f>
        <v>4.6491923254983705E-2</v>
      </c>
    </row>
    <row r="431" spans="1:12" ht="15" thickBot="1" x14ac:dyDescent="0.35">
      <c r="A431" s="875"/>
      <c r="B431" s="881"/>
      <c r="C431" s="881"/>
      <c r="D431" s="881"/>
      <c r="E431" s="881"/>
      <c r="F431" s="50" t="s">
        <v>2640</v>
      </c>
      <c r="G431" s="50">
        <v>94901</v>
      </c>
      <c r="I431" s="50">
        <v>828</v>
      </c>
      <c r="J431" s="51">
        <v>35688.9</v>
      </c>
      <c r="K431" s="878"/>
      <c r="L431" s="880"/>
    </row>
    <row r="432" spans="1:12" x14ac:dyDescent="0.3">
      <c r="A432" s="871">
        <v>903</v>
      </c>
      <c r="B432" s="873">
        <v>39578.25</v>
      </c>
      <c r="C432" s="873" t="s">
        <v>2641</v>
      </c>
      <c r="D432" s="873">
        <f>+I432+I433</f>
        <v>904</v>
      </c>
      <c r="E432" s="873">
        <f>+J432+J433</f>
        <v>37580.300000000003</v>
      </c>
      <c r="F432" s="39" t="s">
        <v>2642</v>
      </c>
      <c r="G432" s="39">
        <v>94971</v>
      </c>
      <c r="H432" s="40"/>
      <c r="I432" s="39">
        <v>604</v>
      </c>
      <c r="J432" s="41">
        <v>25058.3</v>
      </c>
      <c r="K432" s="877">
        <f t="shared" ref="K432" si="250">+A432-D432</f>
        <v>-1</v>
      </c>
      <c r="L432" s="879">
        <f t="shared" ref="L432" si="251">((+B432/A432)-(E432/D432))/(B432/A432)</f>
        <v>5.1531362006116618E-2</v>
      </c>
    </row>
    <row r="433" spans="1:12" ht="15" thickBot="1" x14ac:dyDescent="0.35">
      <c r="A433" s="872"/>
      <c r="B433" s="874"/>
      <c r="C433" s="874"/>
      <c r="D433" s="874"/>
      <c r="E433" s="874"/>
      <c r="F433" s="42" t="s">
        <v>2642</v>
      </c>
      <c r="G433" s="42">
        <v>94971</v>
      </c>
      <c r="H433" s="43"/>
      <c r="I433" s="42">
        <v>300</v>
      </c>
      <c r="J433" s="44">
        <v>12522</v>
      </c>
      <c r="K433" s="878"/>
      <c r="L433" s="880"/>
    </row>
    <row r="434" spans="1:12" ht="15" thickBot="1" x14ac:dyDescent="0.35">
      <c r="A434" s="178">
        <v>1413</v>
      </c>
      <c r="B434" s="8">
        <v>62005.75</v>
      </c>
      <c r="C434" s="45" t="s">
        <v>2643</v>
      </c>
      <c r="D434" s="45">
        <f>+I434</f>
        <v>1413</v>
      </c>
      <c r="E434" s="45">
        <f>+J434</f>
        <v>59565.8</v>
      </c>
      <c r="F434" s="45" t="s">
        <v>2644</v>
      </c>
      <c r="G434" s="45">
        <v>94991</v>
      </c>
      <c r="H434" s="14"/>
      <c r="I434" s="45">
        <v>1413</v>
      </c>
      <c r="J434" s="46">
        <v>59565.8</v>
      </c>
      <c r="K434" s="54">
        <f t="shared" ref="K434" si="252">+A434-D434</f>
        <v>0</v>
      </c>
      <c r="L434" s="53">
        <f t="shared" ref="L434" si="253">(+B434-E434)/B434</f>
        <v>3.9350382827399027E-2</v>
      </c>
    </row>
    <row r="435" spans="1:12" x14ac:dyDescent="0.3">
      <c r="A435" s="871">
        <v>1752</v>
      </c>
      <c r="B435" s="873">
        <v>78172.75</v>
      </c>
      <c r="C435" s="873" t="s">
        <v>2645</v>
      </c>
      <c r="D435" s="873">
        <f>+I435+I436</f>
        <v>1752</v>
      </c>
      <c r="E435" s="873">
        <f>+J435+J436</f>
        <v>74173.899999999994</v>
      </c>
      <c r="F435" s="39" t="s">
        <v>2646</v>
      </c>
      <c r="G435" s="39">
        <v>95031</v>
      </c>
      <c r="H435" s="40"/>
      <c r="I435" s="39">
        <v>1013</v>
      </c>
      <c r="J435" s="41">
        <v>43689.9</v>
      </c>
      <c r="K435" s="877">
        <f t="shared" ref="K435" si="254">+A435-D435</f>
        <v>0</v>
      </c>
      <c r="L435" s="879">
        <f t="shared" ref="L435" si="255">(+B435-E435)/B435</f>
        <v>5.1154014666236071E-2</v>
      </c>
    </row>
    <row r="436" spans="1:12" ht="15" thickBot="1" x14ac:dyDescent="0.35">
      <c r="A436" s="872"/>
      <c r="B436" s="874"/>
      <c r="C436" s="874"/>
      <c r="D436" s="874"/>
      <c r="E436" s="874"/>
      <c r="F436" s="42" t="s">
        <v>2646</v>
      </c>
      <c r="G436" s="42">
        <v>95031</v>
      </c>
      <c r="H436" s="43"/>
      <c r="I436" s="42">
        <v>739</v>
      </c>
      <c r="J436" s="44">
        <v>30484</v>
      </c>
      <c r="K436" s="878"/>
      <c r="L436" s="880"/>
    </row>
    <row r="437" spans="1:12" x14ac:dyDescent="0.3">
      <c r="A437" s="871">
        <v>1593</v>
      </c>
      <c r="B437" s="873">
        <v>72094</v>
      </c>
      <c r="C437" s="873" t="s">
        <v>2647</v>
      </c>
      <c r="D437" s="873">
        <f>+I437+I438</f>
        <v>1593</v>
      </c>
      <c r="E437" s="873">
        <f>+J437+J438</f>
        <v>68727.100000000006</v>
      </c>
      <c r="F437" s="39" t="s">
        <v>2648</v>
      </c>
      <c r="G437" s="39">
        <v>95101</v>
      </c>
      <c r="H437" s="40"/>
      <c r="I437" s="39">
        <v>1174</v>
      </c>
      <c r="J437" s="41">
        <v>50488.6</v>
      </c>
      <c r="K437" s="877">
        <f t="shared" ref="K437" si="256">+A437-D437</f>
        <v>0</v>
      </c>
      <c r="L437" s="879">
        <f t="shared" ref="L437" si="257">(+B437-E437)/B437</f>
        <v>4.6701528559935562E-2</v>
      </c>
    </row>
    <row r="438" spans="1:12" ht="15" thickBot="1" x14ac:dyDescent="0.35">
      <c r="A438" s="872"/>
      <c r="B438" s="874"/>
      <c r="C438" s="874"/>
      <c r="D438" s="874"/>
      <c r="E438" s="874"/>
      <c r="F438" s="42" t="s">
        <v>2648</v>
      </c>
      <c r="G438" s="42">
        <v>95101</v>
      </c>
      <c r="H438" s="43"/>
      <c r="I438" s="42">
        <v>419</v>
      </c>
      <c r="J438" s="44">
        <v>18238.5</v>
      </c>
      <c r="K438" s="878"/>
      <c r="L438" s="880"/>
    </row>
    <row r="439" spans="1:12" ht="15" thickBot="1" x14ac:dyDescent="0.35">
      <c r="A439" s="178">
        <v>828</v>
      </c>
      <c r="B439" s="8">
        <v>36388.5</v>
      </c>
      <c r="C439" s="45" t="s">
        <v>2649</v>
      </c>
      <c r="D439" s="45">
        <f>+I439</f>
        <v>829</v>
      </c>
      <c r="E439" s="45">
        <f>+J439</f>
        <v>34585.1</v>
      </c>
      <c r="F439" s="45" t="s">
        <v>2650</v>
      </c>
      <c r="G439" s="45">
        <v>95111</v>
      </c>
      <c r="H439" s="14"/>
      <c r="I439" s="45">
        <v>829</v>
      </c>
      <c r="J439" s="46">
        <v>34585.1</v>
      </c>
      <c r="K439" s="54">
        <f t="shared" ref="K439:K475" si="258">+A439-D439</f>
        <v>-1</v>
      </c>
      <c r="L439" s="31">
        <f t="shared" ref="L439:L444" si="259">((+B439/A439)-(E439/D439))/(B439/A439)</f>
        <v>5.0706103826960745E-2</v>
      </c>
    </row>
    <row r="440" spans="1:12" ht="15" thickBot="1" x14ac:dyDescent="0.35">
      <c r="A440" s="178">
        <v>397</v>
      </c>
      <c r="B440" s="8">
        <v>17782.25</v>
      </c>
      <c r="C440" s="45" t="s">
        <v>2651</v>
      </c>
      <c r="D440" s="45">
        <f>+I440</f>
        <v>397</v>
      </c>
      <c r="E440" s="45">
        <f>+J440</f>
        <v>16998.5</v>
      </c>
      <c r="F440" s="45" t="s">
        <v>2652</v>
      </c>
      <c r="G440" s="45">
        <v>95121</v>
      </c>
      <c r="H440" s="14"/>
      <c r="I440" s="45">
        <v>397</v>
      </c>
      <c r="J440" s="46">
        <v>16998.5</v>
      </c>
      <c r="K440" s="54">
        <f t="shared" si="258"/>
        <v>0</v>
      </c>
      <c r="L440" s="53">
        <f t="shared" ref="L440" si="260">(+B440-E440)/B440</f>
        <v>4.4074849920566858E-2</v>
      </c>
    </row>
    <row r="441" spans="1:12" ht="15" thickBot="1" x14ac:dyDescent="0.35">
      <c r="A441" s="236">
        <v>810</v>
      </c>
      <c r="B441" s="12">
        <v>35641.75</v>
      </c>
      <c r="C441" s="39" t="s">
        <v>2779</v>
      </c>
      <c r="D441" s="39">
        <f t="shared" ref="D441:E441" si="261">+I441</f>
        <v>806</v>
      </c>
      <c r="E441" s="39">
        <f t="shared" si="261"/>
        <v>33634.300000000003</v>
      </c>
      <c r="F441" s="39" t="s">
        <v>2780</v>
      </c>
      <c r="G441" s="39">
        <v>95221</v>
      </c>
      <c r="H441" s="40"/>
      <c r="I441" s="39">
        <v>806</v>
      </c>
      <c r="J441" s="41">
        <v>33634.300000000003</v>
      </c>
      <c r="K441" s="54">
        <f t="shared" si="258"/>
        <v>4</v>
      </c>
      <c r="L441" s="31">
        <f t="shared" si="259"/>
        <v>5.1639731411121326E-2</v>
      </c>
    </row>
    <row r="442" spans="1:12" x14ac:dyDescent="0.3">
      <c r="A442" s="871">
        <v>1476</v>
      </c>
      <c r="B442" s="873">
        <v>66485.75</v>
      </c>
      <c r="C442" s="873" t="s">
        <v>2781</v>
      </c>
      <c r="D442" s="873">
        <f>+I442+I443</f>
        <v>1470</v>
      </c>
      <c r="E442" s="873">
        <f>+J442+J443</f>
        <v>62448.800000000003</v>
      </c>
      <c r="F442" s="39" t="s">
        <v>2782</v>
      </c>
      <c r="G442" s="39">
        <v>95231</v>
      </c>
      <c r="H442" s="40"/>
      <c r="I442" s="39">
        <v>870</v>
      </c>
      <c r="J442" s="41">
        <v>36776.800000000003</v>
      </c>
      <c r="K442" s="877">
        <f t="shared" si="258"/>
        <v>6</v>
      </c>
      <c r="L442" s="879">
        <f t="shared" si="259"/>
        <v>5.6885226364679679E-2</v>
      </c>
    </row>
    <row r="443" spans="1:12" ht="15" thickBot="1" x14ac:dyDescent="0.35">
      <c r="A443" s="872"/>
      <c r="B443" s="874"/>
      <c r="C443" s="874"/>
      <c r="D443" s="874"/>
      <c r="E443" s="874"/>
      <c r="F443" s="42" t="s">
        <v>2782</v>
      </c>
      <c r="G443" s="42">
        <v>95231</v>
      </c>
      <c r="H443" s="43"/>
      <c r="I443" s="42">
        <v>600</v>
      </c>
      <c r="J443" s="44">
        <v>25672</v>
      </c>
      <c r="K443" s="878"/>
      <c r="L443" s="880"/>
    </row>
    <row r="444" spans="1:12" x14ac:dyDescent="0.3">
      <c r="A444" s="871">
        <v>2147</v>
      </c>
      <c r="B444" s="873">
        <v>94357.25</v>
      </c>
      <c r="C444" s="873" t="s">
        <v>2783</v>
      </c>
      <c r="D444" s="873">
        <f>+I444+I445</f>
        <v>2148</v>
      </c>
      <c r="E444" s="873">
        <f>+J444+J445</f>
        <v>90279.4</v>
      </c>
      <c r="F444" s="39" t="s">
        <v>2784</v>
      </c>
      <c r="G444" s="39">
        <v>95331</v>
      </c>
      <c r="H444" s="40"/>
      <c r="I444" s="39">
        <v>1201</v>
      </c>
      <c r="J444" s="41">
        <v>50171.9</v>
      </c>
      <c r="K444" s="877">
        <f t="shared" si="258"/>
        <v>-1</v>
      </c>
      <c r="L444" s="879">
        <f t="shared" si="259"/>
        <v>4.3662564517603947E-2</v>
      </c>
    </row>
    <row r="445" spans="1:12" ht="15" thickBot="1" x14ac:dyDescent="0.35">
      <c r="A445" s="872"/>
      <c r="B445" s="874"/>
      <c r="C445" s="874"/>
      <c r="D445" s="874"/>
      <c r="E445" s="874"/>
      <c r="F445" s="42" t="s">
        <v>2784</v>
      </c>
      <c r="G445" s="42">
        <v>95331</v>
      </c>
      <c r="H445" s="43"/>
      <c r="I445" s="42">
        <v>947</v>
      </c>
      <c r="J445" s="44">
        <v>40107.5</v>
      </c>
      <c r="K445" s="878"/>
      <c r="L445" s="880"/>
    </row>
    <row r="446" spans="1:12" ht="15" thickBot="1" x14ac:dyDescent="0.35">
      <c r="A446" s="199">
        <v>1995</v>
      </c>
      <c r="B446" s="10">
        <v>89842.5</v>
      </c>
      <c r="C446" s="10" t="s">
        <v>2785</v>
      </c>
      <c r="D446" s="10">
        <f t="shared" ref="D446:E448" si="262">+I446</f>
        <v>1995</v>
      </c>
      <c r="E446" s="10">
        <f t="shared" si="262"/>
        <v>85168.2</v>
      </c>
      <c r="F446" s="42" t="s">
        <v>2786</v>
      </c>
      <c r="G446" s="42">
        <v>95341</v>
      </c>
      <c r="H446" s="43"/>
      <c r="I446" s="42">
        <v>1995</v>
      </c>
      <c r="J446" s="44">
        <v>85168.2</v>
      </c>
      <c r="K446" s="54">
        <f t="shared" si="258"/>
        <v>0</v>
      </c>
      <c r="L446" s="53">
        <f t="shared" ref="L446:L449" si="263">(+B446-E446)/B446</f>
        <v>5.2027715168211065E-2</v>
      </c>
    </row>
    <row r="447" spans="1:12" ht="15" thickBot="1" x14ac:dyDescent="0.35">
      <c r="A447" s="178">
        <v>600</v>
      </c>
      <c r="B447" s="8">
        <v>26051.75</v>
      </c>
      <c r="C447" s="45" t="s">
        <v>2787</v>
      </c>
      <c r="D447" s="45">
        <f t="shared" si="262"/>
        <v>600</v>
      </c>
      <c r="E447" s="45">
        <f t="shared" si="262"/>
        <v>24830.199999999997</v>
      </c>
      <c r="F447" s="45" t="s">
        <v>2788</v>
      </c>
      <c r="G447" s="45">
        <v>95391</v>
      </c>
      <c r="H447" s="14"/>
      <c r="I447" s="45">
        <v>600</v>
      </c>
      <c r="J447" s="46">
        <v>24830.199999999997</v>
      </c>
      <c r="K447" s="54">
        <f t="shared" si="258"/>
        <v>0</v>
      </c>
      <c r="L447" s="53">
        <f t="shared" si="263"/>
        <v>4.6889364438089685E-2</v>
      </c>
    </row>
    <row r="448" spans="1:12" ht="15" thickBot="1" x14ac:dyDescent="0.35">
      <c r="A448" s="178">
        <v>900</v>
      </c>
      <c r="B448" s="8">
        <v>40284.5</v>
      </c>
      <c r="C448" s="45" t="s">
        <v>2789</v>
      </c>
      <c r="D448" s="45">
        <f t="shared" si="262"/>
        <v>900</v>
      </c>
      <c r="E448" s="45">
        <f t="shared" si="262"/>
        <v>38696.400000000001</v>
      </c>
      <c r="F448" s="45" t="s">
        <v>2790</v>
      </c>
      <c r="G448" s="45">
        <v>95421</v>
      </c>
      <c r="H448" s="14"/>
      <c r="I448" s="45">
        <v>900</v>
      </c>
      <c r="J448" s="46">
        <v>38696.400000000001</v>
      </c>
      <c r="K448" s="54">
        <f t="shared" si="258"/>
        <v>0</v>
      </c>
      <c r="L448" s="53">
        <f t="shared" si="263"/>
        <v>3.9422110240911482E-2</v>
      </c>
    </row>
    <row r="449" spans="1:12" x14ac:dyDescent="0.3">
      <c r="A449" s="871">
        <v>944</v>
      </c>
      <c r="B449" s="873">
        <v>42454.25</v>
      </c>
      <c r="C449" s="873" t="s">
        <v>2791</v>
      </c>
      <c r="D449" s="873">
        <f>+I449+I450</f>
        <v>944</v>
      </c>
      <c r="E449" s="873">
        <f>+J449+J450</f>
        <v>40747.199999999997</v>
      </c>
      <c r="F449" s="873" t="s">
        <v>2792</v>
      </c>
      <c r="G449" s="873">
        <v>95431</v>
      </c>
      <c r="H449" s="38"/>
      <c r="I449" s="12">
        <v>400</v>
      </c>
      <c r="J449" s="13">
        <v>17505.900000000001</v>
      </c>
      <c r="K449" s="877">
        <f t="shared" si="258"/>
        <v>0</v>
      </c>
      <c r="L449" s="879">
        <f t="shared" si="263"/>
        <v>4.0209166337881436E-2</v>
      </c>
    </row>
    <row r="450" spans="1:12" ht="15" thickBot="1" x14ac:dyDescent="0.35">
      <c r="A450" s="872"/>
      <c r="B450" s="874"/>
      <c r="C450" s="874"/>
      <c r="D450" s="874"/>
      <c r="E450" s="874"/>
      <c r="F450" s="874"/>
      <c r="G450" s="874"/>
      <c r="H450" s="82"/>
      <c r="I450" s="10">
        <v>544</v>
      </c>
      <c r="J450" s="11">
        <v>23241.3</v>
      </c>
      <c r="K450" s="878"/>
      <c r="L450" s="880"/>
    </row>
    <row r="451" spans="1:12" ht="15" thickBot="1" x14ac:dyDescent="0.35">
      <c r="A451" s="178">
        <v>950</v>
      </c>
      <c r="B451" s="8">
        <v>41500.5</v>
      </c>
      <c r="C451" s="45" t="s">
        <v>2793</v>
      </c>
      <c r="D451" s="45">
        <f>+I451</f>
        <v>950</v>
      </c>
      <c r="E451" s="45">
        <f>+J451</f>
        <v>39668.1</v>
      </c>
      <c r="F451" s="45" t="s">
        <v>2794</v>
      </c>
      <c r="G451" s="45">
        <v>95471</v>
      </c>
      <c r="H451" s="14"/>
      <c r="I451" s="45">
        <v>950</v>
      </c>
      <c r="J451" s="46">
        <v>39668.1</v>
      </c>
      <c r="K451" s="54">
        <f t="shared" si="258"/>
        <v>0</v>
      </c>
      <c r="L451" s="53">
        <f t="shared" ref="L451" si="264">(+B451-E451)/B451</f>
        <v>4.4153684895362741E-2</v>
      </c>
    </row>
    <row r="452" spans="1:12" ht="15" thickBot="1" x14ac:dyDescent="0.35">
      <c r="A452" s="178">
        <v>1019</v>
      </c>
      <c r="B452" s="8">
        <v>45492</v>
      </c>
      <c r="C452" s="45" t="s">
        <v>2795</v>
      </c>
      <c r="D452" s="45">
        <f>+I452</f>
        <v>1020</v>
      </c>
      <c r="E452" s="45">
        <f>+J452</f>
        <v>44406.3</v>
      </c>
      <c r="F452" s="45" t="s">
        <v>2796</v>
      </c>
      <c r="G452" s="45">
        <v>95481</v>
      </c>
      <c r="H452" s="14"/>
      <c r="I452" s="45">
        <v>1020</v>
      </c>
      <c r="J452" s="46">
        <v>44406.3</v>
      </c>
      <c r="K452" s="54">
        <f t="shared" si="258"/>
        <v>-1</v>
      </c>
      <c r="L452" s="31">
        <f t="shared" ref="L452" si="265">((+B452/A452)-(E452/D452))/(B452/A452)</f>
        <v>2.4822729012470051E-2</v>
      </c>
    </row>
    <row r="453" spans="1:12" x14ac:dyDescent="0.3">
      <c r="A453" s="871">
        <v>1120</v>
      </c>
      <c r="B453" s="873">
        <v>47237.5</v>
      </c>
      <c r="C453" s="873" t="s">
        <v>2797</v>
      </c>
      <c r="D453" s="873">
        <f>+I453+I454</f>
        <v>1120</v>
      </c>
      <c r="E453" s="873">
        <f>+J453+J454</f>
        <v>46496.9</v>
      </c>
      <c r="F453" s="39" t="s">
        <v>2798</v>
      </c>
      <c r="G453" s="39">
        <v>95551</v>
      </c>
      <c r="H453" s="40"/>
      <c r="I453" s="39">
        <v>199</v>
      </c>
      <c r="J453" s="41">
        <v>7970</v>
      </c>
      <c r="K453" s="877">
        <f t="shared" si="258"/>
        <v>0</v>
      </c>
      <c r="L453" s="879">
        <f t="shared" ref="L453" si="266">(+B453-E453)/B453</f>
        <v>1.5678221751786157E-2</v>
      </c>
    </row>
    <row r="454" spans="1:12" ht="15" thickBot="1" x14ac:dyDescent="0.35">
      <c r="A454" s="872"/>
      <c r="B454" s="874"/>
      <c r="C454" s="874"/>
      <c r="D454" s="874"/>
      <c r="E454" s="874"/>
      <c r="F454" s="42" t="s">
        <v>2798</v>
      </c>
      <c r="G454" s="42">
        <v>95551</v>
      </c>
      <c r="H454" s="43"/>
      <c r="I454" s="42">
        <v>921</v>
      </c>
      <c r="J454" s="44">
        <v>38526.9</v>
      </c>
      <c r="K454" s="878"/>
      <c r="L454" s="880"/>
    </row>
    <row r="455" spans="1:12" ht="15" thickBot="1" x14ac:dyDescent="0.35">
      <c r="A455" s="178">
        <v>1169</v>
      </c>
      <c r="B455" s="8">
        <v>54387.75</v>
      </c>
      <c r="C455" s="8" t="s">
        <v>2799</v>
      </c>
      <c r="D455" s="8">
        <v>1171</v>
      </c>
      <c r="E455" s="8">
        <v>53102.2</v>
      </c>
      <c r="F455" s="45" t="s">
        <v>2800</v>
      </c>
      <c r="G455" s="45">
        <v>95561</v>
      </c>
      <c r="H455" s="14"/>
      <c r="I455" s="45">
        <v>250</v>
      </c>
      <c r="J455" s="46">
        <v>11009.1</v>
      </c>
      <c r="K455" s="54">
        <f t="shared" si="258"/>
        <v>-2</v>
      </c>
      <c r="L455" s="31">
        <f t="shared" ref="L455:L475" si="267">((+B455/A455)-(E455/D455))/(B455/A455)</f>
        <v>2.5304328161284279E-2</v>
      </c>
    </row>
    <row r="456" spans="1:12" ht="15" thickBot="1" x14ac:dyDescent="0.35">
      <c r="A456" s="178">
        <v>309</v>
      </c>
      <c r="B456" s="8">
        <v>13703</v>
      </c>
      <c r="C456" s="8" t="s">
        <v>2904</v>
      </c>
      <c r="D456" s="8">
        <f t="shared" ref="D456:E460" si="268">+I456</f>
        <v>309</v>
      </c>
      <c r="E456" s="8">
        <f t="shared" si="268"/>
        <v>13307.5</v>
      </c>
      <c r="F456" s="45" t="s">
        <v>2905</v>
      </c>
      <c r="G456" s="45">
        <v>95571</v>
      </c>
      <c r="H456" s="14"/>
      <c r="I456" s="45">
        <v>309</v>
      </c>
      <c r="J456" s="46">
        <v>13307.5</v>
      </c>
      <c r="K456" s="54">
        <f t="shared" si="258"/>
        <v>0</v>
      </c>
      <c r="L456" s="31">
        <f t="shared" si="267"/>
        <v>2.8862292928555858E-2</v>
      </c>
    </row>
    <row r="457" spans="1:12" ht="15" thickBot="1" x14ac:dyDescent="0.35">
      <c r="A457" s="178">
        <v>550</v>
      </c>
      <c r="B457" s="8">
        <v>24489.25</v>
      </c>
      <c r="C457" s="8" t="s">
        <v>2906</v>
      </c>
      <c r="D457" s="8">
        <f t="shared" si="268"/>
        <v>549</v>
      </c>
      <c r="E457" s="8">
        <f t="shared" si="268"/>
        <v>23919.5</v>
      </c>
      <c r="F457" s="45" t="s">
        <v>2907</v>
      </c>
      <c r="G457" s="45">
        <v>9558</v>
      </c>
      <c r="H457" s="14"/>
      <c r="I457" s="45">
        <v>549</v>
      </c>
      <c r="J457" s="46">
        <v>23919.5</v>
      </c>
      <c r="K457" s="54">
        <f t="shared" si="258"/>
        <v>1</v>
      </c>
      <c r="L457" s="31">
        <f t="shared" si="267"/>
        <v>2.1486194278806232E-2</v>
      </c>
    </row>
    <row r="458" spans="1:12" ht="15" thickBot="1" x14ac:dyDescent="0.35">
      <c r="A458" s="178">
        <v>300</v>
      </c>
      <c r="B458" s="8">
        <v>13965.5</v>
      </c>
      <c r="C458" s="8" t="s">
        <v>2908</v>
      </c>
      <c r="D458" s="8">
        <f t="shared" si="268"/>
        <v>300</v>
      </c>
      <c r="E458" s="8">
        <f t="shared" si="268"/>
        <v>13588.8</v>
      </c>
      <c r="F458" s="45" t="s">
        <v>2909</v>
      </c>
      <c r="G458" s="45">
        <v>95631</v>
      </c>
      <c r="H458" s="14"/>
      <c r="I458" s="45">
        <v>300</v>
      </c>
      <c r="J458" s="46">
        <v>13588.8</v>
      </c>
      <c r="K458" s="54">
        <f t="shared" si="258"/>
        <v>0</v>
      </c>
      <c r="L458" s="31">
        <f t="shared" si="267"/>
        <v>2.6973613547671117E-2</v>
      </c>
    </row>
    <row r="459" spans="1:12" ht="15" thickBot="1" x14ac:dyDescent="0.35">
      <c r="A459" s="178">
        <v>261</v>
      </c>
      <c r="B459" s="8">
        <v>11305.75</v>
      </c>
      <c r="C459" s="8" t="s">
        <v>2910</v>
      </c>
      <c r="D459" s="8">
        <f t="shared" si="268"/>
        <v>260</v>
      </c>
      <c r="E459" s="8">
        <f t="shared" si="268"/>
        <v>10958.6</v>
      </c>
      <c r="F459" s="45" t="s">
        <v>2911</v>
      </c>
      <c r="G459" s="45">
        <v>95641</v>
      </c>
      <c r="H459" s="14"/>
      <c r="I459" s="45">
        <v>260</v>
      </c>
      <c r="J459" s="46">
        <v>10958.6</v>
      </c>
      <c r="K459" s="54">
        <f t="shared" si="258"/>
        <v>1</v>
      </c>
      <c r="L459" s="31">
        <f t="shared" si="267"/>
        <v>2.6977559070520581E-2</v>
      </c>
    </row>
    <row r="460" spans="1:12" ht="15" thickBot="1" x14ac:dyDescent="0.35">
      <c r="A460" s="178">
        <v>1062</v>
      </c>
      <c r="B460" s="8">
        <v>46918.75</v>
      </c>
      <c r="C460" s="8" t="s">
        <v>2912</v>
      </c>
      <c r="D460" s="8">
        <f t="shared" si="268"/>
        <v>1063</v>
      </c>
      <c r="E460" s="8">
        <f t="shared" si="268"/>
        <v>45810.7</v>
      </c>
      <c r="F460" s="45" t="s">
        <v>2913</v>
      </c>
      <c r="G460" s="45">
        <v>95651</v>
      </c>
      <c r="H460" s="14"/>
      <c r="I460" s="45">
        <v>1063</v>
      </c>
      <c r="J460" s="46">
        <v>45810.7</v>
      </c>
      <c r="K460" s="54">
        <f t="shared" si="258"/>
        <v>-1</v>
      </c>
      <c r="L460" s="31">
        <f t="shared" si="267"/>
        <v>2.4534875132535525E-2</v>
      </c>
    </row>
    <row r="461" spans="1:12" x14ac:dyDescent="0.3">
      <c r="A461" s="938">
        <v>900</v>
      </c>
      <c r="B461" s="873">
        <v>39120.25</v>
      </c>
      <c r="C461" s="873" t="s">
        <v>2914</v>
      </c>
      <c r="D461" s="873">
        <f>+I461+I462</f>
        <v>907</v>
      </c>
      <c r="E461" s="873">
        <f>+J461+J462</f>
        <v>38793.599999999999</v>
      </c>
      <c r="F461" s="39" t="s">
        <v>2915</v>
      </c>
      <c r="G461" s="39">
        <v>95711</v>
      </c>
      <c r="H461" s="40"/>
      <c r="I461" s="39">
        <v>600</v>
      </c>
      <c r="J461" s="41">
        <v>26033.1</v>
      </c>
      <c r="K461" s="877">
        <f t="shared" si="258"/>
        <v>-7</v>
      </c>
      <c r="L461" s="879">
        <f t="shared" si="267"/>
        <v>1.6003203928361947E-2</v>
      </c>
    </row>
    <row r="462" spans="1:12" ht="15" thickBot="1" x14ac:dyDescent="0.35">
      <c r="A462" s="939"/>
      <c r="B462" s="874"/>
      <c r="C462" s="874"/>
      <c r="D462" s="874"/>
      <c r="E462" s="874"/>
      <c r="F462" s="42" t="s">
        <v>2915</v>
      </c>
      <c r="G462" s="42">
        <v>95711</v>
      </c>
      <c r="H462" s="43"/>
      <c r="I462" s="42">
        <v>307</v>
      </c>
      <c r="J462" s="44">
        <v>12760.5</v>
      </c>
      <c r="K462" s="878"/>
      <c r="L462" s="880"/>
    </row>
    <row r="463" spans="1:12" ht="15" thickBot="1" x14ac:dyDescent="0.35">
      <c r="A463" s="178">
        <v>1180</v>
      </c>
      <c r="B463" s="8">
        <v>51834.25</v>
      </c>
      <c r="C463" s="8" t="s">
        <v>2916</v>
      </c>
      <c r="D463" s="8">
        <f>+I463</f>
        <v>1181</v>
      </c>
      <c r="E463" s="8">
        <f>+J463</f>
        <v>50262</v>
      </c>
      <c r="F463" s="45" t="s">
        <v>2917</v>
      </c>
      <c r="G463" s="45">
        <v>95721</v>
      </c>
      <c r="H463" s="14"/>
      <c r="I463" s="45">
        <v>1181</v>
      </c>
      <c r="J463" s="46">
        <v>50262</v>
      </c>
      <c r="K463" s="54">
        <f t="shared" si="258"/>
        <v>-1</v>
      </c>
      <c r="L463" s="31">
        <f t="shared" si="267"/>
        <v>3.1153317515610467E-2</v>
      </c>
    </row>
    <row r="464" spans="1:12" ht="15" thickBot="1" x14ac:dyDescent="0.35">
      <c r="A464" s="178">
        <v>967</v>
      </c>
      <c r="B464" s="8">
        <v>42601.25</v>
      </c>
      <c r="C464" s="8" t="s">
        <v>2918</v>
      </c>
      <c r="D464" s="8">
        <f>+I464</f>
        <v>966</v>
      </c>
      <c r="E464" s="8">
        <f>+J464</f>
        <v>41150.699999999997</v>
      </c>
      <c r="F464" s="45" t="s">
        <v>2919</v>
      </c>
      <c r="G464" s="45">
        <v>95731</v>
      </c>
      <c r="H464" s="14"/>
      <c r="I464" s="45">
        <v>966</v>
      </c>
      <c r="J464" s="46">
        <v>41150.699999999997</v>
      </c>
      <c r="K464" s="54">
        <f t="shared" si="258"/>
        <v>1</v>
      </c>
      <c r="L464" s="31">
        <f t="shared" si="267"/>
        <v>3.304952159096311E-2</v>
      </c>
    </row>
    <row r="465" spans="1:12" x14ac:dyDescent="0.3">
      <c r="A465" s="871">
        <v>1200</v>
      </c>
      <c r="B465" s="873">
        <v>52342.5</v>
      </c>
      <c r="C465" s="873" t="s">
        <v>2920</v>
      </c>
      <c r="D465" s="873">
        <f>+I465+I466</f>
        <v>1202</v>
      </c>
      <c r="E465" s="873">
        <f>+J465+J466</f>
        <v>50761.7</v>
      </c>
      <c r="F465" s="39" t="s">
        <v>2921</v>
      </c>
      <c r="G465" s="39">
        <v>95741</v>
      </c>
      <c r="H465" s="40"/>
      <c r="I465" s="39">
        <v>702</v>
      </c>
      <c r="J465" s="41">
        <v>29723.199999999997</v>
      </c>
      <c r="K465" s="877">
        <f t="shared" si="258"/>
        <v>-2</v>
      </c>
      <c r="L465" s="879">
        <f t="shared" si="267"/>
        <v>3.1814721559496655E-2</v>
      </c>
    </row>
    <row r="466" spans="1:12" ht="15" thickBot="1" x14ac:dyDescent="0.35">
      <c r="A466" s="872"/>
      <c r="B466" s="874"/>
      <c r="C466" s="874"/>
      <c r="D466" s="874"/>
      <c r="E466" s="874"/>
      <c r="F466" s="42" t="s">
        <v>2921</v>
      </c>
      <c r="G466" s="42">
        <v>95741</v>
      </c>
      <c r="H466" s="43"/>
      <c r="I466" s="42">
        <v>500</v>
      </c>
      <c r="J466" s="44">
        <v>21038.5</v>
      </c>
      <c r="K466" s="878"/>
      <c r="L466" s="880"/>
    </row>
    <row r="467" spans="1:12" ht="15" thickBot="1" x14ac:dyDescent="0.35">
      <c r="A467" s="178">
        <v>575</v>
      </c>
      <c r="B467" s="8">
        <v>26093.5</v>
      </c>
      <c r="C467" s="8" t="s">
        <v>2922</v>
      </c>
      <c r="D467" s="8">
        <f t="shared" ref="D467:E469" si="269">+I467</f>
        <v>576</v>
      </c>
      <c r="E467" s="8">
        <f t="shared" si="269"/>
        <v>24747.800000000003</v>
      </c>
      <c r="F467" s="45" t="s">
        <v>2923</v>
      </c>
      <c r="G467" s="45">
        <v>95751</v>
      </c>
      <c r="H467" s="14"/>
      <c r="I467" s="45">
        <v>576</v>
      </c>
      <c r="J467" s="46">
        <v>24747.800000000003</v>
      </c>
      <c r="K467" s="54">
        <f t="shared" si="258"/>
        <v>-1</v>
      </c>
      <c r="L467" s="31">
        <f t="shared" si="267"/>
        <v>5.3218806620635543E-2</v>
      </c>
    </row>
    <row r="468" spans="1:12" ht="15" thickBot="1" x14ac:dyDescent="0.35">
      <c r="A468" s="175">
        <v>300</v>
      </c>
      <c r="B468" s="8">
        <v>14079</v>
      </c>
      <c r="C468" s="8" t="s">
        <v>2924</v>
      </c>
      <c r="D468" s="8">
        <f t="shared" si="269"/>
        <v>300</v>
      </c>
      <c r="E468" s="8">
        <f t="shared" si="269"/>
        <v>13713.900000000001</v>
      </c>
      <c r="F468" s="8" t="s">
        <v>2925</v>
      </c>
      <c r="G468" s="8">
        <v>95771</v>
      </c>
      <c r="H468" s="80"/>
      <c r="I468" s="8">
        <v>300</v>
      </c>
      <c r="J468" s="9">
        <v>13713.900000000001</v>
      </c>
      <c r="K468" s="54">
        <f t="shared" si="258"/>
        <v>0</v>
      </c>
      <c r="L468" s="31">
        <f t="shared" si="267"/>
        <v>2.5932239505646531E-2</v>
      </c>
    </row>
    <row r="469" spans="1:12" ht="15" thickBot="1" x14ac:dyDescent="0.35">
      <c r="A469" s="177">
        <v>251</v>
      </c>
      <c r="B469" s="12">
        <v>11500.75</v>
      </c>
      <c r="C469" s="12" t="s">
        <v>2926</v>
      </c>
      <c r="D469" s="12">
        <f t="shared" si="269"/>
        <v>251</v>
      </c>
      <c r="E469" s="12">
        <f t="shared" si="269"/>
        <v>11168.2</v>
      </c>
      <c r="F469" s="39" t="s">
        <v>2927</v>
      </c>
      <c r="G469" s="39">
        <v>95781</v>
      </c>
      <c r="H469" s="40"/>
      <c r="I469" s="39">
        <v>251</v>
      </c>
      <c r="J469" s="41">
        <v>11168.2</v>
      </c>
      <c r="K469" s="54">
        <f t="shared" si="258"/>
        <v>0</v>
      </c>
      <c r="L469" s="31">
        <f t="shared" si="267"/>
        <v>2.8915505510510101E-2</v>
      </c>
    </row>
    <row r="470" spans="1:12" ht="15" thickBot="1" x14ac:dyDescent="0.35">
      <c r="A470" s="177">
        <v>600</v>
      </c>
      <c r="B470" s="12">
        <v>25894.5</v>
      </c>
      <c r="C470" s="12" t="s">
        <v>3028</v>
      </c>
      <c r="D470" s="12">
        <v>598</v>
      </c>
      <c r="E470" s="12">
        <v>25127.599999999999</v>
      </c>
      <c r="F470" s="39" t="s">
        <v>3029</v>
      </c>
      <c r="G470" s="39">
        <v>95791</v>
      </c>
      <c r="H470" s="40"/>
      <c r="I470" s="39">
        <v>251</v>
      </c>
      <c r="J470" s="41">
        <v>11168.2</v>
      </c>
      <c r="K470" s="54">
        <f t="shared" ref="K470" si="270">+A470-D470</f>
        <v>2</v>
      </c>
      <c r="L470" s="31">
        <f t="shared" ref="L470" si="271">((+B470/A470)-(E470/D470))/(B470/A470)</f>
        <v>2.6370897449782021E-2</v>
      </c>
    </row>
    <row r="471" spans="1:12" x14ac:dyDescent="0.3">
      <c r="A471" s="871">
        <v>563</v>
      </c>
      <c r="B471" s="873">
        <v>23756.25</v>
      </c>
      <c r="C471" s="873" t="s">
        <v>2928</v>
      </c>
      <c r="D471" s="873">
        <f>+I471+I472</f>
        <v>563</v>
      </c>
      <c r="E471" s="873">
        <f>+J471+J472</f>
        <v>23223.999999999996</v>
      </c>
      <c r="F471" s="39" t="s">
        <v>2929</v>
      </c>
      <c r="G471" s="39">
        <v>95801</v>
      </c>
      <c r="H471" s="40"/>
      <c r="I471" s="39">
        <v>446</v>
      </c>
      <c r="J471" s="41">
        <v>19305.399999999998</v>
      </c>
      <c r="K471" s="877">
        <f t="shared" si="258"/>
        <v>0</v>
      </c>
      <c r="L471" s="879">
        <f t="shared" ref="L471" si="272">(+B471-E471)/B471</f>
        <v>2.2404630360431617E-2</v>
      </c>
    </row>
    <row r="472" spans="1:12" ht="15" thickBot="1" x14ac:dyDescent="0.35">
      <c r="A472" s="872"/>
      <c r="B472" s="874"/>
      <c r="C472" s="874"/>
      <c r="D472" s="874"/>
      <c r="E472" s="874"/>
      <c r="F472" s="42" t="s">
        <v>2929</v>
      </c>
      <c r="G472" s="42">
        <v>95801</v>
      </c>
      <c r="H472" s="43"/>
      <c r="I472" s="42">
        <v>117</v>
      </c>
      <c r="J472" s="44">
        <v>3918.6</v>
      </c>
      <c r="K472" s="878"/>
      <c r="L472" s="880"/>
    </row>
    <row r="473" spans="1:12" ht="15" thickBot="1" x14ac:dyDescent="0.35">
      <c r="A473" s="175">
        <v>371</v>
      </c>
      <c r="B473" s="8">
        <v>16332.75</v>
      </c>
      <c r="C473" s="8" t="s">
        <v>2930</v>
      </c>
      <c r="D473" s="8">
        <f t="shared" ref="D473:E474" si="273">+I473</f>
        <v>371</v>
      </c>
      <c r="E473" s="8">
        <f t="shared" si="273"/>
        <v>15905</v>
      </c>
      <c r="F473" s="8" t="s">
        <v>2931</v>
      </c>
      <c r="G473" s="8">
        <v>95811</v>
      </c>
      <c r="H473" s="80"/>
      <c r="I473" s="8">
        <v>371</v>
      </c>
      <c r="J473" s="9">
        <v>15905</v>
      </c>
      <c r="K473" s="54">
        <f t="shared" si="258"/>
        <v>0</v>
      </c>
      <c r="L473" s="31">
        <f t="shared" si="267"/>
        <v>2.6189710857020435E-2</v>
      </c>
    </row>
    <row r="474" spans="1:12" ht="15" thickBot="1" x14ac:dyDescent="0.35">
      <c r="A474" s="178">
        <v>913</v>
      </c>
      <c r="B474" s="8">
        <v>45143.4</v>
      </c>
      <c r="C474" s="45" t="s">
        <v>2932</v>
      </c>
      <c r="D474" s="8">
        <f t="shared" si="273"/>
        <v>915</v>
      </c>
      <c r="E474" s="8">
        <f t="shared" si="273"/>
        <v>42770.5</v>
      </c>
      <c r="F474" s="45" t="s">
        <v>2933</v>
      </c>
      <c r="G474" s="45">
        <v>95841</v>
      </c>
      <c r="H474" s="14"/>
      <c r="I474" s="45">
        <v>915</v>
      </c>
      <c r="J474" s="46">
        <v>42770.5</v>
      </c>
      <c r="K474" s="54">
        <f t="shared" si="258"/>
        <v>-2</v>
      </c>
      <c r="L474" s="31">
        <f t="shared" si="267"/>
        <v>5.4634507628889141E-2</v>
      </c>
    </row>
    <row r="475" spans="1:12" ht="15" thickBot="1" x14ac:dyDescent="0.35">
      <c r="A475" s="178">
        <v>1341</v>
      </c>
      <c r="B475" s="8">
        <v>58835.25</v>
      </c>
      <c r="C475" s="45" t="s">
        <v>2934</v>
      </c>
      <c r="D475" s="8">
        <v>1344</v>
      </c>
      <c r="E475" s="8">
        <v>56877.599999999999</v>
      </c>
      <c r="F475" s="45" t="s">
        <v>2935</v>
      </c>
      <c r="G475" s="45">
        <v>95921</v>
      </c>
      <c r="H475" s="14"/>
      <c r="I475" s="45">
        <v>601</v>
      </c>
      <c r="J475" s="46">
        <v>25134.800000000003</v>
      </c>
      <c r="K475" s="54">
        <f t="shared" si="258"/>
        <v>-3</v>
      </c>
      <c r="L475" s="31">
        <f t="shared" si="267"/>
        <v>3.5431292100763345E-2</v>
      </c>
    </row>
    <row r="476" spans="1:12" ht="15" thickBot="1" x14ac:dyDescent="0.35">
      <c r="A476" s="178">
        <v>164</v>
      </c>
      <c r="B476" s="8">
        <v>6997.5</v>
      </c>
      <c r="C476" s="45" t="s">
        <v>3030</v>
      </c>
      <c r="D476" s="8">
        <f t="shared" ref="D476:E478" si="274">+I476</f>
        <v>164</v>
      </c>
      <c r="E476" s="8">
        <f t="shared" si="274"/>
        <v>6839.4</v>
      </c>
      <c r="F476" s="45" t="s">
        <v>3031</v>
      </c>
      <c r="G476" s="45">
        <v>95951</v>
      </c>
      <c r="H476" s="14"/>
      <c r="I476" s="45">
        <v>164</v>
      </c>
      <c r="J476" s="46">
        <v>6839.4</v>
      </c>
      <c r="K476" s="54">
        <f t="shared" ref="K476:K479" si="275">+A476-D476</f>
        <v>0</v>
      </c>
      <c r="L476" s="31">
        <f t="shared" ref="L476:L479" si="276">((+B476/A476)-(E476/D476))/(B476/A476)</f>
        <v>2.2593783494104975E-2</v>
      </c>
    </row>
    <row r="477" spans="1:12" ht="15" thickBot="1" x14ac:dyDescent="0.35">
      <c r="A477" s="178">
        <v>307</v>
      </c>
      <c r="B477" s="8">
        <v>13460</v>
      </c>
      <c r="C477" s="45" t="s">
        <v>3032</v>
      </c>
      <c r="D477" s="8">
        <f t="shared" si="274"/>
        <v>308</v>
      </c>
      <c r="E477" s="8">
        <f t="shared" si="274"/>
        <v>13235</v>
      </c>
      <c r="F477" s="45" t="s">
        <v>3033</v>
      </c>
      <c r="G477" s="45">
        <v>96961</v>
      </c>
      <c r="H477" s="14"/>
      <c r="I477" s="45">
        <v>308</v>
      </c>
      <c r="J477" s="46">
        <v>13235</v>
      </c>
      <c r="K477" s="54">
        <f t="shared" si="275"/>
        <v>-1</v>
      </c>
      <c r="L477" s="31">
        <f t="shared" si="276"/>
        <v>1.9908676019374381E-2</v>
      </c>
    </row>
    <row r="478" spans="1:12" ht="15" thickBot="1" x14ac:dyDescent="0.35">
      <c r="A478" s="178">
        <v>502</v>
      </c>
      <c r="B478" s="8">
        <v>23668.5</v>
      </c>
      <c r="C478" s="45" t="s">
        <v>3034</v>
      </c>
      <c r="D478" s="8">
        <f t="shared" si="274"/>
        <v>501</v>
      </c>
      <c r="E478" s="8">
        <f t="shared" si="274"/>
        <v>23162.7</v>
      </c>
      <c r="F478" s="45" t="s">
        <v>3035</v>
      </c>
      <c r="G478" s="45">
        <v>96001</v>
      </c>
      <c r="H478" s="14"/>
      <c r="I478" s="45">
        <v>501</v>
      </c>
      <c r="J478" s="46">
        <v>23162.7</v>
      </c>
      <c r="K478" s="54">
        <f t="shared" si="275"/>
        <v>1</v>
      </c>
      <c r="L478" s="31">
        <f t="shared" si="276"/>
        <v>1.9416822606766998E-2</v>
      </c>
    </row>
    <row r="479" spans="1:12" x14ac:dyDescent="0.3">
      <c r="A479" s="871">
        <v>1801</v>
      </c>
      <c r="B479" s="873">
        <v>79762</v>
      </c>
      <c r="C479" s="873" t="s">
        <v>3036</v>
      </c>
      <c r="D479" s="873">
        <f>+I479+I480</f>
        <v>1801</v>
      </c>
      <c r="E479" s="873">
        <f>+J479+J480</f>
        <v>76824.100000000006</v>
      </c>
      <c r="F479" s="39" t="s">
        <v>3037</v>
      </c>
      <c r="G479" s="39">
        <v>96011</v>
      </c>
      <c r="H479" s="40"/>
      <c r="I479" s="39">
        <v>909</v>
      </c>
      <c r="J479" s="41">
        <v>38577.800000000003</v>
      </c>
      <c r="K479" s="882">
        <f t="shared" si="275"/>
        <v>0</v>
      </c>
      <c r="L479" s="879">
        <f t="shared" si="276"/>
        <v>3.6833329154233742E-2</v>
      </c>
    </row>
    <row r="480" spans="1:12" ht="15" thickBot="1" x14ac:dyDescent="0.35">
      <c r="A480" s="872"/>
      <c r="B480" s="874"/>
      <c r="C480" s="874"/>
      <c r="D480" s="874"/>
      <c r="E480" s="874"/>
      <c r="F480" s="42" t="s">
        <v>3037</v>
      </c>
      <c r="G480" s="42">
        <v>96011</v>
      </c>
      <c r="H480" s="43"/>
      <c r="I480" s="42">
        <v>892</v>
      </c>
      <c r="J480" s="44">
        <v>38246.300000000003</v>
      </c>
      <c r="K480" s="884"/>
      <c r="L480" s="880"/>
    </row>
    <row r="481" spans="1:12" x14ac:dyDescent="0.3">
      <c r="A481" s="871">
        <v>1590</v>
      </c>
      <c r="B481" s="873">
        <v>70852</v>
      </c>
      <c r="C481" s="873" t="s">
        <v>3038</v>
      </c>
      <c r="D481" s="873">
        <f>+I481+I483+I482</f>
        <v>1590</v>
      </c>
      <c r="E481" s="873">
        <f>+J481+J483+J482</f>
        <v>69155.5</v>
      </c>
      <c r="F481" s="39" t="s">
        <v>3039</v>
      </c>
      <c r="G481" s="39">
        <v>96021</v>
      </c>
      <c r="H481" s="40"/>
      <c r="I481" s="39">
        <v>307</v>
      </c>
      <c r="J481" s="41">
        <v>13462.7</v>
      </c>
      <c r="K481" s="882">
        <f t="shared" ref="K481" si="277">+A481-D481</f>
        <v>0</v>
      </c>
      <c r="L481" s="879">
        <f t="shared" ref="L481" si="278">((+B481/A481)-(E481/D481))/(B481/A481)</f>
        <v>2.394427821374126E-2</v>
      </c>
    </row>
    <row r="482" spans="1:12" x14ac:dyDescent="0.3">
      <c r="A482" s="875"/>
      <c r="B482" s="881"/>
      <c r="C482" s="881"/>
      <c r="D482" s="881"/>
      <c r="E482" s="881"/>
      <c r="F482" s="50" t="s">
        <v>3039</v>
      </c>
      <c r="G482" s="50">
        <v>96021</v>
      </c>
      <c r="I482" s="50">
        <v>200</v>
      </c>
      <c r="J482" s="51">
        <v>8849.4</v>
      </c>
      <c r="K482" s="883"/>
      <c r="L482" s="885"/>
    </row>
    <row r="483" spans="1:12" ht="15" thickBot="1" x14ac:dyDescent="0.35">
      <c r="A483" s="872"/>
      <c r="B483" s="874"/>
      <c r="C483" s="874"/>
      <c r="D483" s="874"/>
      <c r="E483" s="874"/>
      <c r="F483" s="42" t="s">
        <v>3039</v>
      </c>
      <c r="G483" s="42">
        <v>96021</v>
      </c>
      <c r="H483" s="43"/>
      <c r="I483" s="42">
        <v>1083</v>
      </c>
      <c r="J483" s="44">
        <v>46843.4</v>
      </c>
      <c r="K483" s="884"/>
      <c r="L483" s="880"/>
    </row>
    <row r="484" spans="1:12" ht="15" thickBot="1" x14ac:dyDescent="0.35">
      <c r="A484" s="177">
        <v>330</v>
      </c>
      <c r="B484" s="12">
        <v>14175.75</v>
      </c>
      <c r="C484" s="39" t="s">
        <v>3040</v>
      </c>
      <c r="D484" s="12">
        <f>+I484</f>
        <v>330</v>
      </c>
      <c r="E484" s="12">
        <f>+J484</f>
        <v>13612.5</v>
      </c>
      <c r="F484" s="39" t="s">
        <v>3041</v>
      </c>
      <c r="G484" s="39">
        <v>96041</v>
      </c>
      <c r="H484" s="40"/>
      <c r="I484" s="39">
        <v>330</v>
      </c>
      <c r="J484" s="41">
        <v>13612.5</v>
      </c>
      <c r="K484" s="54">
        <f t="shared" ref="K484:K485" si="279">+A484-D484</f>
        <v>0</v>
      </c>
      <c r="L484" s="31">
        <f t="shared" ref="L484:L485" si="280">((+B484/A484)-(E484/D484))/(B484/A484)</f>
        <v>3.9733347441934214E-2</v>
      </c>
    </row>
    <row r="485" spans="1:12" x14ac:dyDescent="0.3">
      <c r="A485" s="871">
        <v>705</v>
      </c>
      <c r="B485" s="873">
        <v>31407</v>
      </c>
      <c r="C485" s="873" t="s">
        <v>3042</v>
      </c>
      <c r="D485" s="873">
        <f>+I485+I486</f>
        <v>706</v>
      </c>
      <c r="E485" s="873">
        <f>+J485+J486</f>
        <v>30590.100000000002</v>
      </c>
      <c r="F485" s="873" t="s">
        <v>3043</v>
      </c>
      <c r="G485" s="873">
        <v>96051</v>
      </c>
      <c r="H485" s="38"/>
      <c r="I485" s="12">
        <v>406</v>
      </c>
      <c r="J485" s="13">
        <v>17572.900000000001</v>
      </c>
      <c r="K485" s="882">
        <f t="shared" si="279"/>
        <v>-1</v>
      </c>
      <c r="L485" s="879">
        <f t="shared" si="280"/>
        <v>2.7389714189227685E-2</v>
      </c>
    </row>
    <row r="486" spans="1:12" ht="15" thickBot="1" x14ac:dyDescent="0.35">
      <c r="A486" s="872"/>
      <c r="B486" s="874"/>
      <c r="C486" s="874"/>
      <c r="D486" s="874"/>
      <c r="E486" s="874"/>
      <c r="F486" s="874"/>
      <c r="G486" s="874"/>
      <c r="H486" s="82"/>
      <c r="I486" s="10">
        <v>300</v>
      </c>
      <c r="J486" s="11">
        <v>13017.2</v>
      </c>
      <c r="K486" s="884"/>
      <c r="L486" s="880"/>
    </row>
    <row r="487" spans="1:12" ht="15" thickBot="1" x14ac:dyDescent="0.35">
      <c r="A487" s="179">
        <v>277</v>
      </c>
      <c r="B487" s="10">
        <v>12113.8</v>
      </c>
      <c r="C487" s="42" t="s">
        <v>3044</v>
      </c>
      <c r="D487" s="10">
        <f>+I487</f>
        <v>276</v>
      </c>
      <c r="E487" s="10">
        <f>+J487</f>
        <v>11751.1</v>
      </c>
      <c r="F487" s="42" t="s">
        <v>3045</v>
      </c>
      <c r="G487" s="42">
        <v>96091</v>
      </c>
      <c r="H487" s="43"/>
      <c r="I487" s="42">
        <v>276</v>
      </c>
      <c r="J487" s="44">
        <v>11751.1</v>
      </c>
      <c r="K487" s="54">
        <f t="shared" ref="K487:K488" si="281">+A487-D487</f>
        <v>1</v>
      </c>
      <c r="L487" s="31">
        <f t="shared" ref="L487:L488" si="282">((+B487/A487)-(E487/D487))/(B487/A487)</f>
        <v>2.6426352649427585E-2</v>
      </c>
    </row>
    <row r="488" spans="1:12" x14ac:dyDescent="0.3">
      <c r="A488" s="871">
        <v>978</v>
      </c>
      <c r="B488" s="873">
        <v>41864.75</v>
      </c>
      <c r="C488" s="873" t="s">
        <v>3046</v>
      </c>
      <c r="D488" s="873">
        <f>+I488+I489</f>
        <v>975</v>
      </c>
      <c r="E488" s="873">
        <f>+J488+J489</f>
        <v>40315.699999999997</v>
      </c>
      <c r="F488" s="39" t="s">
        <v>3047</v>
      </c>
      <c r="G488" s="39">
        <v>96101</v>
      </c>
      <c r="H488" s="40"/>
      <c r="I488" s="39">
        <v>832</v>
      </c>
      <c r="J488" s="41">
        <v>34425</v>
      </c>
      <c r="K488" s="877">
        <f t="shared" si="281"/>
        <v>3</v>
      </c>
      <c r="L488" s="879">
        <f t="shared" si="282"/>
        <v>3.4038222903700496E-2</v>
      </c>
    </row>
    <row r="489" spans="1:12" ht="15" thickBot="1" x14ac:dyDescent="0.35">
      <c r="A489" s="872"/>
      <c r="B489" s="874"/>
      <c r="C489" s="874"/>
      <c r="D489" s="874"/>
      <c r="E489" s="874"/>
      <c r="F489" s="42" t="s">
        <v>3047</v>
      </c>
      <c r="G489" s="42">
        <v>96101</v>
      </c>
      <c r="H489" s="43"/>
      <c r="I489" s="42">
        <v>143</v>
      </c>
      <c r="J489" s="44">
        <v>5890.7</v>
      </c>
      <c r="K489" s="878"/>
      <c r="L489" s="880"/>
    </row>
    <row r="490" spans="1:12" x14ac:dyDescent="0.3">
      <c r="A490" s="871">
        <v>1545</v>
      </c>
      <c r="B490" s="873">
        <v>68193.25</v>
      </c>
      <c r="C490" s="873" t="s">
        <v>3048</v>
      </c>
      <c r="D490" s="873">
        <f>+I490+I491</f>
        <v>1545</v>
      </c>
      <c r="E490" s="873">
        <f>+J490+J491</f>
        <v>66167.7</v>
      </c>
      <c r="F490" s="39" t="s">
        <v>3049</v>
      </c>
      <c r="G490" s="39">
        <v>96111</v>
      </c>
      <c r="H490" s="40"/>
      <c r="I490" s="39">
        <v>545</v>
      </c>
      <c r="J490" s="41">
        <v>22896.1</v>
      </c>
      <c r="K490" s="877">
        <f t="shared" ref="K490" si="283">+A490-D490</f>
        <v>0</v>
      </c>
      <c r="L490" s="879">
        <f t="shared" ref="L490" si="284">((+B490/A490)-(E490/D490))/(B490/A490)</f>
        <v>2.9703086449172023E-2</v>
      </c>
    </row>
    <row r="491" spans="1:12" ht="15" thickBot="1" x14ac:dyDescent="0.35">
      <c r="A491" s="872"/>
      <c r="B491" s="874"/>
      <c r="C491" s="874"/>
      <c r="D491" s="874"/>
      <c r="E491" s="874"/>
      <c r="F491" s="42" t="s">
        <v>3049</v>
      </c>
      <c r="G491" s="42">
        <v>96111</v>
      </c>
      <c r="H491" s="43"/>
      <c r="I491" s="42">
        <v>1000</v>
      </c>
      <c r="J491" s="44">
        <v>43271.6</v>
      </c>
      <c r="K491" s="878"/>
      <c r="L491" s="880"/>
    </row>
    <row r="492" spans="1:12" ht="15" thickBot="1" x14ac:dyDescent="0.35">
      <c r="A492" s="178">
        <v>600</v>
      </c>
      <c r="B492" s="8">
        <v>26513.25</v>
      </c>
      <c r="C492" s="45" t="s">
        <v>3050</v>
      </c>
      <c r="D492" s="8">
        <f t="shared" ref="D492:E494" si="285">+I492</f>
        <v>600</v>
      </c>
      <c r="E492" s="8">
        <f t="shared" si="285"/>
        <v>25449.8</v>
      </c>
      <c r="F492" s="45" t="s">
        <v>3051</v>
      </c>
      <c r="G492" s="45">
        <v>96171</v>
      </c>
      <c r="H492" s="14"/>
      <c r="I492" s="45">
        <v>600</v>
      </c>
      <c r="J492" s="46">
        <v>25449.8</v>
      </c>
      <c r="K492" s="54">
        <f t="shared" ref="K492:K495" si="286">+A492-D492</f>
        <v>0</v>
      </c>
      <c r="L492" s="31">
        <f t="shared" ref="L492:L495" si="287">((+B492/A492)-(E492/D492))/(B492/A492)</f>
        <v>4.0110133612439022E-2</v>
      </c>
    </row>
    <row r="493" spans="1:12" ht="15" thickBot="1" x14ac:dyDescent="0.35">
      <c r="A493" s="178">
        <v>1500</v>
      </c>
      <c r="B493" s="8">
        <v>58278.8</v>
      </c>
      <c r="C493" s="45" t="s">
        <v>3052</v>
      </c>
      <c r="D493" s="8">
        <f t="shared" si="285"/>
        <v>1500</v>
      </c>
      <c r="E493" s="8">
        <f t="shared" si="285"/>
        <v>56845.7</v>
      </c>
      <c r="F493" s="45" t="s">
        <v>3053</v>
      </c>
      <c r="G493" s="45">
        <v>96181</v>
      </c>
      <c r="H493" s="14"/>
      <c r="I493" s="45">
        <v>1500</v>
      </c>
      <c r="J493" s="46">
        <v>56845.7</v>
      </c>
      <c r="K493" s="54">
        <f t="shared" si="286"/>
        <v>0</v>
      </c>
      <c r="L493" s="31">
        <f t="shared" si="287"/>
        <v>2.4590417098499056E-2</v>
      </c>
    </row>
    <row r="494" spans="1:12" ht="15" thickBot="1" x14ac:dyDescent="0.35">
      <c r="A494" s="177">
        <v>567</v>
      </c>
      <c r="B494" s="12">
        <v>24690</v>
      </c>
      <c r="C494" s="39" t="s">
        <v>3054</v>
      </c>
      <c r="D494" s="12">
        <f t="shared" si="285"/>
        <v>565</v>
      </c>
      <c r="E494" s="12">
        <f t="shared" si="285"/>
        <v>23777.599999999999</v>
      </c>
      <c r="F494" s="39" t="s">
        <v>3055</v>
      </c>
      <c r="G494" s="39">
        <v>96211</v>
      </c>
      <c r="H494" s="40"/>
      <c r="I494" s="39">
        <v>565</v>
      </c>
      <c r="J494" s="41">
        <v>23777.599999999999</v>
      </c>
      <c r="K494" s="54">
        <f t="shared" si="286"/>
        <v>2</v>
      </c>
      <c r="L494" s="31">
        <f t="shared" si="287"/>
        <v>3.3545220916354035E-2</v>
      </c>
    </row>
    <row r="495" spans="1:12" x14ac:dyDescent="0.3">
      <c r="A495" s="871">
        <v>567</v>
      </c>
      <c r="B495" s="873">
        <v>24633.5</v>
      </c>
      <c r="C495" s="873" t="s">
        <v>3056</v>
      </c>
      <c r="D495" s="873">
        <v>567</v>
      </c>
      <c r="E495" s="873">
        <v>23758.5</v>
      </c>
      <c r="F495" s="12" t="s">
        <v>3057</v>
      </c>
      <c r="G495" s="12">
        <v>96241</v>
      </c>
      <c r="H495" s="38"/>
      <c r="I495" s="12">
        <v>235</v>
      </c>
      <c r="J495" s="13">
        <v>9750.8000000000011</v>
      </c>
      <c r="K495" s="877">
        <f t="shared" si="286"/>
        <v>0</v>
      </c>
      <c r="L495" s="879">
        <f t="shared" si="287"/>
        <v>3.5520733959851392E-2</v>
      </c>
    </row>
    <row r="496" spans="1:12" ht="15" thickBot="1" x14ac:dyDescent="0.35">
      <c r="A496" s="875"/>
      <c r="B496" s="881"/>
      <c r="C496" s="881"/>
      <c r="D496" s="881"/>
      <c r="E496" s="881"/>
      <c r="F496" s="15" t="s">
        <v>3057</v>
      </c>
      <c r="G496" s="15">
        <v>96241</v>
      </c>
      <c r="H496" s="81"/>
      <c r="I496" s="15">
        <v>68</v>
      </c>
      <c r="J496" s="16">
        <v>2863.6</v>
      </c>
      <c r="K496" s="878"/>
      <c r="L496" s="880"/>
    </row>
    <row r="497" spans="1:12" ht="15" thickBot="1" x14ac:dyDescent="0.35">
      <c r="A497" s="178">
        <v>505</v>
      </c>
      <c r="B497" s="8">
        <v>22415</v>
      </c>
      <c r="C497" s="45" t="s">
        <v>3058</v>
      </c>
      <c r="D497" s="8">
        <f>+I497</f>
        <v>505</v>
      </c>
      <c r="E497" s="8">
        <f>+J497</f>
        <v>21527.399999999998</v>
      </c>
      <c r="F497" s="45" t="s">
        <v>3059</v>
      </c>
      <c r="G497" s="45">
        <v>96281</v>
      </c>
      <c r="H497" s="14"/>
      <c r="I497" s="45">
        <v>505</v>
      </c>
      <c r="J497" s="46">
        <v>21527.399999999998</v>
      </c>
      <c r="K497" s="54">
        <f t="shared" ref="K497:K498" si="288">+A497-D497</f>
        <v>0</v>
      </c>
      <c r="L497" s="31">
        <f t="shared" ref="L497:L498" si="289">((+B497/A497)-(E497/D497))/(B497/A497)</f>
        <v>3.9598483158599228E-2</v>
      </c>
    </row>
    <row r="498" spans="1:12" x14ac:dyDescent="0.3">
      <c r="A498" s="871">
        <v>1889</v>
      </c>
      <c r="B498" s="873">
        <v>68050.75</v>
      </c>
      <c r="C498" s="873" t="s">
        <v>3060</v>
      </c>
      <c r="D498" s="873">
        <f>+I498+I499</f>
        <v>1897</v>
      </c>
      <c r="E498" s="873">
        <f>+J498+J499</f>
        <v>66294.100000000006</v>
      </c>
      <c r="F498" s="39" t="s">
        <v>3061</v>
      </c>
      <c r="G498" s="39">
        <v>96351</v>
      </c>
      <c r="H498" s="40"/>
      <c r="I498" s="39">
        <v>470</v>
      </c>
      <c r="J498" s="41">
        <v>17361.900000000001</v>
      </c>
      <c r="K498" s="877">
        <f t="shared" si="288"/>
        <v>-8</v>
      </c>
      <c r="L498" s="879">
        <f t="shared" si="289"/>
        <v>2.9922146134033323E-2</v>
      </c>
    </row>
    <row r="499" spans="1:12" ht="15" thickBot="1" x14ac:dyDescent="0.35">
      <c r="A499" s="875"/>
      <c r="B499" s="881"/>
      <c r="C499" s="881"/>
      <c r="D499" s="881"/>
      <c r="E499" s="881"/>
      <c r="F499" s="50" t="s">
        <v>3061</v>
      </c>
      <c r="G499" s="50">
        <v>96351</v>
      </c>
      <c r="I499" s="50">
        <v>1427</v>
      </c>
      <c r="J499" s="51">
        <v>48932.200000000004</v>
      </c>
      <c r="K499" s="878"/>
      <c r="L499" s="880"/>
    </row>
    <row r="500" spans="1:12" x14ac:dyDescent="0.3">
      <c r="A500" s="871">
        <v>1190</v>
      </c>
      <c r="B500" s="873">
        <v>53427.25</v>
      </c>
      <c r="C500" s="873" t="s">
        <v>3062</v>
      </c>
      <c r="D500" s="873">
        <f>+I500+I501</f>
        <v>1188</v>
      </c>
      <c r="E500" s="873">
        <f>+J500+J501</f>
        <v>51521.299999999996</v>
      </c>
      <c r="F500" s="39" t="s">
        <v>3063</v>
      </c>
      <c r="G500" s="39">
        <v>96361</v>
      </c>
      <c r="H500" s="40"/>
      <c r="I500" s="39">
        <v>600</v>
      </c>
      <c r="J500" s="41">
        <v>25870.299999999996</v>
      </c>
      <c r="K500" s="877">
        <f t="shared" ref="K500" si="290">+A500-D500</f>
        <v>2</v>
      </c>
      <c r="L500" s="879">
        <f t="shared" ref="L500" si="291">((+B500/A500)-(E500/D500))/(B500/A500)</f>
        <v>3.405029839106094E-2</v>
      </c>
    </row>
    <row r="501" spans="1:12" ht="15" thickBot="1" x14ac:dyDescent="0.35">
      <c r="A501" s="872"/>
      <c r="B501" s="874"/>
      <c r="C501" s="874"/>
      <c r="D501" s="874"/>
      <c r="E501" s="874"/>
      <c r="F501" s="42" t="s">
        <v>3063</v>
      </c>
      <c r="G501" s="42">
        <v>96361</v>
      </c>
      <c r="H501" s="43"/>
      <c r="I501" s="42">
        <v>588</v>
      </c>
      <c r="J501" s="44">
        <v>25651</v>
      </c>
      <c r="K501" s="878"/>
      <c r="L501" s="880"/>
    </row>
    <row r="502" spans="1:12" ht="15" thickBot="1" x14ac:dyDescent="0.35">
      <c r="A502" s="177">
        <v>1600</v>
      </c>
      <c r="B502" s="12">
        <v>70218.75</v>
      </c>
      <c r="C502" s="12" t="s">
        <v>3064</v>
      </c>
      <c r="D502" s="12">
        <f>+I502</f>
        <v>1603</v>
      </c>
      <c r="E502" s="12">
        <f>+J502</f>
        <v>69068.099999999991</v>
      </c>
      <c r="F502" s="12" t="s">
        <v>3065</v>
      </c>
      <c r="G502" s="12">
        <v>96411</v>
      </c>
      <c r="H502" s="38"/>
      <c r="I502" s="12">
        <v>1603</v>
      </c>
      <c r="J502" s="13">
        <v>69068.099999999991</v>
      </c>
      <c r="K502" s="54">
        <f t="shared" ref="K502:K503" si="292">+A502-D502</f>
        <v>-3</v>
      </c>
      <c r="L502" s="31">
        <f t="shared" ref="L502:L503" si="293">((+B502/A502)-(E502/D502))/(B502/A502)</f>
        <v>1.8227472354489058E-2</v>
      </c>
    </row>
    <row r="503" spans="1:12" x14ac:dyDescent="0.3">
      <c r="A503" s="871">
        <v>2104</v>
      </c>
      <c r="B503" s="873">
        <v>98238.75</v>
      </c>
      <c r="C503" s="873" t="s">
        <v>3066</v>
      </c>
      <c r="D503" s="873">
        <f>+I503+I504</f>
        <v>2089</v>
      </c>
      <c r="E503" s="873">
        <f>+J503+J504</f>
        <v>94520.5</v>
      </c>
      <c r="F503" s="12" t="s">
        <v>3067</v>
      </c>
      <c r="G503" s="12">
        <v>964211</v>
      </c>
      <c r="H503" s="38"/>
      <c r="I503" s="12">
        <v>1683</v>
      </c>
      <c r="J503" s="13">
        <v>75880.099999999991</v>
      </c>
      <c r="K503" s="877">
        <f t="shared" si="292"/>
        <v>15</v>
      </c>
      <c r="L503" s="879">
        <f t="shared" si="293"/>
        <v>3.0940422879633472E-2</v>
      </c>
    </row>
    <row r="504" spans="1:12" ht="15" thickBot="1" x14ac:dyDescent="0.35">
      <c r="A504" s="872"/>
      <c r="B504" s="874"/>
      <c r="C504" s="874"/>
      <c r="D504" s="874"/>
      <c r="E504" s="874"/>
      <c r="F504" s="10" t="s">
        <v>3067</v>
      </c>
      <c r="G504" s="10">
        <v>96421</v>
      </c>
      <c r="H504" s="82"/>
      <c r="I504" s="10">
        <v>406</v>
      </c>
      <c r="J504" s="11">
        <v>18640.400000000001</v>
      </c>
      <c r="K504" s="878"/>
      <c r="L504" s="880"/>
    </row>
    <row r="505" spans="1:12" x14ac:dyDescent="0.3">
      <c r="A505" s="875">
        <v>524</v>
      </c>
      <c r="B505" s="881">
        <v>22539</v>
      </c>
      <c r="C505" s="881" t="s">
        <v>3068</v>
      </c>
      <c r="D505" s="881">
        <f>+I505+I506</f>
        <v>524</v>
      </c>
      <c r="E505" s="881">
        <f>+J505+J506</f>
        <v>22014.9</v>
      </c>
      <c r="F505" s="15" t="s">
        <v>3069</v>
      </c>
      <c r="G505" s="15">
        <v>96431</v>
      </c>
      <c r="H505" s="81"/>
      <c r="I505" s="15">
        <v>100</v>
      </c>
      <c r="J505" s="16">
        <v>4134.5</v>
      </c>
      <c r="K505" s="877">
        <f t="shared" ref="K505" si="294">+A505-D505</f>
        <v>0</v>
      </c>
      <c r="L505" s="879">
        <f t="shared" ref="L505" si="295">((+B505/A505)-(E505/D505))/(B505/A505)</f>
        <v>2.3253028084653193E-2</v>
      </c>
    </row>
    <row r="506" spans="1:12" ht="15" thickBot="1" x14ac:dyDescent="0.35">
      <c r="A506" s="872"/>
      <c r="B506" s="874"/>
      <c r="C506" s="874"/>
      <c r="D506" s="874"/>
      <c r="E506" s="874"/>
      <c r="F506" s="10" t="s">
        <v>3069</v>
      </c>
      <c r="G506" s="10">
        <v>96431</v>
      </c>
      <c r="H506" s="43"/>
      <c r="I506" s="10">
        <v>424</v>
      </c>
      <c r="J506" s="11">
        <v>17880.400000000001</v>
      </c>
      <c r="K506" s="878"/>
      <c r="L506" s="880"/>
    </row>
    <row r="507" spans="1:12" ht="15" thickBot="1" x14ac:dyDescent="0.35">
      <c r="A507" s="177">
        <v>339</v>
      </c>
      <c r="B507" s="12">
        <v>14788.75</v>
      </c>
      <c r="C507" s="12" t="s">
        <v>3212</v>
      </c>
      <c r="D507" s="12">
        <v>339</v>
      </c>
      <c r="E507" s="12">
        <v>14311.6</v>
      </c>
      <c r="F507" s="12" t="s">
        <v>3213</v>
      </c>
      <c r="G507" s="12">
        <v>96451</v>
      </c>
      <c r="H507" s="43"/>
      <c r="I507" s="10"/>
      <c r="J507" s="11"/>
      <c r="K507" s="54">
        <f t="shared" ref="K507" si="296">+A507-D507</f>
        <v>0</v>
      </c>
      <c r="L507" s="31">
        <f t="shared" ref="L507" si="297">((+B507/A507)-(E507/D507))/(B507/A507)</f>
        <v>3.2264390161440289E-2</v>
      </c>
    </row>
    <row r="508" spans="1:12" ht="15" thickBot="1" x14ac:dyDescent="0.35">
      <c r="A508" s="178">
        <v>794</v>
      </c>
      <c r="B508" s="8">
        <v>36222.5</v>
      </c>
      <c r="C508" s="8" t="s">
        <v>3070</v>
      </c>
      <c r="D508" s="8">
        <v>802</v>
      </c>
      <c r="E508" s="8">
        <v>35400.5</v>
      </c>
      <c r="F508" s="8" t="s">
        <v>3071</v>
      </c>
      <c r="G508" s="8">
        <v>96491</v>
      </c>
      <c r="H508" s="80"/>
      <c r="I508" s="8">
        <v>200</v>
      </c>
      <c r="J508" s="9">
        <v>8607.9</v>
      </c>
      <c r="K508" s="54">
        <f t="shared" ref="K508:K509" si="298">+A508-D508</f>
        <v>-8</v>
      </c>
      <c r="L508" s="31">
        <f t="shared" ref="L508:L509" si="299">((+B508/A508)-(E508/D508))/(B508/A508)</f>
        <v>3.244177498830049E-2</v>
      </c>
    </row>
    <row r="509" spans="1:12" x14ac:dyDescent="0.3">
      <c r="A509" s="871">
        <v>1816</v>
      </c>
      <c r="B509" s="873">
        <v>77713.75</v>
      </c>
      <c r="C509" s="873" t="s">
        <v>3214</v>
      </c>
      <c r="D509" s="873">
        <f>+I509+I510+I511</f>
        <v>1776</v>
      </c>
      <c r="E509" s="873">
        <f>+J509+J510+J511</f>
        <v>73877.799999999988</v>
      </c>
      <c r="F509" s="12" t="s">
        <v>3215</v>
      </c>
      <c r="G509" s="12">
        <v>96501</v>
      </c>
      <c r="H509" s="38"/>
      <c r="I509" s="191">
        <v>200</v>
      </c>
      <c r="J509" s="290">
        <v>8361.7999999999993</v>
      </c>
      <c r="K509" s="882">
        <f t="shared" si="298"/>
        <v>40</v>
      </c>
      <c r="L509" s="879">
        <f t="shared" si="299"/>
        <v>2.7949179978904632E-2</v>
      </c>
    </row>
    <row r="510" spans="1:12" x14ac:dyDescent="0.3">
      <c r="A510" s="875"/>
      <c r="B510" s="881"/>
      <c r="C510" s="881"/>
      <c r="D510" s="881"/>
      <c r="E510" s="881"/>
      <c r="F510" s="15" t="s">
        <v>3215</v>
      </c>
      <c r="G510" s="15">
        <v>96501</v>
      </c>
      <c r="H510" s="81"/>
      <c r="I510" s="125">
        <v>1241</v>
      </c>
      <c r="J510" s="291">
        <v>51557.69999999999</v>
      </c>
      <c r="K510" s="883"/>
      <c r="L510" s="885"/>
    </row>
    <row r="511" spans="1:12" ht="15" thickBot="1" x14ac:dyDescent="0.35">
      <c r="A511" s="875"/>
      <c r="B511" s="881"/>
      <c r="C511" s="881"/>
      <c r="D511" s="881"/>
      <c r="E511" s="881"/>
      <c r="F511" s="15" t="s">
        <v>3215</v>
      </c>
      <c r="G511" s="15">
        <v>96501</v>
      </c>
      <c r="H511" s="81"/>
      <c r="I511" s="125">
        <v>335</v>
      </c>
      <c r="J511" s="291">
        <v>13958.3</v>
      </c>
      <c r="K511" s="884"/>
      <c r="L511" s="880"/>
    </row>
    <row r="512" spans="1:12" x14ac:dyDescent="0.3">
      <c r="A512" s="871">
        <v>1470</v>
      </c>
      <c r="B512" s="873">
        <v>69077.75</v>
      </c>
      <c r="C512" s="873" t="s">
        <v>3216</v>
      </c>
      <c r="D512" s="873">
        <f>+I512+I513+I514+I515</f>
        <v>1467</v>
      </c>
      <c r="E512" s="873">
        <f>+J512+J513+J514+J515</f>
        <v>66619.699999999983</v>
      </c>
      <c r="F512" s="12" t="s">
        <v>3217</v>
      </c>
      <c r="G512" s="12">
        <v>96521</v>
      </c>
      <c r="H512" s="38"/>
      <c r="I512" s="191">
        <v>400</v>
      </c>
      <c r="J512" s="290">
        <v>18004.099999999999</v>
      </c>
      <c r="K512" s="882">
        <f t="shared" ref="K512" si="300">+A512-D512</f>
        <v>3</v>
      </c>
      <c r="L512" s="879">
        <f t="shared" ref="L512" si="301">((+B512/A512)-(E512/D512))/(B512/A512)</f>
        <v>3.3611595552591786E-2</v>
      </c>
    </row>
    <row r="513" spans="1:12" x14ac:dyDescent="0.3">
      <c r="A513" s="875"/>
      <c r="B513" s="881"/>
      <c r="C513" s="881"/>
      <c r="D513" s="881"/>
      <c r="E513" s="881"/>
      <c r="F513" s="15" t="s">
        <v>3217</v>
      </c>
      <c r="G513" s="15">
        <v>96521</v>
      </c>
      <c r="H513" s="81"/>
      <c r="I513" s="125">
        <v>339</v>
      </c>
      <c r="J513" s="291">
        <v>15370.8</v>
      </c>
      <c r="K513" s="883"/>
      <c r="L513" s="885"/>
    </row>
    <row r="514" spans="1:12" x14ac:dyDescent="0.3">
      <c r="A514" s="875"/>
      <c r="B514" s="881"/>
      <c r="C514" s="881"/>
      <c r="D514" s="881"/>
      <c r="E514" s="881"/>
      <c r="F514" s="15" t="s">
        <v>3217</v>
      </c>
      <c r="G514" s="15">
        <v>96521</v>
      </c>
      <c r="H514" s="81"/>
      <c r="I514" s="125">
        <v>400</v>
      </c>
      <c r="J514" s="291">
        <v>18192.699999999997</v>
      </c>
      <c r="K514" s="883"/>
      <c r="L514" s="885"/>
    </row>
    <row r="515" spans="1:12" ht="15" thickBot="1" x14ac:dyDescent="0.35">
      <c r="A515" s="875"/>
      <c r="B515" s="881"/>
      <c r="C515" s="881"/>
      <c r="D515" s="881"/>
      <c r="E515" s="881"/>
      <c r="F515" s="15" t="s">
        <v>3217</v>
      </c>
      <c r="G515" s="15">
        <v>96521</v>
      </c>
      <c r="H515" s="81"/>
      <c r="I515" s="125">
        <v>328</v>
      </c>
      <c r="J515" s="291">
        <v>15052.099999999999</v>
      </c>
      <c r="K515" s="884"/>
      <c r="L515" s="880"/>
    </row>
    <row r="516" spans="1:12" x14ac:dyDescent="0.3">
      <c r="A516" s="871">
        <v>1392</v>
      </c>
      <c r="B516" s="873">
        <v>60828.25</v>
      </c>
      <c r="C516" s="873" t="s">
        <v>3218</v>
      </c>
      <c r="D516" s="873">
        <f>+I516+I517</f>
        <v>1392</v>
      </c>
      <c r="E516" s="873">
        <f>+J516+J517</f>
        <v>58818.799999999988</v>
      </c>
      <c r="F516" s="12" t="s">
        <v>3219</v>
      </c>
      <c r="G516" s="12">
        <v>96561</v>
      </c>
      <c r="H516" s="38"/>
      <c r="I516" s="191">
        <v>1000</v>
      </c>
      <c r="J516" s="290">
        <v>42193.499999999993</v>
      </c>
      <c r="K516" s="882">
        <f t="shared" ref="K516" si="302">+A516-D516</f>
        <v>0</v>
      </c>
      <c r="L516" s="879">
        <f t="shared" ref="L516" si="303">((+B516/A516)-(E516/D516))/(B516/A516)</f>
        <v>3.3034815237985862E-2</v>
      </c>
    </row>
    <row r="517" spans="1:12" ht="15" thickBot="1" x14ac:dyDescent="0.35">
      <c r="A517" s="872"/>
      <c r="B517" s="874"/>
      <c r="C517" s="874"/>
      <c r="D517" s="874"/>
      <c r="E517" s="874"/>
      <c r="F517" s="10" t="s">
        <v>3219</v>
      </c>
      <c r="G517" s="10">
        <v>96561</v>
      </c>
      <c r="H517" s="82"/>
      <c r="I517" s="126">
        <v>392</v>
      </c>
      <c r="J517" s="281">
        <v>16625.3</v>
      </c>
      <c r="K517" s="884"/>
      <c r="L517" s="880"/>
    </row>
    <row r="518" spans="1:12" ht="15" thickBot="1" x14ac:dyDescent="0.35">
      <c r="A518" s="178">
        <v>180</v>
      </c>
      <c r="B518" s="8">
        <v>8025.75</v>
      </c>
      <c r="C518" s="8" t="s">
        <v>3220</v>
      </c>
      <c r="D518" s="8">
        <f t="shared" ref="D518:E521" si="304">+I518</f>
        <v>180</v>
      </c>
      <c r="E518" s="8">
        <f t="shared" si="304"/>
        <v>7516.7999999999993</v>
      </c>
      <c r="F518" s="8" t="s">
        <v>3221</v>
      </c>
      <c r="G518" s="8">
        <v>96621</v>
      </c>
      <c r="H518" s="80"/>
      <c r="I518" s="8">
        <v>180</v>
      </c>
      <c r="J518" s="292">
        <v>7516.7999999999993</v>
      </c>
      <c r="K518" s="54">
        <f t="shared" ref="K518:K522" si="305">+A518-D518</f>
        <v>0</v>
      </c>
      <c r="L518" s="31">
        <f t="shared" ref="L518:L522" si="306">((+B518/A518)-(E518/D518))/(B518/A518)</f>
        <v>6.3414634146341478E-2</v>
      </c>
    </row>
    <row r="519" spans="1:12" ht="15" thickBot="1" x14ac:dyDescent="0.35">
      <c r="A519" s="178">
        <v>49</v>
      </c>
      <c r="B519" s="8">
        <v>2145.5</v>
      </c>
      <c r="C519" s="8" t="s">
        <v>3222</v>
      </c>
      <c r="D519" s="8">
        <f t="shared" si="304"/>
        <v>49</v>
      </c>
      <c r="E519" s="8">
        <f t="shared" si="304"/>
        <v>2205.6999999999998</v>
      </c>
      <c r="F519" s="8" t="s">
        <v>3223</v>
      </c>
      <c r="G519" s="8">
        <v>96631</v>
      </c>
      <c r="H519" s="80"/>
      <c r="I519" s="8">
        <v>49</v>
      </c>
      <c r="J519" s="292">
        <v>2205.6999999999998</v>
      </c>
      <c r="K519" s="54">
        <f t="shared" si="305"/>
        <v>0</v>
      </c>
      <c r="L519" s="31">
        <f t="shared" si="306"/>
        <v>-2.805872756933114E-2</v>
      </c>
    </row>
    <row r="520" spans="1:12" ht="15" thickBot="1" x14ac:dyDescent="0.35">
      <c r="A520" s="178">
        <v>30</v>
      </c>
      <c r="B520" s="8">
        <v>1356.75</v>
      </c>
      <c r="C520" s="45" t="s">
        <v>3224</v>
      </c>
      <c r="D520" s="8">
        <f t="shared" si="304"/>
        <v>29</v>
      </c>
      <c r="E520" s="8">
        <f t="shared" si="304"/>
        <v>1285.4000000000001</v>
      </c>
      <c r="F520" s="45" t="s">
        <v>3225</v>
      </c>
      <c r="G520" s="45">
        <v>96661</v>
      </c>
      <c r="H520" s="14"/>
      <c r="I520" s="45">
        <v>29</v>
      </c>
      <c r="J520" s="282">
        <v>1285.4000000000001</v>
      </c>
      <c r="K520" s="54">
        <f t="shared" si="305"/>
        <v>1</v>
      </c>
      <c r="L520" s="31">
        <f t="shared" si="306"/>
        <v>1.9919559291664255E-2</v>
      </c>
    </row>
    <row r="521" spans="1:12" ht="15" thickBot="1" x14ac:dyDescent="0.35">
      <c r="A521" s="177">
        <v>500</v>
      </c>
      <c r="B521" s="12">
        <v>21273.25</v>
      </c>
      <c r="C521" s="39" t="s">
        <v>3226</v>
      </c>
      <c r="D521" s="39">
        <f t="shared" si="304"/>
        <v>500</v>
      </c>
      <c r="E521" s="39">
        <f t="shared" si="304"/>
        <v>20564.599999999999</v>
      </c>
      <c r="F521" s="39" t="s">
        <v>3227</v>
      </c>
      <c r="G521" s="39">
        <v>96761</v>
      </c>
      <c r="H521" s="40"/>
      <c r="I521" s="39">
        <v>500</v>
      </c>
      <c r="J521" s="293">
        <v>20564.599999999999</v>
      </c>
      <c r="K521" s="54">
        <f t="shared" si="305"/>
        <v>0</v>
      </c>
      <c r="L521" s="31">
        <f t="shared" si="306"/>
        <v>3.3311788278706927E-2</v>
      </c>
    </row>
    <row r="522" spans="1:12" x14ac:dyDescent="0.3">
      <c r="A522" s="871">
        <v>1314</v>
      </c>
      <c r="B522" s="873">
        <v>60790</v>
      </c>
      <c r="C522" s="873" t="s">
        <v>3228</v>
      </c>
      <c r="D522" s="873">
        <f>+I522+I523</f>
        <v>1297</v>
      </c>
      <c r="E522" s="873">
        <f>+J522+J523</f>
        <v>57636.2</v>
      </c>
      <c r="F522" s="12" t="s">
        <v>3229</v>
      </c>
      <c r="G522" s="12">
        <v>96851</v>
      </c>
      <c r="H522" s="38"/>
      <c r="I522" s="12">
        <v>598</v>
      </c>
      <c r="J522" s="290">
        <v>26675.5</v>
      </c>
      <c r="K522" s="882">
        <f t="shared" si="305"/>
        <v>17</v>
      </c>
      <c r="L522" s="879">
        <f t="shared" si="306"/>
        <v>3.9453076258966491E-2</v>
      </c>
    </row>
    <row r="523" spans="1:12" ht="15" thickBot="1" x14ac:dyDescent="0.35">
      <c r="A523" s="872"/>
      <c r="B523" s="874"/>
      <c r="C523" s="874"/>
      <c r="D523" s="874"/>
      <c r="E523" s="874"/>
      <c r="F523" s="10" t="s">
        <v>3229</v>
      </c>
      <c r="G523" s="10">
        <v>96851</v>
      </c>
      <c r="H523" s="82"/>
      <c r="I523" s="10">
        <v>699</v>
      </c>
      <c r="J523" s="281">
        <v>30960.7</v>
      </c>
      <c r="K523" s="884"/>
      <c r="L523" s="880"/>
    </row>
    <row r="524" spans="1:12" ht="15" thickBot="1" x14ac:dyDescent="0.35">
      <c r="A524" s="15">
        <v>292</v>
      </c>
      <c r="B524" s="15">
        <v>13101.5</v>
      </c>
      <c r="C524" s="15" t="s">
        <v>3230</v>
      </c>
      <c r="D524" s="45">
        <v>292</v>
      </c>
      <c r="E524" s="45">
        <v>12571.7</v>
      </c>
      <c r="F524" s="15" t="s">
        <v>3231</v>
      </c>
      <c r="G524" s="15">
        <v>96861</v>
      </c>
      <c r="H524" s="81"/>
      <c r="I524" s="15">
        <v>250</v>
      </c>
      <c r="J524" s="15">
        <v>10802.3</v>
      </c>
      <c r="K524" s="54">
        <f t="shared" ref="K524:K526" si="307">+A524-D524</f>
        <v>0</v>
      </c>
      <c r="L524" s="31">
        <f t="shared" ref="L524:L526" si="308">((+B524/A524)-(E524/D524))/(B524/A524)</f>
        <v>4.0438117772774132E-2</v>
      </c>
    </row>
    <row r="525" spans="1:12" ht="15" thickBot="1" x14ac:dyDescent="0.35">
      <c r="A525" s="175">
        <v>1022</v>
      </c>
      <c r="B525" s="8">
        <v>41336.75</v>
      </c>
      <c r="C525" s="8" t="s">
        <v>3232</v>
      </c>
      <c r="D525" s="45">
        <v>1022</v>
      </c>
      <c r="E525" s="45">
        <v>39945.199999999997</v>
      </c>
      <c r="F525" s="8" t="s">
        <v>3233</v>
      </c>
      <c r="G525" s="8">
        <v>96911</v>
      </c>
      <c r="H525" s="80"/>
      <c r="I525" s="8">
        <v>500</v>
      </c>
      <c r="J525" s="9">
        <v>19709.8</v>
      </c>
      <c r="K525" s="54">
        <f t="shared" si="307"/>
        <v>0</v>
      </c>
      <c r="L525" s="31">
        <f t="shared" si="308"/>
        <v>3.3663749569088124E-2</v>
      </c>
    </row>
    <row r="526" spans="1:12" x14ac:dyDescent="0.3">
      <c r="A526" s="871">
        <v>366</v>
      </c>
      <c r="B526" s="873">
        <v>15703.5</v>
      </c>
      <c r="C526" s="873" t="s">
        <v>3336</v>
      </c>
      <c r="D526" s="873">
        <f>+I526+I527</f>
        <v>366</v>
      </c>
      <c r="E526" s="873">
        <f>+J526+J527</f>
        <v>15844</v>
      </c>
      <c r="F526" s="12" t="s">
        <v>3337</v>
      </c>
      <c r="G526" s="12">
        <v>96921</v>
      </c>
      <c r="H526" s="38"/>
      <c r="I526" s="12">
        <v>66</v>
      </c>
      <c r="J526" s="13">
        <v>2948</v>
      </c>
      <c r="K526" s="882">
        <f t="shared" si="307"/>
        <v>0</v>
      </c>
      <c r="L526" s="879">
        <f t="shared" si="308"/>
        <v>-8.947050020696061E-3</v>
      </c>
    </row>
    <row r="527" spans="1:12" ht="15" thickBot="1" x14ac:dyDescent="0.35">
      <c r="A527" s="872"/>
      <c r="B527" s="874"/>
      <c r="C527" s="874"/>
      <c r="D527" s="874"/>
      <c r="E527" s="874"/>
      <c r="F527" s="10" t="s">
        <v>3337</v>
      </c>
      <c r="G527" s="10">
        <v>96921</v>
      </c>
      <c r="H527" s="82"/>
      <c r="I527" s="10">
        <v>300</v>
      </c>
      <c r="J527" s="11">
        <v>12896</v>
      </c>
      <c r="K527" s="884"/>
      <c r="L527" s="880"/>
    </row>
    <row r="528" spans="1:12" x14ac:dyDescent="0.3">
      <c r="A528" s="875">
        <v>1257</v>
      </c>
      <c r="B528" s="881">
        <v>44842.25</v>
      </c>
      <c r="C528" s="881" t="s">
        <v>3338</v>
      </c>
      <c r="D528" s="881">
        <f>+I528+I529</f>
        <v>1258</v>
      </c>
      <c r="E528" s="881">
        <f>+J528+J529</f>
        <v>42790.600000000006</v>
      </c>
      <c r="F528" s="15" t="s">
        <v>3339</v>
      </c>
      <c r="G528" s="15">
        <v>96981</v>
      </c>
      <c r="H528" s="81"/>
      <c r="I528" s="15">
        <v>621</v>
      </c>
      <c r="J528" s="16">
        <v>21409.200000000001</v>
      </c>
      <c r="K528" s="882">
        <f t="shared" ref="K528" si="309">+A528-D528</f>
        <v>-1</v>
      </c>
      <c r="L528" s="879">
        <f t="shared" ref="L528" si="310">((+B528/A528)-(E528/D528))/(B528/A528)</f>
        <v>4.6511153775147404E-2</v>
      </c>
    </row>
    <row r="529" spans="1:12" ht="15" thickBot="1" x14ac:dyDescent="0.35">
      <c r="A529" s="875"/>
      <c r="B529" s="881"/>
      <c r="C529" s="881"/>
      <c r="D529" s="881"/>
      <c r="E529" s="881"/>
      <c r="F529" s="15" t="s">
        <v>3339</v>
      </c>
      <c r="G529" s="15">
        <v>96981</v>
      </c>
      <c r="H529" s="81"/>
      <c r="I529" s="15">
        <v>637</v>
      </c>
      <c r="J529" s="16">
        <v>21381.4</v>
      </c>
      <c r="K529" s="884"/>
      <c r="L529" s="880"/>
    </row>
    <row r="530" spans="1:12" x14ac:dyDescent="0.3">
      <c r="A530" s="871">
        <v>375</v>
      </c>
      <c r="B530" s="873">
        <v>15953.25</v>
      </c>
      <c r="C530" s="873" t="s">
        <v>3340</v>
      </c>
      <c r="D530" s="873">
        <f>+I530+I531</f>
        <v>376</v>
      </c>
      <c r="E530" s="873">
        <f>+J530+J531</f>
        <v>15156.2</v>
      </c>
      <c r="F530" s="12" t="s">
        <v>3341</v>
      </c>
      <c r="G530" s="12">
        <v>97001</v>
      </c>
      <c r="H530" s="38"/>
      <c r="I530" s="12">
        <v>125</v>
      </c>
      <c r="J530" s="13">
        <v>5136.3</v>
      </c>
      <c r="K530" s="882">
        <f t="shared" ref="K530" si="311">+A530-D530</f>
        <v>-1</v>
      </c>
      <c r="L530" s="879">
        <f t="shared" ref="L530" si="312">((+B530/A530)-(E530/D530))/(B530/A530)</f>
        <v>5.2488304424063575E-2</v>
      </c>
    </row>
    <row r="531" spans="1:12" ht="15" thickBot="1" x14ac:dyDescent="0.35">
      <c r="A531" s="872"/>
      <c r="B531" s="874"/>
      <c r="C531" s="874"/>
      <c r="D531" s="874"/>
      <c r="E531" s="874"/>
      <c r="F531" s="10" t="s">
        <v>3341</v>
      </c>
      <c r="G531" s="10">
        <v>97001</v>
      </c>
      <c r="H531" s="82"/>
      <c r="I531" s="10">
        <v>251</v>
      </c>
      <c r="J531" s="11">
        <v>10019.9</v>
      </c>
      <c r="K531" s="884"/>
      <c r="L531" s="880"/>
    </row>
    <row r="532" spans="1:12" ht="15" thickBot="1" x14ac:dyDescent="0.35">
      <c r="A532" s="175">
        <v>960</v>
      </c>
      <c r="B532" s="8">
        <v>42589</v>
      </c>
      <c r="C532" s="8" t="s">
        <v>3342</v>
      </c>
      <c r="D532" s="8">
        <f>+I532</f>
        <v>960</v>
      </c>
      <c r="E532" s="8">
        <f>+J532</f>
        <v>41126.5</v>
      </c>
      <c r="F532" s="8" t="s">
        <v>3343</v>
      </c>
      <c r="G532" s="8">
        <v>97011</v>
      </c>
      <c r="H532" s="80"/>
      <c r="I532" s="8">
        <v>960</v>
      </c>
      <c r="J532" s="9">
        <v>41126.5</v>
      </c>
      <c r="K532" s="54">
        <f t="shared" ref="K532" si="313">+A532-D532</f>
        <v>0</v>
      </c>
      <c r="L532" s="31">
        <f t="shared" ref="L532" si="314">((+B532/A532)-(E532/D532))/(B532/A532)</f>
        <v>3.4339853013688977E-2</v>
      </c>
    </row>
    <row r="533" spans="1:12" x14ac:dyDescent="0.3">
      <c r="A533" s="871">
        <v>927</v>
      </c>
      <c r="B533" s="873">
        <v>40495.75</v>
      </c>
      <c r="C533" s="873" t="s">
        <v>3344</v>
      </c>
      <c r="D533" s="873">
        <f>+I533+I534</f>
        <v>925</v>
      </c>
      <c r="E533" s="873">
        <f>+J533+J534</f>
        <v>38572.6</v>
      </c>
      <c r="F533" s="12" t="s">
        <v>3345</v>
      </c>
      <c r="G533" s="12">
        <v>97021</v>
      </c>
      <c r="H533" s="38"/>
      <c r="I533" s="12">
        <v>635</v>
      </c>
      <c r="J533" s="13">
        <v>26510.2</v>
      </c>
      <c r="K533" s="882">
        <f t="shared" ref="K533" si="315">+A533-D533</f>
        <v>2</v>
      </c>
      <c r="L533" s="879">
        <f t="shared" ref="L533" si="316">((+B533/A533)-(E533/D533))/(B533/A533)</f>
        <v>4.5430688005131149E-2</v>
      </c>
    </row>
    <row r="534" spans="1:12" ht="15" thickBot="1" x14ac:dyDescent="0.35">
      <c r="A534" s="872"/>
      <c r="B534" s="874"/>
      <c r="C534" s="874"/>
      <c r="D534" s="874"/>
      <c r="E534" s="874"/>
      <c r="F534" s="10" t="s">
        <v>3345</v>
      </c>
      <c r="G534" s="10">
        <v>97021</v>
      </c>
      <c r="H534" s="82"/>
      <c r="I534" s="10">
        <v>290</v>
      </c>
      <c r="J534" s="11">
        <v>12062.4</v>
      </c>
      <c r="K534" s="884"/>
      <c r="L534" s="880"/>
    </row>
    <row r="535" spans="1:12" ht="15" thickBot="1" x14ac:dyDescent="0.35">
      <c r="A535" s="308">
        <v>214</v>
      </c>
      <c r="B535" s="63">
        <v>9270</v>
      </c>
      <c r="C535" s="63" t="s">
        <v>3431</v>
      </c>
      <c r="D535" s="12">
        <f>+I535</f>
        <v>214</v>
      </c>
      <c r="E535" s="12">
        <f>+J535</f>
        <v>9068</v>
      </c>
      <c r="F535" s="12" t="s">
        <v>3432</v>
      </c>
      <c r="G535" s="12">
        <v>97031</v>
      </c>
      <c r="H535" s="38"/>
      <c r="I535" s="12">
        <v>214</v>
      </c>
      <c r="J535" s="13">
        <v>9068</v>
      </c>
      <c r="K535" s="54">
        <f t="shared" ref="K535:K536" si="317">+A535-D535</f>
        <v>0</v>
      </c>
      <c r="L535" s="31">
        <f t="shared" ref="L535:L536" si="318">((+B535/A535)-(E535/D535))/(B535/A535)</f>
        <v>2.1790722761596593E-2</v>
      </c>
    </row>
    <row r="536" spans="1:12" x14ac:dyDescent="0.3">
      <c r="A536" s="902">
        <v>453</v>
      </c>
      <c r="B536" s="905">
        <v>20937.5</v>
      </c>
      <c r="C536" s="905" t="s">
        <v>3433</v>
      </c>
      <c r="D536" s="873">
        <f>+I536+I537</f>
        <v>457</v>
      </c>
      <c r="E536" s="873">
        <f>+J536+J537</f>
        <v>19758.399999999998</v>
      </c>
      <c r="F536" s="12" t="s">
        <v>3434</v>
      </c>
      <c r="G536" s="12">
        <v>97041</v>
      </c>
      <c r="H536" s="38"/>
      <c r="I536" s="12">
        <v>373</v>
      </c>
      <c r="J536" s="13">
        <v>16049.3</v>
      </c>
      <c r="K536" s="882">
        <f t="shared" si="317"/>
        <v>-4</v>
      </c>
      <c r="L536" s="879">
        <f t="shared" si="318"/>
        <v>6.4575046866324995E-2</v>
      </c>
    </row>
    <row r="537" spans="1:12" ht="15" thickBot="1" x14ac:dyDescent="0.35">
      <c r="A537" s="904"/>
      <c r="B537" s="907"/>
      <c r="C537" s="907"/>
      <c r="D537" s="874"/>
      <c r="E537" s="874"/>
      <c r="F537" s="10" t="s">
        <v>3434</v>
      </c>
      <c r="G537" s="10">
        <v>97041</v>
      </c>
      <c r="H537" s="82"/>
      <c r="I537" s="10">
        <v>84</v>
      </c>
      <c r="J537" s="11">
        <v>3709.1</v>
      </c>
      <c r="K537" s="884"/>
      <c r="L537" s="880"/>
    </row>
    <row r="538" spans="1:12" ht="15" thickBot="1" x14ac:dyDescent="0.35">
      <c r="A538" s="309">
        <v>829</v>
      </c>
      <c r="B538" s="64">
        <v>35740.25</v>
      </c>
      <c r="C538" s="64" t="s">
        <v>3435</v>
      </c>
      <c r="D538" s="10">
        <f t="shared" ref="D538:E541" si="319">+I538</f>
        <v>829</v>
      </c>
      <c r="E538" s="10">
        <f t="shared" si="319"/>
        <v>33785.1</v>
      </c>
      <c r="F538" s="126" t="s">
        <v>3436</v>
      </c>
      <c r="G538" s="10">
        <v>97151</v>
      </c>
      <c r="H538" s="82"/>
      <c r="I538" s="10">
        <v>829</v>
      </c>
      <c r="J538" s="11">
        <v>33785.1</v>
      </c>
      <c r="K538" s="54">
        <f t="shared" ref="K538:K542" si="320">+A538-D538</f>
        <v>0</v>
      </c>
      <c r="L538" s="31">
        <f t="shared" ref="L538:L542" si="321">((+B538/A538)-(E538/D538))/(B538/A538)</f>
        <v>5.4704429879477622E-2</v>
      </c>
    </row>
    <row r="539" spans="1:12" ht="15" thickBot="1" x14ac:dyDescent="0.35">
      <c r="A539" s="310">
        <v>309</v>
      </c>
      <c r="B539" s="65">
        <v>11896.25</v>
      </c>
      <c r="C539" s="65" t="s">
        <v>3437</v>
      </c>
      <c r="D539" s="8">
        <f t="shared" si="319"/>
        <v>309</v>
      </c>
      <c r="E539" s="8">
        <f t="shared" si="319"/>
        <v>11082.9</v>
      </c>
      <c r="F539" s="8" t="s">
        <v>3438</v>
      </c>
      <c r="G539" s="8">
        <v>97152</v>
      </c>
      <c r="H539" s="80"/>
      <c r="I539" s="8">
        <v>309</v>
      </c>
      <c r="J539" s="9">
        <v>11082.9</v>
      </c>
      <c r="K539" s="54">
        <f t="shared" si="320"/>
        <v>0</v>
      </c>
      <c r="L539" s="31">
        <f t="shared" si="321"/>
        <v>6.8370284753598853E-2</v>
      </c>
    </row>
    <row r="540" spans="1:12" ht="15" thickBot="1" x14ac:dyDescent="0.35">
      <c r="A540" s="310">
        <v>1040</v>
      </c>
      <c r="B540" s="65">
        <v>47684</v>
      </c>
      <c r="C540" s="65" t="s">
        <v>3439</v>
      </c>
      <c r="D540" s="8">
        <f t="shared" si="319"/>
        <v>1040</v>
      </c>
      <c r="E540" s="8">
        <f t="shared" si="319"/>
        <v>44935.199999999997</v>
      </c>
      <c r="F540" s="8" t="s">
        <v>3440</v>
      </c>
      <c r="G540" s="8">
        <v>97153</v>
      </c>
      <c r="H540" s="80"/>
      <c r="I540" s="8">
        <v>1040</v>
      </c>
      <c r="J540" s="9">
        <v>44935.199999999997</v>
      </c>
      <c r="K540" s="54">
        <f t="shared" si="320"/>
        <v>0</v>
      </c>
      <c r="L540" s="31">
        <f t="shared" si="321"/>
        <v>5.7646170623269918E-2</v>
      </c>
    </row>
    <row r="541" spans="1:12" ht="15" thickBot="1" x14ac:dyDescent="0.35">
      <c r="A541" s="310">
        <v>817</v>
      </c>
      <c r="B541" s="65">
        <v>35132.75</v>
      </c>
      <c r="C541" s="65" t="s">
        <v>3441</v>
      </c>
      <c r="D541" s="8">
        <f t="shared" si="319"/>
        <v>818</v>
      </c>
      <c r="E541" s="8">
        <f t="shared" si="319"/>
        <v>33140.400000000001</v>
      </c>
      <c r="F541" s="8" t="s">
        <v>3335</v>
      </c>
      <c r="G541" s="8">
        <v>97154</v>
      </c>
      <c r="H541" s="80"/>
      <c r="I541" s="8">
        <v>818</v>
      </c>
      <c r="J541" s="9">
        <v>33140.400000000001</v>
      </c>
      <c r="K541" s="54">
        <f t="shared" si="320"/>
        <v>-1</v>
      </c>
      <c r="L541" s="31">
        <f t="shared" si="321"/>
        <v>5.7862363078048804E-2</v>
      </c>
    </row>
    <row r="542" spans="1:12" x14ac:dyDescent="0.3">
      <c r="A542" s="902">
        <v>645</v>
      </c>
      <c r="B542" s="905">
        <v>24193</v>
      </c>
      <c r="C542" s="905" t="s">
        <v>3442</v>
      </c>
      <c r="D542" s="873">
        <f>+I542+I543</f>
        <v>645</v>
      </c>
      <c r="E542" s="873">
        <f>+J542+J543</f>
        <v>22745.9</v>
      </c>
      <c r="F542" s="873" t="s">
        <v>3443</v>
      </c>
      <c r="G542" s="873">
        <v>97251</v>
      </c>
      <c r="H542" s="12"/>
      <c r="I542" s="12">
        <v>261</v>
      </c>
      <c r="J542" s="13">
        <v>9435.9000000000015</v>
      </c>
      <c r="K542" s="882">
        <f t="shared" si="320"/>
        <v>0</v>
      </c>
      <c r="L542" s="879">
        <f t="shared" si="321"/>
        <v>5.9814822469309324E-2</v>
      </c>
    </row>
    <row r="543" spans="1:12" ht="15" thickBot="1" x14ac:dyDescent="0.35">
      <c r="A543" s="904"/>
      <c r="B543" s="907"/>
      <c r="C543" s="907"/>
      <c r="D543" s="874"/>
      <c r="E543" s="874"/>
      <c r="F543" s="874"/>
      <c r="G543" s="874"/>
      <c r="H543" s="10"/>
      <c r="I543" s="10">
        <v>384</v>
      </c>
      <c r="J543" s="11">
        <v>13310</v>
      </c>
      <c r="K543" s="884"/>
      <c r="L543" s="880"/>
    </row>
    <row r="544" spans="1:12" x14ac:dyDescent="0.3">
      <c r="A544" s="902">
        <v>513</v>
      </c>
      <c r="B544" s="905">
        <v>22822.75</v>
      </c>
      <c r="C544" s="905" t="s">
        <v>3444</v>
      </c>
      <c r="D544" s="873">
        <f>+I544+I545</f>
        <v>513</v>
      </c>
      <c r="E544" s="873">
        <f>+J544+J545</f>
        <v>21613.5</v>
      </c>
      <c r="F544" s="873" t="s">
        <v>3445</v>
      </c>
      <c r="G544" s="873">
        <v>97261</v>
      </c>
      <c r="H544" s="12"/>
      <c r="I544" s="12">
        <v>283</v>
      </c>
      <c r="J544" s="13">
        <v>12086</v>
      </c>
      <c r="K544" s="882">
        <f t="shared" ref="K544" si="322">+A544-D544</f>
        <v>0</v>
      </c>
      <c r="L544" s="879">
        <f t="shared" ref="L544" si="323">((+B544/A544)-(E544/D544))/(B544/A544)</f>
        <v>5.298441248315832E-2</v>
      </c>
    </row>
    <row r="545" spans="1:12" ht="15" thickBot="1" x14ac:dyDescent="0.35">
      <c r="A545" s="904"/>
      <c r="B545" s="907"/>
      <c r="C545" s="907"/>
      <c r="D545" s="874"/>
      <c r="E545" s="874"/>
      <c r="F545" s="874"/>
      <c r="G545" s="874"/>
      <c r="H545" s="15"/>
      <c r="I545" s="15">
        <v>230</v>
      </c>
      <c r="J545" s="16">
        <v>9527.5</v>
      </c>
      <c r="K545" s="884"/>
      <c r="L545" s="880"/>
    </row>
    <row r="546" spans="1:12" x14ac:dyDescent="0.3">
      <c r="A546" s="871">
        <v>1410</v>
      </c>
      <c r="B546" s="873">
        <v>60321.5</v>
      </c>
      <c r="C546" s="873" t="s">
        <v>3446</v>
      </c>
      <c r="D546" s="873">
        <f>+I546+I547</f>
        <v>1410</v>
      </c>
      <c r="E546" s="873">
        <f>+J546+J547</f>
        <v>57058.600000000006</v>
      </c>
      <c r="F546" s="12" t="s">
        <v>3447</v>
      </c>
      <c r="G546" s="12">
        <v>97291</v>
      </c>
      <c r="H546" s="38"/>
      <c r="I546" s="12">
        <v>754</v>
      </c>
      <c r="J546" s="13">
        <v>30528.300000000003</v>
      </c>
      <c r="K546" s="882">
        <f t="shared" ref="K546" si="324">+A546-D546</f>
        <v>0</v>
      </c>
      <c r="L546" s="879">
        <f t="shared" ref="L546" si="325">((+B546/A546)-(E546/D546))/(B546/A546)</f>
        <v>5.4091824639639179E-2</v>
      </c>
    </row>
    <row r="547" spans="1:12" ht="15" thickBot="1" x14ac:dyDescent="0.35">
      <c r="A547" s="872"/>
      <c r="B547" s="874"/>
      <c r="C547" s="874"/>
      <c r="D547" s="874"/>
      <c r="E547" s="874"/>
      <c r="F547" s="10" t="s">
        <v>3447</v>
      </c>
      <c r="G547" s="10">
        <v>97291</v>
      </c>
      <c r="H547" s="82"/>
      <c r="I547" s="10">
        <v>656</v>
      </c>
      <c r="J547" s="11">
        <v>26530.300000000003</v>
      </c>
      <c r="K547" s="884"/>
      <c r="L547" s="880"/>
    </row>
    <row r="548" spans="1:12" ht="15" thickBot="1" x14ac:dyDescent="0.35">
      <c r="A548" s="178">
        <v>200</v>
      </c>
      <c r="B548" s="45">
        <v>6735.25</v>
      </c>
      <c r="C548" s="45" t="s">
        <v>3448</v>
      </c>
      <c r="D548" s="8">
        <f t="shared" ref="D548:E549" si="326">+I548</f>
        <v>200</v>
      </c>
      <c r="E548" s="8">
        <f t="shared" si="326"/>
        <v>6351.5</v>
      </c>
      <c r="F548" s="8" t="s">
        <v>3449</v>
      </c>
      <c r="G548" s="8">
        <v>97301</v>
      </c>
      <c r="H548" s="80"/>
      <c r="I548" s="8">
        <v>200</v>
      </c>
      <c r="J548" s="9">
        <v>6351.5</v>
      </c>
      <c r="K548" s="54">
        <f t="shared" ref="K548:K550" si="327">+A548-D548</f>
        <v>0</v>
      </c>
      <c r="L548" s="31">
        <f t="shared" ref="L548:L550" si="328">((+B548/A548)-(E548/D548))/(B548/A548)</f>
        <v>5.6976355740321526E-2</v>
      </c>
    </row>
    <row r="549" spans="1:12" ht="15" thickBot="1" x14ac:dyDescent="0.35">
      <c r="A549" s="177">
        <v>539</v>
      </c>
      <c r="B549" s="39">
        <v>18118.25</v>
      </c>
      <c r="C549" s="39" t="s">
        <v>3450</v>
      </c>
      <c r="D549" s="15">
        <f t="shared" si="326"/>
        <v>538</v>
      </c>
      <c r="E549" s="15">
        <f t="shared" si="326"/>
        <v>17110</v>
      </c>
      <c r="F549" s="12" t="s">
        <v>3451</v>
      </c>
      <c r="G549" s="12">
        <v>97321</v>
      </c>
      <c r="H549" s="38"/>
      <c r="I549" s="12">
        <v>538</v>
      </c>
      <c r="J549" s="13">
        <v>17110</v>
      </c>
      <c r="K549" s="54">
        <f t="shared" si="327"/>
        <v>1</v>
      </c>
      <c r="L549" s="31">
        <f t="shared" si="328"/>
        <v>5.3893009866974206E-2</v>
      </c>
    </row>
    <row r="550" spans="1:12" x14ac:dyDescent="0.3">
      <c r="A550" s="938">
        <v>1497</v>
      </c>
      <c r="B550" s="955">
        <v>62290</v>
      </c>
      <c r="C550" s="873" t="s">
        <v>3452</v>
      </c>
      <c r="D550" s="873">
        <f>+I550+I551</f>
        <v>1497</v>
      </c>
      <c r="E550" s="873">
        <f>+J550+J551</f>
        <v>58815.199999999997</v>
      </c>
      <c r="F550" s="12" t="s">
        <v>3453</v>
      </c>
      <c r="G550" s="12">
        <v>97361</v>
      </c>
      <c r="H550" s="38"/>
      <c r="I550" s="12">
        <v>1047</v>
      </c>
      <c r="J550" s="13">
        <v>41192.5</v>
      </c>
      <c r="K550" s="882">
        <f t="shared" si="327"/>
        <v>0</v>
      </c>
      <c r="L550" s="879">
        <f t="shared" si="328"/>
        <v>5.5784235029699925E-2</v>
      </c>
    </row>
    <row r="551" spans="1:12" ht="15" thickBot="1" x14ac:dyDescent="0.35">
      <c r="A551" s="939"/>
      <c r="B551" s="956"/>
      <c r="C551" s="874"/>
      <c r="D551" s="874"/>
      <c r="E551" s="874"/>
      <c r="F551" s="10" t="s">
        <v>3453</v>
      </c>
      <c r="G551" s="10">
        <v>97361</v>
      </c>
      <c r="H551" s="82"/>
      <c r="I551" s="10">
        <v>450</v>
      </c>
      <c r="J551" s="11">
        <v>17622.7</v>
      </c>
      <c r="K551" s="884"/>
      <c r="L551" s="880"/>
    </row>
    <row r="552" spans="1:12" ht="15" thickBot="1" x14ac:dyDescent="0.35">
      <c r="A552" s="178">
        <v>1431</v>
      </c>
      <c r="B552" s="45">
        <v>51051.25</v>
      </c>
      <c r="C552" s="45" t="s">
        <v>3454</v>
      </c>
      <c r="D552" s="8">
        <v>1431</v>
      </c>
      <c r="E552" s="8">
        <v>48442.1</v>
      </c>
      <c r="F552" s="8" t="s">
        <v>3455</v>
      </c>
      <c r="G552" s="8">
        <v>97381</v>
      </c>
      <c r="H552" s="80"/>
      <c r="I552" s="8">
        <v>740</v>
      </c>
      <c r="J552" s="9">
        <v>23993.699999999997</v>
      </c>
      <c r="K552" s="54">
        <f t="shared" ref="K552:K560" si="329">+A552-D552</f>
        <v>0</v>
      </c>
      <c r="L552" s="31">
        <f t="shared" ref="L552:L560" si="330">((+B552/A552)-(E552/D552))/(B552/A552)</f>
        <v>5.1108444945030779E-2</v>
      </c>
    </row>
    <row r="553" spans="1:12" ht="15" thickBot="1" x14ac:dyDescent="0.35">
      <c r="A553" s="178">
        <v>733</v>
      </c>
      <c r="B553" s="45">
        <v>30798</v>
      </c>
      <c r="C553" s="45" t="s">
        <v>3456</v>
      </c>
      <c r="D553" s="8">
        <f t="shared" ref="D553:E558" si="331">+I553</f>
        <v>733</v>
      </c>
      <c r="E553" s="8">
        <f t="shared" si="331"/>
        <v>28927.399999999998</v>
      </c>
      <c r="F553" s="8" t="s">
        <v>3457</v>
      </c>
      <c r="G553" s="8">
        <v>79461</v>
      </c>
      <c r="H553" s="80"/>
      <c r="I553" s="8">
        <v>733</v>
      </c>
      <c r="J553" s="9">
        <v>28927.399999999998</v>
      </c>
      <c r="K553" s="54">
        <f t="shared" si="329"/>
        <v>0</v>
      </c>
      <c r="L553" s="31">
        <f t="shared" si="330"/>
        <v>6.0737710240924891E-2</v>
      </c>
    </row>
    <row r="554" spans="1:12" ht="15" thickBot="1" x14ac:dyDescent="0.35">
      <c r="A554" s="178">
        <v>612</v>
      </c>
      <c r="B554" s="45">
        <v>27812</v>
      </c>
      <c r="C554" s="45" t="s">
        <v>3585</v>
      </c>
      <c r="D554" s="8">
        <f t="shared" si="331"/>
        <v>612</v>
      </c>
      <c r="E554" s="8">
        <f t="shared" si="331"/>
        <v>26537.800000000003</v>
      </c>
      <c r="F554" s="8" t="s">
        <v>3586</v>
      </c>
      <c r="G554" s="8">
        <v>97471</v>
      </c>
      <c r="H554" s="80"/>
      <c r="I554" s="8">
        <v>612</v>
      </c>
      <c r="J554" s="9">
        <v>26537.800000000003</v>
      </c>
      <c r="K554" s="54">
        <f t="shared" si="329"/>
        <v>0</v>
      </c>
      <c r="L554" s="31">
        <f t="shared" si="330"/>
        <v>4.5814756220336365E-2</v>
      </c>
    </row>
    <row r="555" spans="1:12" ht="15" thickBot="1" x14ac:dyDescent="0.35">
      <c r="A555" s="179">
        <v>352</v>
      </c>
      <c r="B555" s="42">
        <v>14935.5</v>
      </c>
      <c r="C555" s="42" t="s">
        <v>3587</v>
      </c>
      <c r="D555" s="8">
        <f t="shared" si="331"/>
        <v>352</v>
      </c>
      <c r="E555" s="8">
        <f t="shared" si="331"/>
        <v>14189.1</v>
      </c>
      <c r="F555" s="10" t="s">
        <v>3588</v>
      </c>
      <c r="G555" s="10">
        <v>97481</v>
      </c>
      <c r="H555" s="82"/>
      <c r="I555" s="10">
        <v>352</v>
      </c>
      <c r="J555" s="11">
        <v>14189.1</v>
      </c>
      <c r="K555" s="54">
        <f t="shared" si="329"/>
        <v>0</v>
      </c>
      <c r="L555" s="31">
        <f t="shared" si="330"/>
        <v>4.9974892035753671E-2</v>
      </c>
    </row>
    <row r="556" spans="1:12" ht="15" thickBot="1" x14ac:dyDescent="0.35">
      <c r="A556" s="179">
        <v>246</v>
      </c>
      <c r="B556" s="42">
        <v>10447.75</v>
      </c>
      <c r="C556" s="42" t="s">
        <v>3589</v>
      </c>
      <c r="D556" s="8">
        <f t="shared" si="331"/>
        <v>246</v>
      </c>
      <c r="E556" s="8">
        <f t="shared" si="331"/>
        <v>9873.4</v>
      </c>
      <c r="F556" s="10" t="s">
        <v>3590</v>
      </c>
      <c r="G556" s="10">
        <v>97551</v>
      </c>
      <c r="H556" s="82"/>
      <c r="I556" s="10">
        <v>246</v>
      </c>
      <c r="J556" s="11">
        <v>9873.4</v>
      </c>
      <c r="K556" s="54">
        <f t="shared" si="329"/>
        <v>0</v>
      </c>
      <c r="L556" s="31">
        <f t="shared" si="330"/>
        <v>5.4973558900241706E-2</v>
      </c>
    </row>
    <row r="557" spans="1:12" ht="15" thickBot="1" x14ac:dyDescent="0.35">
      <c r="A557" s="179">
        <v>208</v>
      </c>
      <c r="B557" s="42">
        <v>7032</v>
      </c>
      <c r="C557" s="42" t="s">
        <v>3591</v>
      </c>
      <c r="D557" s="8">
        <f t="shared" si="331"/>
        <v>208</v>
      </c>
      <c r="E557" s="8">
        <f t="shared" si="331"/>
        <v>6667.3</v>
      </c>
      <c r="F557" s="10" t="s">
        <v>3592</v>
      </c>
      <c r="G557" s="10">
        <v>97561</v>
      </c>
      <c r="H557" s="82"/>
      <c r="I557" s="10">
        <v>208</v>
      </c>
      <c r="J557" s="11">
        <v>6667.3</v>
      </c>
      <c r="K557" s="54">
        <f t="shared" si="329"/>
        <v>0</v>
      </c>
      <c r="L557" s="31">
        <f t="shared" si="330"/>
        <v>5.186291240045509E-2</v>
      </c>
    </row>
    <row r="558" spans="1:12" ht="15" thickBot="1" x14ac:dyDescent="0.35">
      <c r="A558" s="179">
        <v>1550</v>
      </c>
      <c r="B558" s="42">
        <v>62788</v>
      </c>
      <c r="C558" s="42" t="s">
        <v>3593</v>
      </c>
      <c r="D558" s="8">
        <f t="shared" si="331"/>
        <v>1550</v>
      </c>
      <c r="E558" s="8">
        <f t="shared" si="331"/>
        <v>62559.1</v>
      </c>
      <c r="F558" s="10" t="s">
        <v>3594</v>
      </c>
      <c r="G558" s="10">
        <v>97571</v>
      </c>
      <c r="H558" s="82"/>
      <c r="I558" s="10">
        <v>1550</v>
      </c>
      <c r="J558" s="11">
        <v>62559.1</v>
      </c>
      <c r="K558" s="54">
        <f t="shared" si="329"/>
        <v>0</v>
      </c>
      <c r="L558" s="31">
        <f t="shared" si="330"/>
        <v>3.6456010702682912E-3</v>
      </c>
    </row>
    <row r="559" spans="1:12" ht="15" thickBot="1" x14ac:dyDescent="0.35">
      <c r="A559" s="177">
        <v>310</v>
      </c>
      <c r="B559" s="39">
        <v>12400.75</v>
      </c>
      <c r="C559" s="39" t="s">
        <v>3595</v>
      </c>
      <c r="D559" s="12">
        <f t="shared" ref="D559:E559" si="332">+I559</f>
        <v>310</v>
      </c>
      <c r="E559" s="12">
        <f t="shared" si="332"/>
        <v>12145.7</v>
      </c>
      <c r="F559" s="12" t="s">
        <v>3596</v>
      </c>
      <c r="G559" s="12">
        <v>97611</v>
      </c>
      <c r="H559" s="38"/>
      <c r="I559" s="12">
        <v>310</v>
      </c>
      <c r="J559" s="13">
        <v>12145.7</v>
      </c>
      <c r="K559" s="54">
        <f t="shared" si="329"/>
        <v>0</v>
      </c>
      <c r="L559" s="31">
        <f t="shared" si="330"/>
        <v>2.0567304396911422E-2</v>
      </c>
    </row>
    <row r="560" spans="1:12" x14ac:dyDescent="0.3">
      <c r="A560" s="871">
        <v>415</v>
      </c>
      <c r="B560" s="873">
        <v>14044.5</v>
      </c>
      <c r="C560" s="873" t="s">
        <v>3597</v>
      </c>
      <c r="D560" s="873">
        <f>+I560+I561</f>
        <v>415</v>
      </c>
      <c r="E560" s="873">
        <f>+J560+J561</f>
        <v>13509.5</v>
      </c>
      <c r="F560" s="12" t="s">
        <v>3598</v>
      </c>
      <c r="G560" s="12">
        <v>97621</v>
      </c>
      <c r="H560" s="38"/>
      <c r="I560" s="12">
        <v>324</v>
      </c>
      <c r="J560" s="13">
        <v>10558.3</v>
      </c>
      <c r="K560" s="882">
        <f t="shared" si="329"/>
        <v>0</v>
      </c>
      <c r="L560" s="879">
        <f t="shared" si="330"/>
        <v>3.8093203745238453E-2</v>
      </c>
    </row>
    <row r="561" spans="1:12" ht="15" thickBot="1" x14ac:dyDescent="0.35">
      <c r="A561" s="875"/>
      <c r="B561" s="881"/>
      <c r="C561" s="881"/>
      <c r="D561" s="881"/>
      <c r="E561" s="881"/>
      <c r="F561" s="15" t="s">
        <v>3598</v>
      </c>
      <c r="G561" s="15">
        <v>97621</v>
      </c>
      <c r="H561" s="81"/>
      <c r="I561" s="15">
        <v>91</v>
      </c>
      <c r="J561" s="16">
        <v>2951.2</v>
      </c>
      <c r="K561" s="884"/>
      <c r="L561" s="880"/>
    </row>
    <row r="562" spans="1:12" x14ac:dyDescent="0.3">
      <c r="A562" s="871">
        <v>200</v>
      </c>
      <c r="B562" s="873">
        <v>9319.5</v>
      </c>
      <c r="C562" s="873" t="s">
        <v>3599</v>
      </c>
      <c r="D562" s="873">
        <f>+I562+I563</f>
        <v>201</v>
      </c>
      <c r="E562" s="873">
        <f>+J562+J563</f>
        <v>8652.7000000000007</v>
      </c>
      <c r="F562" s="12" t="s">
        <v>3600</v>
      </c>
      <c r="G562" s="12">
        <v>97651</v>
      </c>
      <c r="H562" s="38"/>
      <c r="I562" s="12">
        <v>93</v>
      </c>
      <c r="J562" s="13">
        <v>4001.5</v>
      </c>
      <c r="K562" s="882">
        <f t="shared" ref="K562" si="333">+A562-D562</f>
        <v>-1</v>
      </c>
      <c r="L562" s="879">
        <f t="shared" ref="L562" si="334">((+B562/A562)-(E562/D562))/(B562/A562)</f>
        <v>7.6168062525507452E-2</v>
      </c>
    </row>
    <row r="563" spans="1:12" ht="15" thickBot="1" x14ac:dyDescent="0.35">
      <c r="A563" s="872"/>
      <c r="B563" s="874"/>
      <c r="C563" s="874"/>
      <c r="D563" s="874"/>
      <c r="E563" s="874"/>
      <c r="F563" s="10" t="s">
        <v>3600</v>
      </c>
      <c r="G563" s="10">
        <v>97651</v>
      </c>
      <c r="H563" s="82"/>
      <c r="I563" s="10">
        <v>108</v>
      </c>
      <c r="J563" s="11">
        <v>4651.2</v>
      </c>
      <c r="K563" s="884"/>
      <c r="L563" s="880"/>
    </row>
    <row r="564" spans="1:12" ht="15" thickBot="1" x14ac:dyDescent="0.35">
      <c r="A564" s="178">
        <v>178</v>
      </c>
      <c r="B564" s="45">
        <v>7839.75</v>
      </c>
      <c r="C564" s="45" t="s">
        <v>3601</v>
      </c>
      <c r="D564" s="8">
        <f t="shared" ref="D564:E566" si="335">+I564</f>
        <v>178</v>
      </c>
      <c r="E564" s="8">
        <f t="shared" si="335"/>
        <v>7301.9</v>
      </c>
      <c r="F564" s="8" t="s">
        <v>3602</v>
      </c>
      <c r="G564" s="8">
        <v>97661</v>
      </c>
      <c r="H564" s="80"/>
      <c r="I564" s="8">
        <v>178</v>
      </c>
      <c r="J564" s="9">
        <v>7301.9</v>
      </c>
      <c r="K564" s="54">
        <f t="shared" ref="K564:K567" si="336">+A564-D564</f>
        <v>0</v>
      </c>
      <c r="L564" s="31">
        <f t="shared" ref="L564:L567" si="337">((+B564/A564)-(E564/D564))/(B564/A564)</f>
        <v>6.8605504002040851E-2</v>
      </c>
    </row>
    <row r="565" spans="1:12" ht="15" thickBot="1" x14ac:dyDescent="0.35">
      <c r="A565" s="178">
        <v>500</v>
      </c>
      <c r="B565" s="45">
        <v>20651.5</v>
      </c>
      <c r="C565" s="45" t="s">
        <v>3603</v>
      </c>
      <c r="D565" s="45">
        <f t="shared" si="335"/>
        <v>500</v>
      </c>
      <c r="E565" s="45">
        <f t="shared" si="335"/>
        <v>20185.7</v>
      </c>
      <c r="F565" s="45" t="s">
        <v>3604</v>
      </c>
      <c r="G565" s="45">
        <v>97701</v>
      </c>
      <c r="H565" s="14"/>
      <c r="I565" s="45">
        <v>500</v>
      </c>
      <c r="J565" s="46">
        <v>20185.7</v>
      </c>
      <c r="K565" s="54">
        <f t="shared" si="336"/>
        <v>0</v>
      </c>
      <c r="L565" s="31">
        <f t="shared" si="337"/>
        <v>2.2555262329612764E-2</v>
      </c>
    </row>
    <row r="566" spans="1:12" ht="15" thickBot="1" x14ac:dyDescent="0.35">
      <c r="A566" s="177">
        <v>486</v>
      </c>
      <c r="B566" s="39">
        <v>16388.75</v>
      </c>
      <c r="C566" s="39" t="s">
        <v>3736</v>
      </c>
      <c r="D566" s="45">
        <f t="shared" si="335"/>
        <v>486</v>
      </c>
      <c r="E566" s="45">
        <f t="shared" si="335"/>
        <v>15468.2</v>
      </c>
      <c r="F566" s="39" t="s">
        <v>3737</v>
      </c>
      <c r="G566" s="39">
        <v>97721</v>
      </c>
      <c r="H566" s="40"/>
      <c r="I566" s="39">
        <v>486</v>
      </c>
      <c r="J566" s="41">
        <v>15468.2</v>
      </c>
      <c r="K566" s="54">
        <f t="shared" ref="K566" si="338">+A566-D566</f>
        <v>0</v>
      </c>
      <c r="L566" s="31">
        <f t="shared" ref="L566" si="339">((+B566/A566)-(E566/D566))/(B566/A566)</f>
        <v>5.6169628556174231E-2</v>
      </c>
    </row>
    <row r="567" spans="1:12" ht="15" thickBot="1" x14ac:dyDescent="0.35">
      <c r="A567" s="178">
        <v>1750</v>
      </c>
      <c r="B567" s="45">
        <v>71960</v>
      </c>
      <c r="C567" s="45" t="s">
        <v>3605</v>
      </c>
      <c r="D567" s="45">
        <v>1750</v>
      </c>
      <c r="E567" s="45">
        <v>70430.399999999994</v>
      </c>
      <c r="F567" s="45" t="s">
        <v>3606</v>
      </c>
      <c r="G567" s="45">
        <v>97771</v>
      </c>
      <c r="H567" s="14"/>
      <c r="I567" s="45">
        <v>250</v>
      </c>
      <c r="J567" s="46">
        <v>10032.200000000001</v>
      </c>
      <c r="K567" s="54">
        <f t="shared" si="336"/>
        <v>0</v>
      </c>
      <c r="L567" s="31">
        <f t="shared" si="337"/>
        <v>2.1256253474152411E-2</v>
      </c>
    </row>
    <row r="568" spans="1:12" ht="15" thickBot="1" x14ac:dyDescent="0.35">
      <c r="A568" s="178">
        <v>280</v>
      </c>
      <c r="B568" s="45">
        <v>9459.25</v>
      </c>
      <c r="C568" s="45" t="s">
        <v>3738</v>
      </c>
      <c r="D568" s="45">
        <f>+I568</f>
        <v>280</v>
      </c>
      <c r="E568" s="45">
        <f>+J568</f>
        <v>9017.5999999999985</v>
      </c>
      <c r="F568" s="45" t="s">
        <v>3739</v>
      </c>
      <c r="G568" s="45">
        <v>97791</v>
      </c>
      <c r="H568" s="14"/>
      <c r="I568" s="45">
        <v>280</v>
      </c>
      <c r="J568" s="46">
        <v>9017.5999999999985</v>
      </c>
      <c r="K568" s="54">
        <f t="shared" ref="K568:K569" si="340">+A568-D568</f>
        <v>0</v>
      </c>
      <c r="L568" s="31">
        <f t="shared" ref="L568:L569" si="341">((+B568/A568)-(E568/D568))/(B568/A568)</f>
        <v>4.6689748130137425E-2</v>
      </c>
    </row>
    <row r="569" spans="1:12" x14ac:dyDescent="0.3">
      <c r="A569" s="871">
        <v>195</v>
      </c>
      <c r="B569" s="873">
        <v>8327.75</v>
      </c>
      <c r="C569" s="873" t="s">
        <v>3740</v>
      </c>
      <c r="D569" s="873">
        <f>+I569+I570</f>
        <v>195</v>
      </c>
      <c r="E569" s="873">
        <f>+J569+J570</f>
        <v>7858.1</v>
      </c>
      <c r="F569" s="39" t="s">
        <v>3741</v>
      </c>
      <c r="G569" s="39">
        <v>97811</v>
      </c>
      <c r="H569" s="40"/>
      <c r="I569" s="39">
        <v>170</v>
      </c>
      <c r="J569" s="41">
        <v>6923.3</v>
      </c>
      <c r="K569" s="882">
        <f t="shared" si="340"/>
        <v>0</v>
      </c>
      <c r="L569" s="879">
        <f t="shared" si="341"/>
        <v>5.6395785176067942E-2</v>
      </c>
    </row>
    <row r="570" spans="1:12" ht="15" thickBot="1" x14ac:dyDescent="0.35">
      <c r="A570" s="872"/>
      <c r="B570" s="874"/>
      <c r="C570" s="874"/>
      <c r="D570" s="874"/>
      <c r="E570" s="874"/>
      <c r="F570" s="42" t="s">
        <v>3741</v>
      </c>
      <c r="G570" s="42">
        <v>97811</v>
      </c>
      <c r="H570" s="43"/>
      <c r="I570" s="42">
        <v>25</v>
      </c>
      <c r="J570" s="44">
        <v>934.8</v>
      </c>
      <c r="K570" s="884"/>
      <c r="L570" s="880"/>
    </row>
    <row r="571" spans="1:12" ht="15" thickBot="1" x14ac:dyDescent="0.35">
      <c r="A571" s="178">
        <v>118</v>
      </c>
      <c r="B571" s="45">
        <v>5269</v>
      </c>
      <c r="C571" s="45" t="s">
        <v>3742</v>
      </c>
      <c r="D571" s="45">
        <f>+I571</f>
        <v>118</v>
      </c>
      <c r="E571" s="45">
        <f>+J571</f>
        <v>4941.7</v>
      </c>
      <c r="F571" s="45" t="s">
        <v>3743</v>
      </c>
      <c r="G571" s="45">
        <v>97821</v>
      </c>
      <c r="H571" s="14"/>
      <c r="I571" s="45">
        <v>118</v>
      </c>
      <c r="J571" s="46">
        <v>4941.7</v>
      </c>
      <c r="K571" s="54">
        <f t="shared" ref="K571:K573" si="342">+A571-D571</f>
        <v>0</v>
      </c>
      <c r="L571" s="31">
        <f t="shared" ref="L571:L573" si="343">((+B571/A571)-(E571/D571))/(B571/A571)</f>
        <v>6.2118048965648154E-2</v>
      </c>
    </row>
    <row r="572" spans="1:12" ht="15" thickBot="1" x14ac:dyDescent="0.35">
      <c r="A572" s="212">
        <v>550</v>
      </c>
      <c r="B572" s="50">
        <v>24177.5</v>
      </c>
      <c r="C572" s="50" t="s">
        <v>3744</v>
      </c>
      <c r="D572" s="39">
        <f>+I572</f>
        <v>550</v>
      </c>
      <c r="E572" s="39">
        <f>+J572</f>
        <v>23425.5</v>
      </c>
      <c r="F572" s="50" t="s">
        <v>3745</v>
      </c>
      <c r="G572" s="50">
        <v>97871</v>
      </c>
      <c r="I572" s="50">
        <v>550</v>
      </c>
      <c r="J572" s="51">
        <v>23425.5</v>
      </c>
      <c r="K572" s="54">
        <f t="shared" si="342"/>
        <v>0</v>
      </c>
      <c r="L572" s="31">
        <f t="shared" si="343"/>
        <v>3.1103298521352494E-2</v>
      </c>
    </row>
    <row r="573" spans="1:12" x14ac:dyDescent="0.3">
      <c r="A573" s="871">
        <v>691</v>
      </c>
      <c r="B573" s="873">
        <v>28761.5</v>
      </c>
      <c r="C573" s="873" t="s">
        <v>3746</v>
      </c>
      <c r="D573" s="873">
        <f>+I573+I574</f>
        <v>691</v>
      </c>
      <c r="E573" s="873">
        <f>+J573+J574</f>
        <v>28073.4</v>
      </c>
      <c r="F573" s="39" t="s">
        <v>3747</v>
      </c>
      <c r="G573" s="39">
        <v>97891</v>
      </c>
      <c r="H573" s="40"/>
      <c r="I573" s="39">
        <v>379</v>
      </c>
      <c r="J573" s="41">
        <v>15487.6</v>
      </c>
      <c r="K573" s="882">
        <f t="shared" si="342"/>
        <v>0</v>
      </c>
      <c r="L573" s="879">
        <f t="shared" si="343"/>
        <v>2.3924343306155841E-2</v>
      </c>
    </row>
    <row r="574" spans="1:12" ht="15" thickBot="1" x14ac:dyDescent="0.35">
      <c r="A574" s="872"/>
      <c r="B574" s="874"/>
      <c r="C574" s="874"/>
      <c r="D574" s="874"/>
      <c r="E574" s="874"/>
      <c r="F574" s="42" t="s">
        <v>3747</v>
      </c>
      <c r="G574" s="42">
        <v>97891</v>
      </c>
      <c r="H574" s="43"/>
      <c r="I574" s="42">
        <v>312</v>
      </c>
      <c r="J574" s="44">
        <v>12585.8</v>
      </c>
      <c r="K574" s="884"/>
      <c r="L574" s="880"/>
    </row>
    <row r="575" spans="1:12" ht="15" thickBot="1" x14ac:dyDescent="0.35">
      <c r="A575" s="178">
        <v>500</v>
      </c>
      <c r="B575" s="45">
        <v>20357.75</v>
      </c>
      <c r="C575" s="45" t="s">
        <v>3748</v>
      </c>
      <c r="D575" s="45">
        <f>+I575</f>
        <v>500</v>
      </c>
      <c r="E575" s="45">
        <f>+J575</f>
        <v>19897.8</v>
      </c>
      <c r="F575" s="45" t="s">
        <v>3749</v>
      </c>
      <c r="G575" s="45">
        <v>97901</v>
      </c>
      <c r="H575" s="14"/>
      <c r="I575" s="45">
        <v>500</v>
      </c>
      <c r="J575" s="46">
        <v>19897.8</v>
      </c>
      <c r="K575" s="54">
        <f t="shared" ref="K575:K577" si="344">+A575-D575</f>
        <v>0</v>
      </c>
      <c r="L575" s="31">
        <f t="shared" ref="L575:L577" si="345">((+B575/A575)-(E575/D575))/(B575/A575)</f>
        <v>2.2593361250629329E-2</v>
      </c>
    </row>
    <row r="576" spans="1:12" ht="15" thickBot="1" x14ac:dyDescent="0.35">
      <c r="A576" s="175">
        <v>151</v>
      </c>
      <c r="B576" s="8">
        <v>6885.75</v>
      </c>
      <c r="C576" s="8" t="s">
        <v>3750</v>
      </c>
      <c r="D576" s="45">
        <f>+I576</f>
        <v>151</v>
      </c>
      <c r="E576" s="45">
        <f>+J576</f>
        <v>6437.8</v>
      </c>
      <c r="F576" s="45" t="s">
        <v>3751</v>
      </c>
      <c r="G576" s="45">
        <v>97911</v>
      </c>
      <c r="H576" s="14"/>
      <c r="I576" s="45">
        <v>151</v>
      </c>
      <c r="J576" s="46">
        <v>6437.8</v>
      </c>
      <c r="K576" s="54">
        <f t="shared" si="344"/>
        <v>0</v>
      </c>
      <c r="L576" s="31">
        <f t="shared" si="345"/>
        <v>6.5054641832770474E-2</v>
      </c>
    </row>
    <row r="577" spans="1:12" x14ac:dyDescent="0.3">
      <c r="A577" s="871">
        <v>1811</v>
      </c>
      <c r="B577" s="873">
        <v>73394.5</v>
      </c>
      <c r="C577" s="873" t="s">
        <v>3752</v>
      </c>
      <c r="D577" s="873">
        <f>+I577+I578+I579</f>
        <v>1811</v>
      </c>
      <c r="E577" s="873">
        <f>+J577+J578+J579</f>
        <v>71346.100000000006</v>
      </c>
      <c r="F577" s="39" t="s">
        <v>3753</v>
      </c>
      <c r="G577" s="39">
        <v>97941</v>
      </c>
      <c r="H577" s="40"/>
      <c r="I577" s="39">
        <v>500</v>
      </c>
      <c r="J577" s="41">
        <v>19564.8</v>
      </c>
      <c r="K577" s="882">
        <f t="shared" si="344"/>
        <v>0</v>
      </c>
      <c r="L577" s="879">
        <f t="shared" si="345"/>
        <v>2.7909448255659379E-2</v>
      </c>
    </row>
    <row r="578" spans="1:12" x14ac:dyDescent="0.3">
      <c r="A578" s="875"/>
      <c r="B578" s="881"/>
      <c r="C578" s="881"/>
      <c r="D578" s="881"/>
      <c r="E578" s="881"/>
      <c r="F578" s="50" t="s">
        <v>3753</v>
      </c>
      <c r="G578" s="50">
        <v>97941</v>
      </c>
      <c r="I578" s="50">
        <v>500</v>
      </c>
      <c r="J578" s="51">
        <v>19908.5</v>
      </c>
      <c r="K578" s="883"/>
      <c r="L578" s="885"/>
    </row>
    <row r="579" spans="1:12" ht="15" thickBot="1" x14ac:dyDescent="0.35">
      <c r="A579" s="872"/>
      <c r="B579" s="874"/>
      <c r="C579" s="874"/>
      <c r="D579" s="874"/>
      <c r="E579" s="874"/>
      <c r="F579" s="42" t="s">
        <v>3753</v>
      </c>
      <c r="G579" s="42">
        <v>97941</v>
      </c>
      <c r="H579" s="43"/>
      <c r="I579" s="42">
        <v>811</v>
      </c>
      <c r="J579" s="44">
        <v>31872.799999999996</v>
      </c>
      <c r="K579" s="884"/>
      <c r="L579" s="880"/>
    </row>
    <row r="580" spans="1:12" x14ac:dyDescent="0.3">
      <c r="A580" s="174">
        <v>755</v>
      </c>
      <c r="B580" s="12">
        <v>31590.25</v>
      </c>
      <c r="C580" s="12" t="s">
        <v>3754</v>
      </c>
      <c r="D580" s="873">
        <f>+I580+I581</f>
        <v>755</v>
      </c>
      <c r="E580" s="873">
        <f>+J580+J581</f>
        <v>30665</v>
      </c>
      <c r="F580" s="39" t="s">
        <v>3755</v>
      </c>
      <c r="G580" s="39">
        <v>98001</v>
      </c>
      <c r="H580" s="40"/>
      <c r="I580" s="39">
        <v>500</v>
      </c>
      <c r="J580" s="41">
        <v>20165.899999999998</v>
      </c>
      <c r="K580" s="882">
        <f t="shared" ref="K580" si="346">+A580-D580</f>
        <v>0</v>
      </c>
      <c r="L580" s="879">
        <f t="shared" ref="L580" si="347">((+B580/A580)-(E580/D580))/(B580/A580)</f>
        <v>2.9289100276192963E-2</v>
      </c>
    </row>
    <row r="581" spans="1:12" ht="15" thickBot="1" x14ac:dyDescent="0.35">
      <c r="A581" s="199"/>
      <c r="B581" s="10"/>
      <c r="C581" s="10"/>
      <c r="D581" s="874"/>
      <c r="E581" s="874"/>
      <c r="F581" s="42" t="s">
        <v>3755</v>
      </c>
      <c r="G581" s="42">
        <v>98001</v>
      </c>
      <c r="H581" s="43"/>
      <c r="I581" s="42">
        <v>255</v>
      </c>
      <c r="J581" s="44">
        <v>10499.1</v>
      </c>
      <c r="K581" s="884"/>
      <c r="L581" s="880"/>
    </row>
    <row r="582" spans="1:12" ht="15" thickBot="1" x14ac:dyDescent="0.35">
      <c r="A582" s="175">
        <v>249</v>
      </c>
      <c r="B582" s="8">
        <v>9542.5</v>
      </c>
      <c r="C582" s="8" t="s">
        <v>3756</v>
      </c>
      <c r="D582" s="8">
        <f t="shared" ref="D582:E584" si="348">+I582</f>
        <v>249</v>
      </c>
      <c r="E582" s="8">
        <f t="shared" si="348"/>
        <v>9203.2000000000007</v>
      </c>
      <c r="F582" s="45" t="s">
        <v>3757</v>
      </c>
      <c r="G582" s="45">
        <v>98011</v>
      </c>
      <c r="H582" s="14"/>
      <c r="I582" s="45">
        <v>249</v>
      </c>
      <c r="J582" s="46">
        <v>9203.2000000000007</v>
      </c>
      <c r="K582" s="54">
        <f t="shared" ref="K582:K585" si="349">+A582-D582</f>
        <v>0</v>
      </c>
      <c r="L582" s="31">
        <f t="shared" ref="L582:L585" si="350">((+B582/A582)-(E582/D582))/(B582/A582)</f>
        <v>3.5556719937123178E-2</v>
      </c>
    </row>
    <row r="583" spans="1:12" ht="15" thickBot="1" x14ac:dyDescent="0.35">
      <c r="A583" s="175">
        <v>111</v>
      </c>
      <c r="B583" s="8">
        <v>5346.75</v>
      </c>
      <c r="C583" s="8" t="s">
        <v>3758</v>
      </c>
      <c r="D583" s="8">
        <f t="shared" si="348"/>
        <v>111</v>
      </c>
      <c r="E583" s="8">
        <f t="shared" si="348"/>
        <v>4969.5</v>
      </c>
      <c r="F583" s="45" t="s">
        <v>3759</v>
      </c>
      <c r="G583" s="45">
        <v>98021</v>
      </c>
      <c r="H583" s="14"/>
      <c r="I583" s="45">
        <v>111</v>
      </c>
      <c r="J583" s="46">
        <v>4969.5</v>
      </c>
      <c r="K583" s="54">
        <f t="shared" si="349"/>
        <v>0</v>
      </c>
      <c r="L583" s="31">
        <f t="shared" si="350"/>
        <v>7.0556880347874815E-2</v>
      </c>
    </row>
    <row r="584" spans="1:12" ht="15" thickBot="1" x14ac:dyDescent="0.35">
      <c r="A584" s="175">
        <v>139</v>
      </c>
      <c r="B584" s="8">
        <v>6781.5</v>
      </c>
      <c r="C584" s="8" t="s">
        <v>3760</v>
      </c>
      <c r="D584" s="8">
        <f t="shared" si="348"/>
        <v>139</v>
      </c>
      <c r="E584" s="8">
        <f t="shared" si="348"/>
        <v>6394.6</v>
      </c>
      <c r="F584" s="45" t="s">
        <v>3761</v>
      </c>
      <c r="G584" s="45">
        <v>98031</v>
      </c>
      <c r="H584" s="14"/>
      <c r="I584" s="45">
        <v>139</v>
      </c>
      <c r="J584" s="46">
        <v>6394.6</v>
      </c>
      <c r="K584" s="54">
        <f t="shared" si="349"/>
        <v>0</v>
      </c>
      <c r="L584" s="31">
        <f t="shared" si="350"/>
        <v>5.7052274570522601E-2</v>
      </c>
    </row>
    <row r="585" spans="1:12" x14ac:dyDescent="0.3">
      <c r="A585" s="871">
        <v>500</v>
      </c>
      <c r="B585" s="873">
        <v>20953.75</v>
      </c>
      <c r="C585" s="873" t="s">
        <v>3762</v>
      </c>
      <c r="D585" s="873">
        <f>+I585+I586</f>
        <v>500</v>
      </c>
      <c r="E585" s="873">
        <f>+J585+J586</f>
        <v>20315.099999999999</v>
      </c>
      <c r="F585" s="39" t="s">
        <v>3763</v>
      </c>
      <c r="G585" s="39">
        <v>98101</v>
      </c>
      <c r="H585" s="40"/>
      <c r="I585" s="39">
        <v>121</v>
      </c>
      <c r="J585" s="41">
        <v>4933.8999999999996</v>
      </c>
      <c r="K585" s="882">
        <f t="shared" si="349"/>
        <v>0</v>
      </c>
      <c r="L585" s="879">
        <f t="shared" si="350"/>
        <v>3.0479031199666023E-2</v>
      </c>
    </row>
    <row r="586" spans="1:12" ht="15" thickBot="1" x14ac:dyDescent="0.35">
      <c r="A586" s="872"/>
      <c r="B586" s="874"/>
      <c r="C586" s="874"/>
      <c r="D586" s="874"/>
      <c r="E586" s="874"/>
      <c r="F586" s="42" t="s">
        <v>3763</v>
      </c>
      <c r="G586" s="42">
        <v>98101</v>
      </c>
      <c r="H586" s="43"/>
      <c r="I586" s="42">
        <v>379</v>
      </c>
      <c r="J586" s="44">
        <v>15381.199999999999</v>
      </c>
      <c r="K586" s="884"/>
      <c r="L586" s="880"/>
    </row>
    <row r="587" spans="1:12" ht="15" thickBot="1" x14ac:dyDescent="0.35">
      <c r="A587" s="174">
        <f>71-25</f>
        <v>46</v>
      </c>
      <c r="B587" s="12">
        <f>3460-1218.25</f>
        <v>2241.75</v>
      </c>
      <c r="C587" s="12" t="s">
        <v>3722</v>
      </c>
      <c r="D587" s="12">
        <f>+I587</f>
        <v>46</v>
      </c>
      <c r="E587" s="12">
        <f>+J587</f>
        <v>2099.6</v>
      </c>
      <c r="F587" s="39" t="s">
        <v>3723</v>
      </c>
      <c r="G587" s="39">
        <v>98111</v>
      </c>
      <c r="H587" s="40"/>
      <c r="I587" s="39">
        <v>46</v>
      </c>
      <c r="J587" s="41">
        <v>2099.6</v>
      </c>
      <c r="K587" s="54">
        <f t="shared" ref="K587:K588" si="351">+A587-D587</f>
        <v>0</v>
      </c>
      <c r="L587" s="31">
        <f t="shared" ref="L587:L588" si="352">((+B587/A587)-(E587/D587))/(B587/A587)</f>
        <v>6.3410282145645189E-2</v>
      </c>
    </row>
    <row r="588" spans="1:12" x14ac:dyDescent="0.3">
      <c r="A588" s="871">
        <v>1000</v>
      </c>
      <c r="B588" s="873">
        <v>42435.5</v>
      </c>
      <c r="C588" s="873" t="s">
        <v>3724</v>
      </c>
      <c r="D588" s="873">
        <f>+I588+I590+I589</f>
        <v>1000</v>
      </c>
      <c r="E588" s="873">
        <f>+J588+J590+J589</f>
        <v>40940.800000000003</v>
      </c>
      <c r="F588" s="39" t="s">
        <v>3725</v>
      </c>
      <c r="G588" s="39">
        <v>98141</v>
      </c>
      <c r="H588" s="40"/>
      <c r="I588" s="12">
        <v>250</v>
      </c>
      <c r="J588" s="13">
        <v>10117</v>
      </c>
      <c r="K588" s="882">
        <f t="shared" si="351"/>
        <v>0</v>
      </c>
      <c r="L588" s="879">
        <f t="shared" si="352"/>
        <v>3.5222867646192334E-2</v>
      </c>
    </row>
    <row r="589" spans="1:12" x14ac:dyDescent="0.3">
      <c r="A589" s="875"/>
      <c r="B589" s="881"/>
      <c r="C589" s="881"/>
      <c r="D589" s="881"/>
      <c r="E589" s="881"/>
      <c r="F589" s="50" t="s">
        <v>3725</v>
      </c>
      <c r="G589" s="50">
        <v>98141</v>
      </c>
      <c r="I589" s="15">
        <v>450</v>
      </c>
      <c r="J589" s="16">
        <v>18533.800000000003</v>
      </c>
      <c r="K589" s="883"/>
      <c r="L589" s="885"/>
    </row>
    <row r="590" spans="1:12" ht="15" thickBot="1" x14ac:dyDescent="0.35">
      <c r="A590" s="872"/>
      <c r="B590" s="874"/>
      <c r="C590" s="874"/>
      <c r="D590" s="874"/>
      <c r="E590" s="874"/>
      <c r="F590" s="42" t="s">
        <v>3725</v>
      </c>
      <c r="G590" s="42">
        <v>98141</v>
      </c>
      <c r="H590" s="43"/>
      <c r="I590" s="10">
        <v>300</v>
      </c>
      <c r="J590" s="11">
        <v>12290</v>
      </c>
      <c r="K590" s="884"/>
      <c r="L590" s="880"/>
    </row>
    <row r="591" spans="1:12" ht="15" thickBot="1" x14ac:dyDescent="0.35">
      <c r="A591" s="199">
        <v>860</v>
      </c>
      <c r="B591" s="10">
        <v>36332.5</v>
      </c>
      <c r="C591" s="10" t="s">
        <v>3764</v>
      </c>
      <c r="D591" s="10">
        <f t="shared" ref="D591:E594" si="353">+I591</f>
        <v>860</v>
      </c>
      <c r="E591" s="10">
        <f t="shared" si="353"/>
        <v>35099.9</v>
      </c>
      <c r="F591" s="42" t="s">
        <v>3765</v>
      </c>
      <c r="G591" s="42">
        <v>98151</v>
      </c>
      <c r="H591" s="43"/>
      <c r="I591" s="42">
        <v>860</v>
      </c>
      <c r="J591" s="44">
        <v>35099.9</v>
      </c>
      <c r="K591" s="54">
        <f t="shared" ref="K591:K595" si="354">+A591-D591</f>
        <v>0</v>
      </c>
      <c r="L591" s="31">
        <f t="shared" ref="L591:L595" si="355">((+B591/A591)-(E591/D591))/(B591/A591)</f>
        <v>3.3925548751118105E-2</v>
      </c>
    </row>
    <row r="592" spans="1:12" ht="15" thickBot="1" x14ac:dyDescent="0.35">
      <c r="A592" s="175">
        <v>380</v>
      </c>
      <c r="B592" s="8">
        <v>16894.25</v>
      </c>
      <c r="C592" s="8" t="s">
        <v>3766</v>
      </c>
      <c r="D592" s="8">
        <f t="shared" si="353"/>
        <v>380</v>
      </c>
      <c r="E592" s="8">
        <f t="shared" si="353"/>
        <v>16378.600000000002</v>
      </c>
      <c r="F592" s="45" t="s">
        <v>2322</v>
      </c>
      <c r="G592" s="45">
        <v>98181</v>
      </c>
      <c r="H592" s="14"/>
      <c r="I592" s="45">
        <v>380</v>
      </c>
      <c r="J592" s="46">
        <v>16378.600000000002</v>
      </c>
      <c r="K592" s="54">
        <f t="shared" si="354"/>
        <v>0</v>
      </c>
      <c r="L592" s="31">
        <f t="shared" si="355"/>
        <v>3.0522219098213812E-2</v>
      </c>
    </row>
    <row r="593" spans="1:12" ht="15" thickBot="1" x14ac:dyDescent="0.35">
      <c r="A593" s="197">
        <v>1000</v>
      </c>
      <c r="B593" s="198">
        <v>41495.5</v>
      </c>
      <c r="C593" s="198" t="s">
        <v>3767</v>
      </c>
      <c r="D593" s="8">
        <f t="shared" si="353"/>
        <v>1000</v>
      </c>
      <c r="E593" s="8">
        <f t="shared" si="353"/>
        <v>41069.1</v>
      </c>
      <c r="F593" s="323" t="s">
        <v>3768</v>
      </c>
      <c r="G593" s="323">
        <v>98191</v>
      </c>
      <c r="H593" s="324"/>
      <c r="I593" s="323">
        <v>1000</v>
      </c>
      <c r="J593" s="325">
        <v>41069.1</v>
      </c>
      <c r="K593" s="54">
        <f t="shared" si="354"/>
        <v>0</v>
      </c>
      <c r="L593" s="31">
        <f t="shared" si="355"/>
        <v>1.0275813039968213E-2</v>
      </c>
    </row>
    <row r="594" spans="1:12" ht="15" thickBot="1" x14ac:dyDescent="0.35">
      <c r="A594" s="174">
        <v>550</v>
      </c>
      <c r="B594" s="12">
        <v>24572.5</v>
      </c>
      <c r="C594" s="12" t="s">
        <v>3769</v>
      </c>
      <c r="D594" s="12">
        <f t="shared" si="353"/>
        <v>552</v>
      </c>
      <c r="E594" s="12">
        <f t="shared" si="353"/>
        <v>23817.4</v>
      </c>
      <c r="F594" s="39" t="s">
        <v>3770</v>
      </c>
      <c r="G594" s="39">
        <v>98211</v>
      </c>
      <c r="H594" s="40"/>
      <c r="I594" s="39">
        <v>552</v>
      </c>
      <c r="J594" s="41">
        <v>23817.4</v>
      </c>
      <c r="K594" s="54">
        <f t="shared" si="354"/>
        <v>-2</v>
      </c>
      <c r="L594" s="31">
        <f t="shared" si="355"/>
        <v>3.4241323737358019E-2</v>
      </c>
    </row>
    <row r="595" spans="1:12" x14ac:dyDescent="0.3">
      <c r="A595" s="882">
        <v>2062</v>
      </c>
      <c r="B595" s="982">
        <v>89550.91</v>
      </c>
      <c r="C595" s="982" t="s">
        <v>3771</v>
      </c>
      <c r="D595" s="873">
        <v>2062</v>
      </c>
      <c r="E595" s="873">
        <v>86141.1</v>
      </c>
      <c r="F595" s="39" t="s">
        <v>3772</v>
      </c>
      <c r="G595" s="39">
        <v>98231</v>
      </c>
      <c r="H595" s="40"/>
      <c r="I595" s="39">
        <v>350</v>
      </c>
      <c r="J595" s="41">
        <v>14783.999999999998</v>
      </c>
      <c r="K595" s="882">
        <f t="shared" si="354"/>
        <v>0</v>
      </c>
      <c r="L595" s="879">
        <f t="shared" si="355"/>
        <v>3.8076776662570963E-2</v>
      </c>
    </row>
    <row r="596" spans="1:12" ht="15" thickBot="1" x14ac:dyDescent="0.35">
      <c r="A596" s="884"/>
      <c r="B596" s="983"/>
      <c r="C596" s="983"/>
      <c r="D596" s="874"/>
      <c r="E596" s="874"/>
      <c r="F596" s="42" t="s">
        <v>3772</v>
      </c>
      <c r="G596" s="42">
        <v>98231</v>
      </c>
      <c r="H596" s="43"/>
      <c r="I596" s="42">
        <v>905</v>
      </c>
      <c r="J596" s="44">
        <v>38177.599999999999</v>
      </c>
      <c r="K596" s="884"/>
      <c r="L596" s="880"/>
    </row>
    <row r="597" spans="1:12" ht="15" thickBot="1" x14ac:dyDescent="0.35">
      <c r="A597" s="178">
        <v>750</v>
      </c>
      <c r="B597" s="45">
        <v>32797.5</v>
      </c>
      <c r="C597" s="45" t="s">
        <v>3961</v>
      </c>
      <c r="D597" s="45">
        <f>+I597</f>
        <v>750</v>
      </c>
      <c r="E597" s="45">
        <f>+J597</f>
        <v>31376.9</v>
      </c>
      <c r="F597" s="45" t="s">
        <v>3962</v>
      </c>
      <c r="G597" s="45">
        <v>98241</v>
      </c>
      <c r="H597" s="14"/>
      <c r="I597" s="45">
        <v>750</v>
      </c>
      <c r="J597" s="46">
        <v>31376.9</v>
      </c>
      <c r="K597" s="54">
        <f t="shared" ref="K597" si="356">+A597-D597</f>
        <v>0</v>
      </c>
      <c r="L597" s="31">
        <f t="shared" ref="L597" si="357">((+B597/A597)-(E597/D597))/(B597/A597)</f>
        <v>4.3314277002820242E-2</v>
      </c>
    </row>
    <row r="598" spans="1:12" x14ac:dyDescent="0.3">
      <c r="A598" s="871">
        <v>1101</v>
      </c>
      <c r="B598" s="873">
        <v>47421.5</v>
      </c>
      <c r="C598" s="873" t="s">
        <v>3963</v>
      </c>
      <c r="D598" s="873">
        <f>+I598+I599</f>
        <v>1081</v>
      </c>
      <c r="E598" s="873">
        <f>+J598+J599</f>
        <v>45424.5</v>
      </c>
      <c r="F598" s="39" t="s">
        <v>2476</v>
      </c>
      <c r="G598" s="39">
        <v>98281</v>
      </c>
      <c r="H598" s="40"/>
      <c r="I598" s="39">
        <v>550</v>
      </c>
      <c r="J598" s="41">
        <v>23458</v>
      </c>
      <c r="K598" s="882">
        <f t="shared" ref="K598" si="358">+A598-D598</f>
        <v>20</v>
      </c>
      <c r="L598" s="879">
        <f t="shared" ref="L598" si="359">((+B598/A598)-(E598/D598))/(B598/A598)</f>
        <v>2.4389437676558341E-2</v>
      </c>
    </row>
    <row r="599" spans="1:12" ht="15" thickBot="1" x14ac:dyDescent="0.35">
      <c r="A599" s="872"/>
      <c r="B599" s="874"/>
      <c r="C599" s="874"/>
      <c r="D599" s="874"/>
      <c r="E599" s="874"/>
      <c r="F599" s="42" t="s">
        <v>2476</v>
      </c>
      <c r="G599" s="42">
        <v>98281</v>
      </c>
      <c r="H599" s="43"/>
      <c r="I599" s="42">
        <v>531</v>
      </c>
      <c r="J599" s="44">
        <v>21966.5</v>
      </c>
      <c r="K599" s="884"/>
      <c r="L599" s="880"/>
    </row>
    <row r="600" spans="1:12" x14ac:dyDescent="0.3">
      <c r="A600" s="871">
        <v>565</v>
      </c>
      <c r="B600" s="873">
        <v>25196.5</v>
      </c>
      <c r="C600" s="873" t="s">
        <v>3964</v>
      </c>
      <c r="D600" s="873">
        <f>+I600+I601</f>
        <v>565</v>
      </c>
      <c r="E600" s="873">
        <f>+J600+J601</f>
        <v>24483</v>
      </c>
      <c r="F600" s="39" t="s">
        <v>3965</v>
      </c>
      <c r="G600" s="39">
        <v>98291</v>
      </c>
      <c r="H600" s="40"/>
      <c r="I600" s="39">
        <v>200</v>
      </c>
      <c r="J600" s="41">
        <v>8585.2999999999993</v>
      </c>
      <c r="K600" s="882">
        <f t="shared" ref="K600" si="360">+A600-D600</f>
        <v>0</v>
      </c>
      <c r="L600" s="879">
        <f t="shared" ref="L600" si="361">((+B600/A600)-(E600/D600))/(B600/A600)</f>
        <v>2.8317425039192018E-2</v>
      </c>
    </row>
    <row r="601" spans="1:12" ht="15" thickBot="1" x14ac:dyDescent="0.35">
      <c r="A601" s="872"/>
      <c r="B601" s="874"/>
      <c r="C601" s="874"/>
      <c r="D601" s="874"/>
      <c r="E601" s="874"/>
      <c r="F601" s="42" t="s">
        <v>3965</v>
      </c>
      <c r="G601" s="42">
        <v>98291</v>
      </c>
      <c r="H601" s="43"/>
      <c r="I601" s="42">
        <v>365</v>
      </c>
      <c r="J601" s="44">
        <v>15897.7</v>
      </c>
      <c r="K601" s="884"/>
      <c r="L601" s="880"/>
    </row>
    <row r="602" spans="1:12" ht="15" thickBot="1" x14ac:dyDescent="0.35">
      <c r="A602" s="178">
        <v>275</v>
      </c>
      <c r="B602" s="45">
        <v>11567.75</v>
      </c>
      <c r="C602" s="45" t="s">
        <v>3966</v>
      </c>
      <c r="D602" s="45">
        <f>+I602</f>
        <v>276</v>
      </c>
      <c r="E602" s="45">
        <f>+J602</f>
        <v>11270.2</v>
      </c>
      <c r="F602" s="45" t="s">
        <v>3967</v>
      </c>
      <c r="G602" s="45">
        <v>98311</v>
      </c>
      <c r="H602" s="14"/>
      <c r="I602" s="45">
        <v>276</v>
      </c>
      <c r="J602" s="46">
        <v>11270.2</v>
      </c>
      <c r="K602" s="54">
        <f t="shared" ref="K602:K603" si="362">+A602-D602</f>
        <v>-1</v>
      </c>
      <c r="L602" s="31">
        <f t="shared" ref="L602:L603" si="363">((+B602/A602)-(E602/D602))/(B602/A602)</f>
        <v>2.9252366101533433E-2</v>
      </c>
    </row>
    <row r="603" spans="1:12" ht="15" thickBot="1" x14ac:dyDescent="0.35">
      <c r="A603" s="178">
        <v>332</v>
      </c>
      <c r="B603" s="45">
        <v>15732</v>
      </c>
      <c r="C603" s="45" t="s">
        <v>3968</v>
      </c>
      <c r="D603" s="45">
        <f>+I603</f>
        <v>334</v>
      </c>
      <c r="E603" s="45">
        <f>+J603</f>
        <v>15208.599999999999</v>
      </c>
      <c r="F603" s="45" t="s">
        <v>3969</v>
      </c>
      <c r="G603" s="45">
        <v>98361</v>
      </c>
      <c r="H603" s="14"/>
      <c r="I603" s="45">
        <v>334</v>
      </c>
      <c r="J603" s="46">
        <v>15208.599999999999</v>
      </c>
      <c r="K603" s="54">
        <f t="shared" si="362"/>
        <v>-2</v>
      </c>
      <c r="L603" s="31">
        <f t="shared" si="363"/>
        <v>3.9058572405151537E-2</v>
      </c>
    </row>
    <row r="604" spans="1:12" x14ac:dyDescent="0.3">
      <c r="A604" s="871">
        <v>1000</v>
      </c>
      <c r="B604" s="873">
        <v>38196</v>
      </c>
      <c r="C604" s="873" t="s">
        <v>3970</v>
      </c>
      <c r="D604" s="873">
        <f>+I604+I605</f>
        <v>872</v>
      </c>
      <c r="E604" s="873">
        <f>+J604+J605</f>
        <v>36662.900000000009</v>
      </c>
      <c r="F604" s="39" t="s">
        <v>3971</v>
      </c>
      <c r="G604" s="39">
        <v>98371</v>
      </c>
      <c r="H604" s="40"/>
      <c r="I604" s="39">
        <v>672</v>
      </c>
      <c r="J604" s="41">
        <v>28379.600000000006</v>
      </c>
      <c r="K604" s="882">
        <f t="shared" ref="K604" si="364">+A604-D604</f>
        <v>128</v>
      </c>
      <c r="L604" s="879">
        <f t="shared" ref="L604" si="365">((+B604/A604)-(E604/D604))/(B604/A604)</f>
        <v>-0.10075950601484797</v>
      </c>
    </row>
    <row r="605" spans="1:12" ht="15" thickBot="1" x14ac:dyDescent="0.35">
      <c r="A605" s="872"/>
      <c r="B605" s="874"/>
      <c r="C605" s="874"/>
      <c r="D605" s="874"/>
      <c r="E605" s="874"/>
      <c r="F605" s="42" t="s">
        <v>3971</v>
      </c>
      <c r="G605" s="42">
        <v>98371</v>
      </c>
      <c r="H605" s="43"/>
      <c r="I605" s="42">
        <v>200</v>
      </c>
      <c r="J605" s="44">
        <v>8283.2999999999993</v>
      </c>
      <c r="K605" s="884"/>
      <c r="L605" s="880"/>
    </row>
    <row r="606" spans="1:12" ht="15" thickBot="1" x14ac:dyDescent="0.35">
      <c r="A606" s="178">
        <v>151</v>
      </c>
      <c r="B606" s="45">
        <v>7135.75</v>
      </c>
      <c r="C606" s="45" t="s">
        <v>3972</v>
      </c>
      <c r="D606" s="45">
        <f>+I606</f>
        <v>151</v>
      </c>
      <c r="E606" s="45">
        <f>+J606</f>
        <v>6939.6</v>
      </c>
      <c r="F606" s="45" t="s">
        <v>3973</v>
      </c>
      <c r="G606" s="45">
        <v>98401</v>
      </c>
      <c r="H606" s="14"/>
      <c r="I606" s="45">
        <v>151</v>
      </c>
      <c r="J606" s="46">
        <v>6939.6</v>
      </c>
      <c r="K606" s="54">
        <f t="shared" ref="K606:K607" si="366">+A606-D606</f>
        <v>0</v>
      </c>
      <c r="L606" s="31">
        <f t="shared" ref="L606:L607" si="367">((+B606/A606)-(E606/D606))/(B606/A606)</f>
        <v>2.7488350909154489E-2</v>
      </c>
    </row>
    <row r="607" spans="1:12" ht="15" thickBot="1" x14ac:dyDescent="0.35">
      <c r="A607" s="177">
        <v>711</v>
      </c>
      <c r="B607" s="39">
        <v>29840.75</v>
      </c>
      <c r="C607" s="39" t="s">
        <v>3974</v>
      </c>
      <c r="D607" s="39">
        <f>+I607</f>
        <v>721</v>
      </c>
      <c r="E607" s="39">
        <f>+J607</f>
        <v>29055</v>
      </c>
      <c r="F607" s="39" t="s">
        <v>3975</v>
      </c>
      <c r="G607" s="39">
        <v>98421</v>
      </c>
      <c r="H607" s="40"/>
      <c r="I607" s="39">
        <v>721</v>
      </c>
      <c r="J607" s="41">
        <v>29055</v>
      </c>
      <c r="K607" s="54">
        <f t="shared" si="366"/>
        <v>-10</v>
      </c>
      <c r="L607" s="31">
        <f t="shared" si="367"/>
        <v>3.983586101176486E-2</v>
      </c>
    </row>
    <row r="608" spans="1:12" x14ac:dyDescent="0.3">
      <c r="A608" s="871">
        <v>348</v>
      </c>
      <c r="B608" s="873">
        <v>14941.8</v>
      </c>
      <c r="C608" s="873" t="s">
        <v>3976</v>
      </c>
      <c r="D608" s="873">
        <f>+I608+I609</f>
        <v>348</v>
      </c>
      <c r="E608" s="873">
        <f>+J608+J609</f>
        <v>14818.800000000001</v>
      </c>
      <c r="F608" s="39" t="s">
        <v>3977</v>
      </c>
      <c r="G608" s="39">
        <v>98451</v>
      </c>
      <c r="H608" s="40"/>
      <c r="I608" s="39">
        <v>220</v>
      </c>
      <c r="J608" s="41">
        <v>8846.2000000000007</v>
      </c>
      <c r="K608" s="882">
        <f t="shared" ref="K608" si="368">+A608-D608</f>
        <v>0</v>
      </c>
      <c r="L608" s="879">
        <f t="shared" ref="L608" si="369">((+B608/A608)-(E608/D608))/(B608/A608)</f>
        <v>8.2319399269163221E-3</v>
      </c>
    </row>
    <row r="609" spans="1:12" ht="15" thickBot="1" x14ac:dyDescent="0.35">
      <c r="A609" s="872"/>
      <c r="B609" s="874"/>
      <c r="C609" s="874"/>
      <c r="D609" s="874"/>
      <c r="E609" s="874"/>
      <c r="F609" s="42" t="s">
        <v>3977</v>
      </c>
      <c r="G609" s="42">
        <v>98451</v>
      </c>
      <c r="H609" s="43"/>
      <c r="I609" s="42">
        <v>128</v>
      </c>
      <c r="J609" s="44">
        <v>5972.6</v>
      </c>
      <c r="K609" s="884"/>
      <c r="L609" s="880"/>
    </row>
    <row r="610" spans="1:12" ht="15" thickBot="1" x14ac:dyDescent="0.35">
      <c r="A610" s="212">
        <v>220</v>
      </c>
      <c r="B610" s="50">
        <v>9505.7000000000007</v>
      </c>
      <c r="C610" s="50" t="s">
        <v>3978</v>
      </c>
      <c r="D610" s="42">
        <f t="shared" ref="D610:E611" si="370">+I610</f>
        <v>220</v>
      </c>
      <c r="E610" s="42">
        <f t="shared" si="370"/>
        <v>9085.2999999999993</v>
      </c>
      <c r="F610" s="50" t="s">
        <v>3979</v>
      </c>
      <c r="G610" s="50">
        <v>98461</v>
      </c>
      <c r="I610" s="50">
        <v>220</v>
      </c>
      <c r="J610" s="51">
        <v>9085.2999999999993</v>
      </c>
      <c r="K610" s="54">
        <f t="shared" ref="K610:K612" si="371">+A610-D610</f>
        <v>0</v>
      </c>
      <c r="L610" s="31">
        <f t="shared" ref="L610:L612" si="372">((+B610/A610)-(E610/D610))/(B610/A610)</f>
        <v>4.4226095921394593E-2</v>
      </c>
    </row>
    <row r="611" spans="1:12" ht="15" thickBot="1" x14ac:dyDescent="0.35">
      <c r="A611" s="177">
        <v>203</v>
      </c>
      <c r="B611" s="39">
        <v>8909.7999999999993</v>
      </c>
      <c r="C611" s="39" t="s">
        <v>3980</v>
      </c>
      <c r="D611" s="39">
        <f t="shared" si="370"/>
        <v>203</v>
      </c>
      <c r="E611" s="39">
        <f t="shared" si="370"/>
        <v>8617.6</v>
      </c>
      <c r="F611" s="39" t="s">
        <v>3981</v>
      </c>
      <c r="G611" s="39">
        <v>98471</v>
      </c>
      <c r="H611" s="40"/>
      <c r="I611" s="39">
        <v>203</v>
      </c>
      <c r="J611" s="41">
        <v>8617.6</v>
      </c>
      <c r="K611" s="54">
        <f t="shared" si="371"/>
        <v>0</v>
      </c>
      <c r="L611" s="31">
        <f t="shared" si="372"/>
        <v>3.2795348941614684E-2</v>
      </c>
    </row>
    <row r="612" spans="1:12" x14ac:dyDescent="0.3">
      <c r="A612" s="871">
        <v>1010</v>
      </c>
      <c r="B612" s="873">
        <v>43219.25</v>
      </c>
      <c r="C612" s="873" t="s">
        <v>3982</v>
      </c>
      <c r="D612" s="873">
        <f>+I612+I613+I614</f>
        <v>1010</v>
      </c>
      <c r="E612" s="873">
        <f>+J612+J613+J614</f>
        <v>41741.200000000004</v>
      </c>
      <c r="F612" s="39" t="s">
        <v>3983</v>
      </c>
      <c r="G612" s="39">
        <v>98481</v>
      </c>
      <c r="H612" s="40"/>
      <c r="I612" s="39">
        <v>144</v>
      </c>
      <c r="J612" s="41">
        <v>5896.5</v>
      </c>
      <c r="K612" s="882">
        <f t="shared" si="371"/>
        <v>0</v>
      </c>
      <c r="L612" s="879">
        <f t="shared" si="372"/>
        <v>3.4198881285538107E-2</v>
      </c>
    </row>
    <row r="613" spans="1:12" x14ac:dyDescent="0.3">
      <c r="A613" s="875"/>
      <c r="B613" s="881"/>
      <c r="C613" s="881"/>
      <c r="D613" s="881"/>
      <c r="E613" s="881"/>
      <c r="F613" s="50" t="s">
        <v>3983</v>
      </c>
      <c r="G613" s="50">
        <v>98481</v>
      </c>
      <c r="I613" s="50">
        <v>507</v>
      </c>
      <c r="J613" s="51">
        <v>20821.100000000002</v>
      </c>
      <c r="K613" s="883"/>
      <c r="L613" s="885"/>
    </row>
    <row r="614" spans="1:12" ht="15" thickBot="1" x14ac:dyDescent="0.35">
      <c r="A614" s="872"/>
      <c r="B614" s="874"/>
      <c r="C614" s="874"/>
      <c r="D614" s="874"/>
      <c r="E614" s="874"/>
      <c r="F614" s="42" t="s">
        <v>3983</v>
      </c>
      <c r="G614" s="42">
        <v>98481</v>
      </c>
      <c r="H614" s="43"/>
      <c r="I614" s="42">
        <v>359</v>
      </c>
      <c r="J614" s="44">
        <v>15023.600000000002</v>
      </c>
      <c r="K614" s="884"/>
      <c r="L614" s="880"/>
    </row>
    <row r="615" spans="1:12" x14ac:dyDescent="0.3">
      <c r="A615" s="875">
        <v>516</v>
      </c>
      <c r="B615" s="881">
        <v>26391.5</v>
      </c>
      <c r="C615" s="881" t="s">
        <v>3984</v>
      </c>
      <c r="D615" s="881">
        <f>+I615+I616</f>
        <v>516</v>
      </c>
      <c r="E615" s="881">
        <f>+J615+J616</f>
        <v>25167.699999999997</v>
      </c>
      <c r="F615" s="50" t="s">
        <v>3985</v>
      </c>
      <c r="G615" s="50">
        <v>98501</v>
      </c>
      <c r="I615" s="50">
        <v>266</v>
      </c>
      <c r="J615" s="51">
        <v>12659.199999999999</v>
      </c>
      <c r="K615" s="882">
        <f t="shared" ref="K615" si="373">+A615-D615</f>
        <v>0</v>
      </c>
      <c r="L615" s="879">
        <f t="shared" ref="L615" si="374">((+B615/A615)-(E615/D615))/(B615/A615)</f>
        <v>4.6370990659871728E-2</v>
      </c>
    </row>
    <row r="616" spans="1:12" ht="15" thickBot="1" x14ac:dyDescent="0.35">
      <c r="A616" s="872"/>
      <c r="B616" s="874"/>
      <c r="C616" s="874"/>
      <c r="D616" s="874"/>
      <c r="E616" s="874"/>
      <c r="F616" s="42" t="s">
        <v>3985</v>
      </c>
      <c r="G616" s="42">
        <v>98501</v>
      </c>
      <c r="H616" s="43"/>
      <c r="I616" s="42">
        <v>250</v>
      </c>
      <c r="J616" s="44">
        <v>12508.5</v>
      </c>
      <c r="K616" s="884"/>
      <c r="L616" s="880"/>
    </row>
    <row r="617" spans="1:12" ht="15" thickBot="1" x14ac:dyDescent="0.35">
      <c r="A617" s="179">
        <v>93</v>
      </c>
      <c r="B617" s="42">
        <v>4152.2</v>
      </c>
      <c r="C617" s="10" t="s">
        <v>3986</v>
      </c>
      <c r="D617" s="10">
        <f t="shared" ref="D617:E620" si="375">+I617</f>
        <v>93</v>
      </c>
      <c r="E617" s="10">
        <f t="shared" si="375"/>
        <v>3927.1</v>
      </c>
      <c r="F617" s="42" t="s">
        <v>3987</v>
      </c>
      <c r="G617" s="42">
        <v>98531</v>
      </c>
      <c r="H617" s="43"/>
      <c r="I617" s="42">
        <v>93</v>
      </c>
      <c r="J617" s="44">
        <v>3927.1</v>
      </c>
      <c r="K617" s="54">
        <f t="shared" ref="K617:K620" si="376">+A617-D617</f>
        <v>0</v>
      </c>
      <c r="L617" s="31">
        <f t="shared" ref="L617:L620" si="377">((+B617/A617)-(E617/D617))/(B617/A617)</f>
        <v>5.4212224844660692E-2</v>
      </c>
    </row>
    <row r="618" spans="1:12" ht="15" thickBot="1" x14ac:dyDescent="0.35">
      <c r="A618" s="179">
        <v>116</v>
      </c>
      <c r="B618" s="42">
        <v>5152.5</v>
      </c>
      <c r="C618" s="10" t="s">
        <v>3988</v>
      </c>
      <c r="D618" s="10">
        <f>+I618</f>
        <v>116</v>
      </c>
      <c r="E618" s="10">
        <f>+J618</f>
        <v>4830.8</v>
      </c>
      <c r="F618" s="42" t="s">
        <v>3989</v>
      </c>
      <c r="G618" s="42">
        <v>98541</v>
      </c>
      <c r="H618" s="43"/>
      <c r="I618" s="42">
        <v>116</v>
      </c>
      <c r="J618" s="44">
        <v>4830.8</v>
      </c>
      <c r="K618" s="54">
        <f t="shared" si="376"/>
        <v>0</v>
      </c>
      <c r="L618" s="31">
        <f t="shared" si="377"/>
        <v>6.2435710819990255E-2</v>
      </c>
    </row>
    <row r="619" spans="1:12" ht="15" thickBot="1" x14ac:dyDescent="0.35">
      <c r="A619" s="179">
        <v>256</v>
      </c>
      <c r="B619" s="42">
        <v>11428</v>
      </c>
      <c r="C619" s="10" t="s">
        <v>3990</v>
      </c>
      <c r="D619" s="10">
        <f t="shared" si="375"/>
        <v>256</v>
      </c>
      <c r="E619" s="10">
        <f t="shared" si="375"/>
        <v>10840</v>
      </c>
      <c r="F619" s="42" t="s">
        <v>3991</v>
      </c>
      <c r="G619" s="42">
        <v>98551</v>
      </c>
      <c r="H619" s="43"/>
      <c r="I619" s="42">
        <v>256</v>
      </c>
      <c r="J619" s="44">
        <v>10840</v>
      </c>
      <c r="K619" s="54">
        <f t="shared" si="376"/>
        <v>0</v>
      </c>
      <c r="L619" s="31">
        <f t="shared" si="377"/>
        <v>5.1452572628631434E-2</v>
      </c>
    </row>
    <row r="620" spans="1:12" ht="15" thickBot="1" x14ac:dyDescent="0.35">
      <c r="A620" s="212">
        <v>206</v>
      </c>
      <c r="B620" s="50">
        <v>9730.2000000000007</v>
      </c>
      <c r="C620" s="15" t="s">
        <v>3992</v>
      </c>
      <c r="D620" s="15">
        <f t="shared" si="375"/>
        <v>206</v>
      </c>
      <c r="E620" s="15">
        <f t="shared" si="375"/>
        <v>9339.5</v>
      </c>
      <c r="F620" s="50" t="s">
        <v>3993</v>
      </c>
      <c r="G620" s="50">
        <v>98561</v>
      </c>
      <c r="I620" s="50">
        <v>206</v>
      </c>
      <c r="J620" s="51">
        <v>9339.5</v>
      </c>
      <c r="K620" s="54">
        <f t="shared" si="376"/>
        <v>0</v>
      </c>
      <c r="L620" s="31">
        <f t="shared" si="377"/>
        <v>4.0153337033154581E-2</v>
      </c>
    </row>
    <row r="621" spans="1:12" x14ac:dyDescent="0.3">
      <c r="A621" s="871">
        <v>1727</v>
      </c>
      <c r="B621" s="873">
        <v>74195.75</v>
      </c>
      <c r="C621" s="873" t="s">
        <v>3994</v>
      </c>
      <c r="D621" s="873">
        <f>+I621+I622</f>
        <v>1727</v>
      </c>
      <c r="E621" s="873">
        <f>+J621+J622</f>
        <v>72193.5</v>
      </c>
      <c r="F621" s="39" t="s">
        <v>3995</v>
      </c>
      <c r="G621" s="39">
        <v>98591</v>
      </c>
      <c r="H621" s="40"/>
      <c r="I621" s="39">
        <v>781</v>
      </c>
      <c r="J621" s="41">
        <v>32939.300000000003</v>
      </c>
      <c r="K621" s="882">
        <f t="shared" ref="K621" si="378">+A621-D621</f>
        <v>0</v>
      </c>
      <c r="L621" s="879">
        <f t="shared" ref="L621" si="379">((+B621/A621)-(E621/D621))/(B621/A621)</f>
        <v>2.6986047044473598E-2</v>
      </c>
    </row>
    <row r="622" spans="1:12" ht="15" thickBot="1" x14ac:dyDescent="0.35">
      <c r="A622" s="875"/>
      <c r="B622" s="881"/>
      <c r="C622" s="881"/>
      <c r="D622" s="881"/>
      <c r="E622" s="881"/>
      <c r="F622" s="50" t="s">
        <v>3995</v>
      </c>
      <c r="G622" s="50">
        <v>98591</v>
      </c>
      <c r="I622" s="50">
        <v>946</v>
      </c>
      <c r="J622" s="51">
        <v>39254.200000000004</v>
      </c>
      <c r="K622" s="884"/>
      <c r="L622" s="880"/>
    </row>
    <row r="623" spans="1:12" x14ac:dyDescent="0.3">
      <c r="A623" s="871">
        <v>1250</v>
      </c>
      <c r="B623" s="873">
        <v>53034</v>
      </c>
      <c r="C623" s="873" t="s">
        <v>3996</v>
      </c>
      <c r="D623" s="873">
        <f>+I623+I624+I625</f>
        <v>1250</v>
      </c>
      <c r="E623" s="873">
        <f>+J623+J624+J625</f>
        <v>51312.1</v>
      </c>
      <c r="F623" s="39" t="s">
        <v>3997</v>
      </c>
      <c r="G623" s="39">
        <v>98631</v>
      </c>
      <c r="H623" s="40"/>
      <c r="I623" s="39">
        <v>200</v>
      </c>
      <c r="J623" s="41">
        <v>8128.8</v>
      </c>
      <c r="K623" s="882">
        <f t="shared" ref="K623" si="380">+A623-D623</f>
        <v>0</v>
      </c>
      <c r="L623" s="879">
        <f t="shared" ref="L623" si="381">((+B623/A623)-(E623/D623))/(B623/A623)</f>
        <v>3.2467850812686133E-2</v>
      </c>
    </row>
    <row r="624" spans="1:12" x14ac:dyDescent="0.3">
      <c r="A624" s="875"/>
      <c r="B624" s="881"/>
      <c r="C624" s="881"/>
      <c r="D624" s="881"/>
      <c r="E624" s="881"/>
      <c r="F624" s="50" t="s">
        <v>3997</v>
      </c>
      <c r="G624" s="50">
        <v>98631</v>
      </c>
      <c r="I624" s="50">
        <v>400</v>
      </c>
      <c r="J624" s="51">
        <v>16268.4</v>
      </c>
      <c r="K624" s="883"/>
      <c r="L624" s="885"/>
    </row>
    <row r="625" spans="1:12" ht="15" thickBot="1" x14ac:dyDescent="0.35">
      <c r="A625" s="872"/>
      <c r="B625" s="874"/>
      <c r="C625" s="874"/>
      <c r="D625" s="874"/>
      <c r="E625" s="874"/>
      <c r="F625" s="42" t="s">
        <v>3997</v>
      </c>
      <c r="G625" s="42">
        <v>9863</v>
      </c>
      <c r="H625" s="43"/>
      <c r="I625" s="42">
        <v>650</v>
      </c>
      <c r="J625" s="44">
        <v>26914.899999999998</v>
      </c>
      <c r="K625" s="884"/>
      <c r="L625" s="880"/>
    </row>
    <row r="626" spans="1:12" ht="15" thickBot="1" x14ac:dyDescent="0.35">
      <c r="A626" s="179">
        <v>136</v>
      </c>
      <c r="B626" s="42">
        <v>5654.25</v>
      </c>
      <c r="C626" s="42" t="s">
        <v>3998</v>
      </c>
      <c r="D626" s="42">
        <f t="shared" ref="D626:E629" si="382">+I626</f>
        <v>140</v>
      </c>
      <c r="E626" s="42">
        <f t="shared" si="382"/>
        <v>5671</v>
      </c>
      <c r="F626" s="42" t="s">
        <v>3999</v>
      </c>
      <c r="G626" s="42">
        <v>98671</v>
      </c>
      <c r="H626" s="43"/>
      <c r="I626" s="42">
        <v>140</v>
      </c>
      <c r="J626" s="44">
        <v>5671</v>
      </c>
      <c r="K626" s="54">
        <f t="shared" ref="K626:K629" si="383">+A626-D626</f>
        <v>-4</v>
      </c>
      <c r="L626" s="31">
        <f t="shared" ref="L626:L629" si="384">((+B626/A626)-(E626/D626))/(B626/A626)</f>
        <v>2.5693694376543556E-2</v>
      </c>
    </row>
    <row r="627" spans="1:12" ht="15" thickBot="1" x14ac:dyDescent="0.35">
      <c r="A627" s="179">
        <v>750</v>
      </c>
      <c r="B627" s="42">
        <v>32888.5</v>
      </c>
      <c r="C627" s="42" t="s">
        <v>4000</v>
      </c>
      <c r="D627" s="42">
        <f t="shared" si="382"/>
        <v>746</v>
      </c>
      <c r="E627" s="42">
        <f t="shared" si="382"/>
        <v>33236.9</v>
      </c>
      <c r="F627" s="42" t="s">
        <v>4001</v>
      </c>
      <c r="G627" s="42">
        <v>98741</v>
      </c>
      <c r="H627" s="43"/>
      <c r="I627" s="42">
        <v>746</v>
      </c>
      <c r="J627" s="44">
        <v>33236.9</v>
      </c>
      <c r="K627" s="54">
        <f t="shared" si="383"/>
        <v>4</v>
      </c>
      <c r="L627" s="31">
        <f t="shared" si="384"/>
        <v>-1.6012099701073871E-2</v>
      </c>
    </row>
    <row r="628" spans="1:12" ht="15" thickBot="1" x14ac:dyDescent="0.35">
      <c r="A628" s="179">
        <v>157</v>
      </c>
      <c r="B628" s="42">
        <v>5300.25</v>
      </c>
      <c r="C628" s="42" t="s">
        <v>4002</v>
      </c>
      <c r="D628" s="42">
        <f t="shared" si="382"/>
        <v>157</v>
      </c>
      <c r="E628" s="42">
        <f t="shared" si="382"/>
        <v>5425.5</v>
      </c>
      <c r="F628" s="42" t="s">
        <v>4003</v>
      </c>
      <c r="G628" s="42">
        <v>98751</v>
      </c>
      <c r="H628" s="43"/>
      <c r="I628" s="42">
        <v>157</v>
      </c>
      <c r="J628" s="44">
        <v>5425.5</v>
      </c>
      <c r="K628" s="54">
        <f t="shared" si="383"/>
        <v>0</v>
      </c>
      <c r="L628" s="31">
        <f t="shared" si="384"/>
        <v>-2.363096080373555E-2</v>
      </c>
    </row>
    <row r="629" spans="1:12" ht="15" thickBot="1" x14ac:dyDescent="0.35">
      <c r="A629" s="177">
        <v>500</v>
      </c>
      <c r="B629" s="39">
        <v>21774.25</v>
      </c>
      <c r="C629" s="39" t="s">
        <v>4004</v>
      </c>
      <c r="D629" s="50">
        <f t="shared" si="382"/>
        <v>500</v>
      </c>
      <c r="E629" s="50">
        <f t="shared" si="382"/>
        <v>21013.300000000003</v>
      </c>
      <c r="F629" s="39" t="s">
        <v>4005</v>
      </c>
      <c r="G629" s="39">
        <v>98781</v>
      </c>
      <c r="H629" s="40"/>
      <c r="I629" s="39">
        <v>500</v>
      </c>
      <c r="J629" s="41">
        <v>21013.300000000003</v>
      </c>
      <c r="K629" s="54">
        <f t="shared" si="383"/>
        <v>0</v>
      </c>
      <c r="L629" s="31">
        <f t="shared" si="384"/>
        <v>3.4947242729370429E-2</v>
      </c>
    </row>
    <row r="630" spans="1:12" x14ac:dyDescent="0.3">
      <c r="A630" s="871">
        <v>1443</v>
      </c>
      <c r="B630" s="873">
        <v>62241.5</v>
      </c>
      <c r="C630" s="873" t="s">
        <v>4006</v>
      </c>
      <c r="D630" s="873">
        <f>+I630+I631</f>
        <v>1443</v>
      </c>
      <c r="E630" s="873">
        <f>+J630+J631</f>
        <v>60403.7</v>
      </c>
      <c r="F630" s="39" t="s">
        <v>4007</v>
      </c>
      <c r="G630" s="39">
        <v>98801</v>
      </c>
      <c r="H630" s="40"/>
      <c r="I630" s="39">
        <v>1403</v>
      </c>
      <c r="J630" s="41">
        <v>58634.6</v>
      </c>
      <c r="K630" s="882">
        <f t="shared" ref="K630" si="385">+A630-D630</f>
        <v>0</v>
      </c>
      <c r="L630" s="879">
        <f t="shared" ref="L630" si="386">((+B630/A630)-(E630/D630))/(B630/A630)</f>
        <v>2.9526923354996213E-2</v>
      </c>
    </row>
    <row r="631" spans="1:12" ht="15" thickBot="1" x14ac:dyDescent="0.35">
      <c r="A631" s="872"/>
      <c r="B631" s="874"/>
      <c r="C631" s="874"/>
      <c r="D631" s="874"/>
      <c r="E631" s="874"/>
      <c r="F631" s="42" t="s">
        <v>4007</v>
      </c>
      <c r="G631" s="42">
        <v>98801</v>
      </c>
      <c r="H631" s="43"/>
      <c r="I631" s="42">
        <v>40</v>
      </c>
      <c r="J631" s="44">
        <v>1769.1</v>
      </c>
      <c r="K631" s="884"/>
      <c r="L631" s="880"/>
    </row>
    <row r="632" spans="1:12" ht="15" thickBot="1" x14ac:dyDescent="0.35">
      <c r="A632" s="212">
        <v>750</v>
      </c>
      <c r="B632" s="50">
        <v>32265.25</v>
      </c>
      <c r="C632" s="50" t="s">
        <v>4008</v>
      </c>
      <c r="D632" s="50">
        <f t="shared" ref="D632:E641" si="387">+I632</f>
        <v>750</v>
      </c>
      <c r="E632" s="50">
        <f t="shared" si="387"/>
        <v>31332.899999999998</v>
      </c>
      <c r="F632" s="50" t="s">
        <v>3958</v>
      </c>
      <c r="G632" s="50">
        <v>98821</v>
      </c>
      <c r="I632" s="50">
        <v>750</v>
      </c>
      <c r="J632" s="51">
        <v>31332.899999999998</v>
      </c>
      <c r="K632" s="54">
        <f t="shared" ref="K632" si="388">+A632-D632</f>
        <v>0</v>
      </c>
      <c r="L632" s="31">
        <f t="shared" ref="L632" si="389">((+B632/A632)-(E632/D632))/(B632/A632)</f>
        <v>2.8896413323932082E-2</v>
      </c>
    </row>
    <row r="633" spans="1:12" x14ac:dyDescent="0.3">
      <c r="A633" s="177">
        <v>973</v>
      </c>
      <c r="B633" s="39">
        <v>41224.300000000003</v>
      </c>
      <c r="C633" s="873" t="s">
        <v>4009</v>
      </c>
      <c r="D633" s="873">
        <f>+I633+I634</f>
        <v>973</v>
      </c>
      <c r="E633" s="873">
        <f>+J633+J634</f>
        <v>39671.300000000003</v>
      </c>
      <c r="F633" s="39" t="s">
        <v>4010</v>
      </c>
      <c r="G633" s="39">
        <v>98851</v>
      </c>
      <c r="H633" s="40"/>
      <c r="I633" s="39">
        <v>560</v>
      </c>
      <c r="J633" s="41">
        <v>23582.9</v>
      </c>
      <c r="K633" s="882">
        <f t="shared" ref="K633" si="390">+A633-D633</f>
        <v>0</v>
      </c>
      <c r="L633" s="879">
        <f t="shared" ref="L633" si="391">((+B633/A633)-(E633/D633))/(B633/A633)</f>
        <v>3.7671955618409428E-2</v>
      </c>
    </row>
    <row r="634" spans="1:12" ht="15" thickBot="1" x14ac:dyDescent="0.35">
      <c r="A634" s="179"/>
      <c r="B634" s="42"/>
      <c r="C634" s="874"/>
      <c r="D634" s="874"/>
      <c r="E634" s="874"/>
      <c r="F634" s="42" t="s">
        <v>4010</v>
      </c>
      <c r="G634" s="42">
        <v>98851</v>
      </c>
      <c r="H634" s="43"/>
      <c r="I634" s="42">
        <v>413</v>
      </c>
      <c r="J634" s="44">
        <v>16088.400000000001</v>
      </c>
      <c r="K634" s="884"/>
      <c r="L634" s="880"/>
    </row>
    <row r="635" spans="1:12" ht="15" thickBot="1" x14ac:dyDescent="0.35">
      <c r="A635" s="179">
        <v>250</v>
      </c>
      <c r="B635" s="42">
        <v>10689.5</v>
      </c>
      <c r="C635" s="42" t="s">
        <v>4011</v>
      </c>
      <c r="D635" s="42">
        <f t="shared" si="387"/>
        <v>250</v>
      </c>
      <c r="E635" s="42">
        <f t="shared" si="387"/>
        <v>10366.9</v>
      </c>
      <c r="F635" s="42" t="s">
        <v>4012</v>
      </c>
      <c r="G635" s="42">
        <v>98871</v>
      </c>
      <c r="H635" s="43"/>
      <c r="I635" s="42">
        <v>250</v>
      </c>
      <c r="J635" s="44">
        <v>10366.9</v>
      </c>
      <c r="K635" s="54">
        <f t="shared" ref="K635:K636" si="392">+A635-D635</f>
        <v>0</v>
      </c>
      <c r="L635" s="31">
        <f t="shared" ref="L635:L636" si="393">((+B635/A635)-(E635/D635))/(B635/A635)</f>
        <v>3.0179147761822473E-2</v>
      </c>
    </row>
    <row r="636" spans="1:12" ht="15" thickBot="1" x14ac:dyDescent="0.35">
      <c r="A636" s="177">
        <v>150</v>
      </c>
      <c r="B636" s="39">
        <v>6599.55</v>
      </c>
      <c r="C636" s="39" t="s">
        <v>4013</v>
      </c>
      <c r="D636" s="50">
        <f t="shared" si="387"/>
        <v>135</v>
      </c>
      <c r="E636" s="50">
        <f t="shared" si="387"/>
        <v>5727.9</v>
      </c>
      <c r="F636" s="39" t="s">
        <v>4014</v>
      </c>
      <c r="G636" s="39">
        <v>98881</v>
      </c>
      <c r="H636" s="40"/>
      <c r="I636" s="39">
        <v>135</v>
      </c>
      <c r="J636" s="41">
        <v>5727.9</v>
      </c>
      <c r="K636" s="54">
        <f t="shared" si="392"/>
        <v>15</v>
      </c>
      <c r="L636" s="31">
        <f t="shared" si="393"/>
        <v>3.564131897881935E-2</v>
      </c>
    </row>
    <row r="637" spans="1:12" x14ac:dyDescent="0.3">
      <c r="A637" s="871">
        <v>1852</v>
      </c>
      <c r="B637" s="873">
        <v>72159</v>
      </c>
      <c r="C637" s="873" t="s">
        <v>4015</v>
      </c>
      <c r="D637" s="873">
        <v>1852</v>
      </c>
      <c r="E637" s="873">
        <v>69939.899999999994</v>
      </c>
      <c r="F637" s="39" t="s">
        <v>4016</v>
      </c>
      <c r="G637" s="39">
        <v>98911</v>
      </c>
      <c r="H637" s="40"/>
      <c r="I637" s="39">
        <v>600</v>
      </c>
      <c r="J637" s="41">
        <v>21917</v>
      </c>
      <c r="K637" s="882">
        <f t="shared" ref="K637" si="394">+A637-D637</f>
        <v>0</v>
      </c>
      <c r="L637" s="879">
        <f t="shared" ref="L637" si="395">((+B637/A637)-(E637/D637))/(B637/A637)</f>
        <v>3.0752920633601015E-2</v>
      </c>
    </row>
    <row r="638" spans="1:12" ht="15" thickBot="1" x14ac:dyDescent="0.35">
      <c r="A638" s="872"/>
      <c r="B638" s="874"/>
      <c r="C638" s="874"/>
      <c r="D638" s="874"/>
      <c r="E638" s="874"/>
      <c r="F638" s="42" t="s">
        <v>4016</v>
      </c>
      <c r="G638" s="42">
        <v>98911</v>
      </c>
      <c r="H638" s="43"/>
      <c r="I638" s="42">
        <v>1200</v>
      </c>
      <c r="J638" s="44">
        <v>45965.9</v>
      </c>
      <c r="K638" s="884"/>
      <c r="L638" s="880"/>
    </row>
    <row r="639" spans="1:12" ht="15" thickBot="1" x14ac:dyDescent="0.35">
      <c r="A639" s="199">
        <v>1922</v>
      </c>
      <c r="B639" s="10">
        <v>82019.5</v>
      </c>
      <c r="C639" s="10" t="s">
        <v>4258</v>
      </c>
      <c r="D639" s="10">
        <v>1922</v>
      </c>
      <c r="E639" s="10">
        <v>78814.8</v>
      </c>
      <c r="F639" s="42" t="s">
        <v>4259</v>
      </c>
      <c r="G639" s="42">
        <v>98921</v>
      </c>
      <c r="H639" s="43"/>
      <c r="I639" s="42"/>
      <c r="J639" s="44"/>
      <c r="K639" s="54">
        <f t="shared" ref="K639" si="396">+A639-D639</f>
        <v>0</v>
      </c>
      <c r="L639" s="31">
        <f t="shared" ref="L639" si="397">((+B639/A639)-(E639/D639))/(B639/A639)</f>
        <v>3.9072415706021088E-2</v>
      </c>
    </row>
    <row r="640" spans="1:12" ht="15" thickBot="1" x14ac:dyDescent="0.35">
      <c r="A640" s="179">
        <v>491</v>
      </c>
      <c r="B640" s="42">
        <v>21336.5</v>
      </c>
      <c r="C640" s="42" t="s">
        <v>4017</v>
      </c>
      <c r="D640" s="42">
        <f t="shared" si="387"/>
        <v>491</v>
      </c>
      <c r="E640" s="42">
        <f t="shared" si="387"/>
        <v>20422.2</v>
      </c>
      <c r="F640" s="42" t="s">
        <v>4018</v>
      </c>
      <c r="G640" s="42">
        <v>98941</v>
      </c>
      <c r="H640" s="43"/>
      <c r="I640" s="42">
        <v>491</v>
      </c>
      <c r="J640" s="44">
        <v>20422.2</v>
      </c>
      <c r="K640" s="54">
        <f t="shared" ref="K640:K644" si="398">+A640-D640</f>
        <v>0</v>
      </c>
      <c r="L640" s="31">
        <f t="shared" ref="L640:L644" si="399">((+B640/A640)-(E640/D640))/(B640/A640)</f>
        <v>4.2851451737632662E-2</v>
      </c>
    </row>
    <row r="641" spans="1:12" ht="15" thickBot="1" x14ac:dyDescent="0.35">
      <c r="A641" s="179">
        <v>315</v>
      </c>
      <c r="B641" s="42">
        <v>15175.4</v>
      </c>
      <c r="C641" s="42" t="s">
        <v>4260</v>
      </c>
      <c r="D641" s="42">
        <f t="shared" si="387"/>
        <v>316</v>
      </c>
      <c r="E641" s="42">
        <f t="shared" si="387"/>
        <v>14642</v>
      </c>
      <c r="F641" s="42" t="s">
        <v>4261</v>
      </c>
      <c r="G641" s="42">
        <v>98951</v>
      </c>
      <c r="H641" s="43"/>
      <c r="I641" s="42">
        <v>316</v>
      </c>
      <c r="J641" s="44">
        <v>14642</v>
      </c>
      <c r="K641" s="54">
        <f t="shared" ref="K641:K642" si="400">+A641-D641</f>
        <v>-1</v>
      </c>
      <c r="L641" s="31">
        <f t="shared" ref="L641:L642" si="401">((+B641/A641)-(E641/D641))/(B641/A641)</f>
        <v>3.8202317107817546E-2</v>
      </c>
    </row>
    <row r="642" spans="1:12" x14ac:dyDescent="0.3">
      <c r="A642" s="871">
        <v>410</v>
      </c>
      <c r="B642" s="873">
        <v>17746</v>
      </c>
      <c r="C642" s="873" t="s">
        <v>4262</v>
      </c>
      <c r="D642" s="873">
        <f>+I642+I643</f>
        <v>410</v>
      </c>
      <c r="E642" s="873">
        <f>+J642+J643</f>
        <v>17003.5</v>
      </c>
      <c r="F642" s="50" t="s">
        <v>4263</v>
      </c>
      <c r="G642" s="50">
        <v>98961</v>
      </c>
      <c r="I642" s="50">
        <v>343</v>
      </c>
      <c r="J642" s="51">
        <v>14137.9</v>
      </c>
      <c r="K642" s="882">
        <f t="shared" si="400"/>
        <v>0</v>
      </c>
      <c r="L642" s="879">
        <f t="shared" si="401"/>
        <v>4.1840414741350196E-2</v>
      </c>
    </row>
    <row r="643" spans="1:12" ht="15" thickBot="1" x14ac:dyDescent="0.35">
      <c r="A643" s="872"/>
      <c r="B643" s="874"/>
      <c r="C643" s="874"/>
      <c r="D643" s="874"/>
      <c r="E643" s="874"/>
      <c r="F643" s="50" t="s">
        <v>4263</v>
      </c>
      <c r="G643" s="50">
        <v>98961</v>
      </c>
      <c r="I643" s="50">
        <v>67</v>
      </c>
      <c r="J643" s="51">
        <v>2865.6</v>
      </c>
      <c r="K643" s="884"/>
      <c r="L643" s="880"/>
    </row>
    <row r="644" spans="1:12" ht="15" thickBot="1" x14ac:dyDescent="0.35">
      <c r="A644" s="178">
        <v>1640</v>
      </c>
      <c r="B644" s="45">
        <v>69521</v>
      </c>
      <c r="C644" s="45" t="s">
        <v>4019</v>
      </c>
      <c r="D644" s="42">
        <v>1640</v>
      </c>
      <c r="E644" s="42">
        <v>67481.7</v>
      </c>
      <c r="F644" s="45" t="s">
        <v>4020</v>
      </c>
      <c r="G644" s="45">
        <v>99021</v>
      </c>
      <c r="H644" s="14"/>
      <c r="I644" s="45">
        <v>625</v>
      </c>
      <c r="J644" s="46">
        <v>25683.800000000003</v>
      </c>
      <c r="K644" s="54">
        <f t="shared" si="398"/>
        <v>0</v>
      </c>
      <c r="L644" s="31">
        <f t="shared" si="399"/>
        <v>2.9333582658477266E-2</v>
      </c>
    </row>
    <row r="645" spans="1:12" ht="15" thickBot="1" x14ac:dyDescent="0.35">
      <c r="A645" s="175">
        <v>250</v>
      </c>
      <c r="B645" s="8">
        <v>10897.75</v>
      </c>
      <c r="C645" s="8" t="s">
        <v>4264</v>
      </c>
      <c r="D645" s="8">
        <f t="shared" ref="D645:E647" si="402">+I645</f>
        <v>250</v>
      </c>
      <c r="E645" s="8">
        <f t="shared" si="402"/>
        <v>10649.8</v>
      </c>
      <c r="F645" s="45" t="s">
        <v>4265</v>
      </c>
      <c r="G645" s="45">
        <v>99091</v>
      </c>
      <c r="H645" s="14"/>
      <c r="I645" s="45">
        <v>250</v>
      </c>
      <c r="J645" s="46">
        <v>10649.8</v>
      </c>
      <c r="K645" s="54">
        <f t="shared" ref="K645:K648" si="403">+A645-D645</f>
        <v>0</v>
      </c>
      <c r="L645" s="31">
        <f t="shared" ref="L645:L648" si="404">((+B645/A645)-(E645/D645))/(B645/A645)</f>
        <v>2.2752403018971919E-2</v>
      </c>
    </row>
    <row r="646" spans="1:12" ht="15" thickBot="1" x14ac:dyDescent="0.35">
      <c r="A646" s="175">
        <v>1100</v>
      </c>
      <c r="B646" s="8">
        <v>47131.3</v>
      </c>
      <c r="C646" s="8" t="s">
        <v>4266</v>
      </c>
      <c r="D646" s="8">
        <f t="shared" si="402"/>
        <v>1097</v>
      </c>
      <c r="E646" s="8">
        <f t="shared" si="402"/>
        <v>44916.6</v>
      </c>
      <c r="F646" s="45" t="s">
        <v>4267</v>
      </c>
      <c r="G646" s="45">
        <v>99151</v>
      </c>
      <c r="H646" s="14"/>
      <c r="I646" s="45">
        <v>1097</v>
      </c>
      <c r="J646" s="46">
        <v>44916.6</v>
      </c>
      <c r="K646" s="54">
        <f t="shared" si="403"/>
        <v>3</v>
      </c>
      <c r="L646" s="31">
        <f t="shared" si="404"/>
        <v>4.4383778460545767E-2</v>
      </c>
    </row>
    <row r="647" spans="1:12" ht="15" thickBot="1" x14ac:dyDescent="0.35">
      <c r="A647" s="175">
        <v>318</v>
      </c>
      <c r="B647" s="8">
        <v>10484</v>
      </c>
      <c r="C647" s="8" t="s">
        <v>4268</v>
      </c>
      <c r="D647" s="8">
        <f t="shared" si="402"/>
        <v>320</v>
      </c>
      <c r="E647" s="8">
        <f t="shared" si="402"/>
        <v>10211.799999999999</v>
      </c>
      <c r="F647" s="45" t="s">
        <v>4269</v>
      </c>
      <c r="G647" s="45">
        <v>99161</v>
      </c>
      <c r="H647" s="14"/>
      <c r="I647" s="45">
        <v>320</v>
      </c>
      <c r="J647" s="46">
        <v>10211.799999999999</v>
      </c>
      <c r="K647" s="54">
        <f t="shared" si="403"/>
        <v>-2</v>
      </c>
      <c r="L647" s="31">
        <f t="shared" si="404"/>
        <v>3.2051101678748646E-2</v>
      </c>
    </row>
    <row r="648" spans="1:12" x14ac:dyDescent="0.3">
      <c r="A648" s="871">
        <v>1252</v>
      </c>
      <c r="B648" s="873">
        <v>54570.5</v>
      </c>
      <c r="C648" s="873" t="s">
        <v>4270</v>
      </c>
      <c r="D648" s="873">
        <v>1252</v>
      </c>
      <c r="E648" s="873">
        <v>52642.7</v>
      </c>
      <c r="F648" s="39" t="s">
        <v>4271</v>
      </c>
      <c r="G648" s="39">
        <v>99181</v>
      </c>
      <c r="H648" s="40"/>
      <c r="I648" s="39">
        <v>997</v>
      </c>
      <c r="J648" s="41">
        <v>42076.4</v>
      </c>
      <c r="K648" s="882">
        <f t="shared" si="403"/>
        <v>0</v>
      </c>
      <c r="L648" s="879">
        <f t="shared" si="404"/>
        <v>3.5326779120587168E-2</v>
      </c>
    </row>
    <row r="649" spans="1:12" ht="15" thickBot="1" x14ac:dyDescent="0.35">
      <c r="A649" s="872"/>
      <c r="B649" s="874"/>
      <c r="C649" s="874"/>
      <c r="D649" s="874"/>
      <c r="E649" s="874"/>
      <c r="F649" s="42" t="s">
        <v>4271</v>
      </c>
      <c r="G649" s="42">
        <v>99181</v>
      </c>
      <c r="H649" s="43"/>
      <c r="I649" s="42">
        <v>198</v>
      </c>
      <c r="J649" s="44">
        <v>8154</v>
      </c>
      <c r="K649" s="884"/>
      <c r="L649" s="880"/>
    </row>
    <row r="650" spans="1:12" ht="15" thickBot="1" x14ac:dyDescent="0.35">
      <c r="A650" s="181">
        <v>340</v>
      </c>
      <c r="B650" s="15">
        <v>14461.75</v>
      </c>
      <c r="C650" s="15" t="s">
        <v>4331</v>
      </c>
      <c r="D650" s="10">
        <f t="shared" ref="D650:E651" si="405">+I650</f>
        <v>340</v>
      </c>
      <c r="E650" s="10">
        <f t="shared" si="405"/>
        <v>13899.599999999999</v>
      </c>
      <c r="F650" s="50" t="s">
        <v>4332</v>
      </c>
      <c r="G650" s="50">
        <v>99191</v>
      </c>
      <c r="I650" s="50">
        <v>340</v>
      </c>
      <c r="J650" s="51">
        <v>13899.599999999999</v>
      </c>
      <c r="K650" s="54">
        <f t="shared" ref="K650:K652" si="406">+A650-D650</f>
        <v>0</v>
      </c>
      <c r="L650" s="31">
        <f t="shared" ref="L650:L652" si="407">((+B650/A650)-(E650/D650))/(B650/A650)</f>
        <v>3.8871505868930172E-2</v>
      </c>
    </row>
    <row r="651" spans="1:12" ht="15" thickBot="1" x14ac:dyDescent="0.35">
      <c r="A651" s="175">
        <v>502</v>
      </c>
      <c r="B651" s="8">
        <v>21230.75</v>
      </c>
      <c r="C651" s="8" t="s">
        <v>4333</v>
      </c>
      <c r="D651" s="8">
        <f t="shared" si="405"/>
        <v>502</v>
      </c>
      <c r="E651" s="8">
        <f t="shared" si="405"/>
        <v>20837.099999999999</v>
      </c>
      <c r="F651" s="45" t="s">
        <v>4334</v>
      </c>
      <c r="G651" s="45">
        <v>99201</v>
      </c>
      <c r="H651" s="14"/>
      <c r="I651" s="45">
        <v>502</v>
      </c>
      <c r="J651" s="46">
        <v>20837.099999999999</v>
      </c>
      <c r="K651" s="54">
        <f t="shared" si="406"/>
        <v>0</v>
      </c>
      <c r="L651" s="31">
        <f t="shared" si="407"/>
        <v>1.8541502302085431E-2</v>
      </c>
    </row>
    <row r="652" spans="1:12" x14ac:dyDescent="0.3">
      <c r="A652" s="871">
        <v>2403</v>
      </c>
      <c r="B652" s="873">
        <v>105313.75</v>
      </c>
      <c r="C652" s="873" t="s">
        <v>4335</v>
      </c>
      <c r="D652" s="873">
        <f>+I652+I653+I654</f>
        <v>2403</v>
      </c>
      <c r="E652" s="873">
        <f>+J652+J653+J654</f>
        <v>101933.70000000001</v>
      </c>
      <c r="F652" s="39" t="s">
        <v>4336</v>
      </c>
      <c r="G652" s="39">
        <v>99241</v>
      </c>
      <c r="H652" s="40"/>
      <c r="I652" s="39">
        <v>160</v>
      </c>
      <c r="J652" s="41">
        <v>6696.8</v>
      </c>
      <c r="K652" s="882">
        <f t="shared" si="406"/>
        <v>0</v>
      </c>
      <c r="L652" s="879">
        <f t="shared" si="407"/>
        <v>3.2095049316921941E-2</v>
      </c>
    </row>
    <row r="653" spans="1:12" x14ac:dyDescent="0.3">
      <c r="A653" s="875"/>
      <c r="B653" s="881"/>
      <c r="C653" s="881"/>
      <c r="D653" s="881"/>
      <c r="E653" s="881"/>
      <c r="F653" s="50" t="s">
        <v>4336</v>
      </c>
      <c r="G653" s="50">
        <v>99241</v>
      </c>
      <c r="I653" s="50">
        <v>1000</v>
      </c>
      <c r="J653" s="51">
        <v>42790.200000000004</v>
      </c>
      <c r="K653" s="883"/>
      <c r="L653" s="885"/>
    </row>
    <row r="654" spans="1:12" ht="15" thickBot="1" x14ac:dyDescent="0.35">
      <c r="A654" s="875"/>
      <c r="B654" s="881"/>
      <c r="C654" s="881"/>
      <c r="D654" s="881"/>
      <c r="E654" s="881"/>
      <c r="F654" s="50" t="s">
        <v>4336</v>
      </c>
      <c r="G654" s="50">
        <v>99241</v>
      </c>
      <c r="I654" s="50">
        <v>1243</v>
      </c>
      <c r="J654" s="51">
        <v>52446.7</v>
      </c>
      <c r="K654" s="884"/>
      <c r="L654" s="880"/>
    </row>
    <row r="655" spans="1:12" x14ac:dyDescent="0.3">
      <c r="A655" s="871">
        <v>1500</v>
      </c>
      <c r="B655" s="873">
        <v>65869.75</v>
      </c>
      <c r="C655" s="873" t="s">
        <v>4337</v>
      </c>
      <c r="D655" s="873">
        <f>+I655+I656+I657</f>
        <v>1500</v>
      </c>
      <c r="E655" s="873">
        <f>+J655+J656+J657</f>
        <v>63846</v>
      </c>
      <c r="F655" s="39" t="s">
        <v>4338</v>
      </c>
      <c r="G655" s="39">
        <v>99271</v>
      </c>
      <c r="H655" s="40"/>
      <c r="I655" s="39">
        <v>400</v>
      </c>
      <c r="J655" s="41">
        <v>17461</v>
      </c>
      <c r="K655" s="882">
        <f t="shared" ref="K655" si="408">+A655-D655</f>
        <v>0</v>
      </c>
      <c r="L655" s="879">
        <f t="shared" ref="L655" si="409">((+B655/A655)-(E655/D655))/(B655/A655)</f>
        <v>3.0723511171668379E-2</v>
      </c>
    </row>
    <row r="656" spans="1:12" x14ac:dyDescent="0.3">
      <c r="A656" s="875"/>
      <c r="B656" s="881"/>
      <c r="C656" s="881"/>
      <c r="D656" s="881"/>
      <c r="E656" s="881"/>
      <c r="F656" s="50" t="s">
        <v>4338</v>
      </c>
      <c r="G656" s="50">
        <v>99271</v>
      </c>
      <c r="I656" s="50">
        <v>100</v>
      </c>
      <c r="J656" s="51">
        <v>4328.2</v>
      </c>
      <c r="K656" s="883"/>
      <c r="L656" s="885"/>
    </row>
    <row r="657" spans="1:12" ht="15" thickBot="1" x14ac:dyDescent="0.35">
      <c r="A657" s="872"/>
      <c r="B657" s="874"/>
      <c r="C657" s="874"/>
      <c r="D657" s="874"/>
      <c r="E657" s="874"/>
      <c r="F657" s="42" t="s">
        <v>4338</v>
      </c>
      <c r="G657" s="42">
        <v>99271</v>
      </c>
      <c r="H657" s="43"/>
      <c r="I657" s="42">
        <v>1000</v>
      </c>
      <c r="J657" s="44">
        <v>42056.800000000003</v>
      </c>
      <c r="K657" s="884"/>
      <c r="L657" s="880"/>
    </row>
    <row r="658" spans="1:12" x14ac:dyDescent="0.3">
      <c r="A658" s="871">
        <v>2458</v>
      </c>
      <c r="B658" s="873">
        <v>103494.25</v>
      </c>
      <c r="C658" s="881" t="s">
        <v>4339</v>
      </c>
      <c r="D658" s="881">
        <f>+I658+I659+I660+I661</f>
        <v>2458</v>
      </c>
      <c r="E658" s="881">
        <f>+J658+J659+J660+J661</f>
        <v>99329.9</v>
      </c>
      <c r="F658" s="50" t="s">
        <v>4340</v>
      </c>
      <c r="G658" s="50">
        <v>99311</v>
      </c>
      <c r="I658" s="50">
        <v>357</v>
      </c>
      <c r="J658" s="51">
        <v>14775.5</v>
      </c>
      <c r="K658" s="882">
        <f t="shared" ref="K658" si="410">+A658-D658</f>
        <v>0</v>
      </c>
      <c r="L658" s="879">
        <f t="shared" ref="L658" si="411">((+B658/A658)-(E658/D658))/(B658/A658)</f>
        <v>4.0237501117211825E-2</v>
      </c>
    </row>
    <row r="659" spans="1:12" x14ac:dyDescent="0.3">
      <c r="A659" s="875"/>
      <c r="B659" s="881"/>
      <c r="C659" s="881"/>
      <c r="D659" s="881"/>
      <c r="E659" s="881"/>
      <c r="F659" s="50" t="s">
        <v>4340</v>
      </c>
      <c r="G659" s="50">
        <v>99311</v>
      </c>
      <c r="I659" s="50">
        <v>667</v>
      </c>
      <c r="J659" s="51">
        <v>25501.7</v>
      </c>
      <c r="K659" s="883"/>
      <c r="L659" s="885"/>
    </row>
    <row r="660" spans="1:12" x14ac:dyDescent="0.3">
      <c r="A660" s="875"/>
      <c r="B660" s="881"/>
      <c r="C660" s="881"/>
      <c r="D660" s="881"/>
      <c r="E660" s="881"/>
      <c r="F660" s="50" t="s">
        <v>4340</v>
      </c>
      <c r="G660" s="50">
        <v>99311</v>
      </c>
      <c r="I660" s="50">
        <v>1103</v>
      </c>
      <c r="J660" s="51">
        <v>45234.899999999994</v>
      </c>
      <c r="K660" s="883"/>
      <c r="L660" s="885"/>
    </row>
    <row r="661" spans="1:12" ht="15" thickBot="1" x14ac:dyDescent="0.35">
      <c r="A661" s="872"/>
      <c r="B661" s="874"/>
      <c r="C661" s="881"/>
      <c r="D661" s="881"/>
      <c r="E661" s="881"/>
      <c r="F661" s="50" t="s">
        <v>4340</v>
      </c>
      <c r="G661" s="50">
        <v>99331</v>
      </c>
      <c r="I661" s="50">
        <v>331</v>
      </c>
      <c r="J661" s="51">
        <v>13817.8</v>
      </c>
      <c r="K661" s="884"/>
      <c r="L661" s="880"/>
    </row>
    <row r="662" spans="1:12" x14ac:dyDescent="0.3">
      <c r="A662" s="871">
        <v>964</v>
      </c>
      <c r="B662" s="873">
        <v>41967.75</v>
      </c>
      <c r="C662" s="873" t="s">
        <v>4341</v>
      </c>
      <c r="D662" s="873">
        <f>+I662+I663+I664+I665</f>
        <v>963</v>
      </c>
      <c r="E662" s="873">
        <f>+J662+J663+J664+J665</f>
        <v>40540.900000000009</v>
      </c>
      <c r="F662" s="39" t="s">
        <v>4342</v>
      </c>
      <c r="G662" s="39">
        <v>99321</v>
      </c>
      <c r="H662" s="40"/>
      <c r="I662" s="39">
        <v>463</v>
      </c>
      <c r="J662" s="41">
        <v>19683.300000000003</v>
      </c>
      <c r="K662" s="882">
        <f t="shared" ref="K662" si="412">+A662-D662</f>
        <v>1</v>
      </c>
      <c r="L662" s="879">
        <f t="shared" ref="L662" si="413">((+B662/A662)-(E662/D662))/(B662/A662)</f>
        <v>3.2995608623055221E-2</v>
      </c>
    </row>
    <row r="663" spans="1:12" x14ac:dyDescent="0.3">
      <c r="A663" s="875"/>
      <c r="B663" s="881"/>
      <c r="C663" s="881"/>
      <c r="D663" s="881"/>
      <c r="E663" s="881"/>
      <c r="F663" s="50" t="s">
        <v>4342</v>
      </c>
      <c r="G663" s="50">
        <v>99321</v>
      </c>
      <c r="I663" s="50">
        <v>178</v>
      </c>
      <c r="J663" s="51">
        <v>7565.7</v>
      </c>
      <c r="K663" s="883"/>
      <c r="L663" s="885"/>
    </row>
    <row r="664" spans="1:12" x14ac:dyDescent="0.3">
      <c r="A664" s="875"/>
      <c r="B664" s="881"/>
      <c r="C664" s="881"/>
      <c r="D664" s="881"/>
      <c r="E664" s="881"/>
      <c r="F664" s="50" t="s">
        <v>4342</v>
      </c>
      <c r="G664" s="50">
        <v>99321</v>
      </c>
      <c r="I664" s="50">
        <v>250</v>
      </c>
      <c r="J664" s="51">
        <v>10266.900000000001</v>
      </c>
      <c r="K664" s="883"/>
      <c r="L664" s="885"/>
    </row>
    <row r="665" spans="1:12" ht="15" thickBot="1" x14ac:dyDescent="0.35">
      <c r="A665" s="872"/>
      <c r="B665" s="874"/>
      <c r="C665" s="874"/>
      <c r="D665" s="874"/>
      <c r="E665" s="874"/>
      <c r="F665" s="42" t="s">
        <v>4342</v>
      </c>
      <c r="G665" s="42">
        <v>99321</v>
      </c>
      <c r="H665" s="43"/>
      <c r="I665" s="42">
        <v>72</v>
      </c>
      <c r="J665" s="44">
        <v>3025</v>
      </c>
      <c r="K665" s="884"/>
      <c r="L665" s="880"/>
    </row>
    <row r="666" spans="1:12" ht="15" thickBot="1" x14ac:dyDescent="0.35">
      <c r="A666" s="178">
        <v>497</v>
      </c>
      <c r="B666" s="45">
        <v>21731.75</v>
      </c>
      <c r="C666" s="45" t="s">
        <v>4343</v>
      </c>
      <c r="D666" s="45">
        <f>+I666</f>
        <v>497</v>
      </c>
      <c r="E666" s="45">
        <f>+J666</f>
        <v>20979.599999999999</v>
      </c>
      <c r="F666" s="45" t="s">
        <v>4344</v>
      </c>
      <c r="G666" s="45">
        <v>99401</v>
      </c>
      <c r="H666" s="14"/>
      <c r="I666" s="45">
        <v>497</v>
      </c>
      <c r="J666" s="46">
        <v>20979.599999999999</v>
      </c>
      <c r="K666" s="54">
        <f t="shared" ref="K666:K669" si="414">+A666-D666</f>
        <v>0</v>
      </c>
      <c r="L666" s="31">
        <f t="shared" ref="L666:L669" si="415">((+B666/A666)-(E666/D666))/(B666/A666)</f>
        <v>3.4610650315782338E-2</v>
      </c>
    </row>
    <row r="667" spans="1:12" ht="15" thickBot="1" x14ac:dyDescent="0.35">
      <c r="A667" s="178">
        <v>200</v>
      </c>
      <c r="B667" s="45">
        <v>9568</v>
      </c>
      <c r="C667" s="45" t="s">
        <v>4345</v>
      </c>
      <c r="D667" s="45">
        <f>+I667</f>
        <v>200</v>
      </c>
      <c r="E667" s="45">
        <f>+J667</f>
        <v>9365.4</v>
      </c>
      <c r="F667" s="45" t="s">
        <v>4346</v>
      </c>
      <c r="G667" s="45">
        <v>99411</v>
      </c>
      <c r="H667" s="14"/>
      <c r="I667" s="45">
        <v>200</v>
      </c>
      <c r="J667" s="46">
        <v>9365.4</v>
      </c>
      <c r="K667" s="54">
        <f t="shared" si="414"/>
        <v>0</v>
      </c>
      <c r="L667" s="31">
        <f t="shared" si="415"/>
        <v>2.1174749163879708E-2</v>
      </c>
    </row>
    <row r="668" spans="1:12" ht="15" thickBot="1" x14ac:dyDescent="0.35">
      <c r="A668" s="178">
        <v>200</v>
      </c>
      <c r="B668" s="45">
        <v>9100</v>
      </c>
      <c r="C668" s="45" t="s">
        <v>4347</v>
      </c>
      <c r="D668" s="45">
        <f t="shared" ref="D668:E672" si="416">+I668</f>
        <v>200</v>
      </c>
      <c r="E668" s="45">
        <f t="shared" si="416"/>
        <v>8972.7999999999993</v>
      </c>
      <c r="F668" s="45" t="s">
        <v>4348</v>
      </c>
      <c r="G668" s="45">
        <v>99421</v>
      </c>
      <c r="H668" s="14"/>
      <c r="I668" s="45">
        <v>200</v>
      </c>
      <c r="J668" s="46">
        <v>8972.7999999999993</v>
      </c>
      <c r="K668" s="54">
        <f t="shared" si="414"/>
        <v>0</v>
      </c>
      <c r="L668" s="31">
        <f t="shared" si="415"/>
        <v>1.3978021978022039E-2</v>
      </c>
    </row>
    <row r="669" spans="1:12" ht="15" thickBot="1" x14ac:dyDescent="0.35">
      <c r="A669" s="179">
        <v>200</v>
      </c>
      <c r="B669" s="42">
        <v>8923.25</v>
      </c>
      <c r="C669" s="42" t="s">
        <v>4349</v>
      </c>
      <c r="D669" s="45">
        <f t="shared" si="416"/>
        <v>200</v>
      </c>
      <c r="E669" s="45">
        <f t="shared" si="416"/>
        <v>8874.4</v>
      </c>
      <c r="F669" s="42" t="s">
        <v>4350</v>
      </c>
      <c r="G669" s="42">
        <v>99431</v>
      </c>
      <c r="H669" s="43"/>
      <c r="I669" s="42">
        <v>200</v>
      </c>
      <c r="J669" s="44">
        <v>8874.4</v>
      </c>
      <c r="K669" s="54">
        <f t="shared" si="414"/>
        <v>0</v>
      </c>
      <c r="L669" s="31">
        <f t="shared" si="415"/>
        <v>5.4744627798167921E-3</v>
      </c>
    </row>
    <row r="670" spans="1:12" ht="15" thickBot="1" x14ac:dyDescent="0.35">
      <c r="A670" s="178">
        <v>170</v>
      </c>
      <c r="B670" s="45">
        <v>7479.75</v>
      </c>
      <c r="C670" s="45" t="s">
        <v>4441</v>
      </c>
      <c r="D670" s="45">
        <f t="shared" si="416"/>
        <v>170</v>
      </c>
      <c r="E670" s="45">
        <f t="shared" si="416"/>
        <v>7259.2</v>
      </c>
      <c r="F670" s="45" t="s">
        <v>4442</v>
      </c>
      <c r="G670" s="45">
        <v>99461</v>
      </c>
      <c r="H670" s="14"/>
      <c r="I670" s="45">
        <v>170</v>
      </c>
      <c r="J670" s="46">
        <v>7259.2</v>
      </c>
      <c r="K670" s="54">
        <f t="shared" ref="K670:K676" si="417">+A670-D670</f>
        <v>0</v>
      </c>
      <c r="L670" s="31">
        <f t="shared" ref="L670:L676" si="418">((+B670/A670)-(E670/D670))/(B670/A670)</f>
        <v>2.9486279621645097E-2</v>
      </c>
    </row>
    <row r="671" spans="1:12" ht="15" thickBot="1" x14ac:dyDescent="0.35">
      <c r="A671" s="178">
        <v>121</v>
      </c>
      <c r="B671" s="45">
        <v>5291.5</v>
      </c>
      <c r="C671" s="45" t="s">
        <v>4443</v>
      </c>
      <c r="D671" s="45">
        <f>+I671</f>
        <v>121</v>
      </c>
      <c r="E671" s="45">
        <f t="shared" si="416"/>
        <v>5131.8</v>
      </c>
      <c r="F671" s="45" t="s">
        <v>4444</v>
      </c>
      <c r="G671" s="45">
        <v>99471</v>
      </c>
      <c r="H671" s="14"/>
      <c r="I671" s="45">
        <v>121</v>
      </c>
      <c r="J671" s="46">
        <v>5131.8</v>
      </c>
      <c r="K671" s="54">
        <f t="shared" si="417"/>
        <v>0</v>
      </c>
      <c r="L671" s="31">
        <f t="shared" si="418"/>
        <v>3.0180478125295205E-2</v>
      </c>
    </row>
    <row r="672" spans="1:12" ht="15" thickBot="1" x14ac:dyDescent="0.35">
      <c r="A672" s="178">
        <v>500</v>
      </c>
      <c r="B672" s="45">
        <v>21728.25</v>
      </c>
      <c r="C672" s="45" t="s">
        <v>4445</v>
      </c>
      <c r="D672" s="45">
        <f t="shared" ref="D672:E675" si="419">+I672</f>
        <v>500</v>
      </c>
      <c r="E672" s="45">
        <f t="shared" si="416"/>
        <v>21153.7</v>
      </c>
      <c r="F672" s="45" t="s">
        <v>4446</v>
      </c>
      <c r="G672" s="45">
        <v>99491</v>
      </c>
      <c r="H672" s="14"/>
      <c r="I672" s="45">
        <v>500</v>
      </c>
      <c r="J672" s="46">
        <v>21153.7</v>
      </c>
      <c r="K672" s="54">
        <f t="shared" si="417"/>
        <v>0</v>
      </c>
      <c r="L672" s="31">
        <f t="shared" si="418"/>
        <v>2.6442534488511436E-2</v>
      </c>
    </row>
    <row r="673" spans="1:12" ht="15" thickBot="1" x14ac:dyDescent="0.35">
      <c r="A673" s="178">
        <v>558</v>
      </c>
      <c r="B673" s="45">
        <v>25267.31</v>
      </c>
      <c r="C673" s="45" t="s">
        <v>4447</v>
      </c>
      <c r="D673" s="45">
        <f t="shared" si="419"/>
        <v>558</v>
      </c>
      <c r="E673" s="45">
        <f t="shared" si="419"/>
        <v>24680.499999999996</v>
      </c>
      <c r="F673" s="45" t="s">
        <v>4448</v>
      </c>
      <c r="G673" s="45">
        <v>99561</v>
      </c>
      <c r="H673" s="14"/>
      <c r="I673" s="45">
        <v>558</v>
      </c>
      <c r="J673" s="46">
        <v>24680.499999999996</v>
      </c>
      <c r="K673" s="54">
        <f t="shared" si="417"/>
        <v>0</v>
      </c>
      <c r="L673" s="31">
        <f t="shared" si="418"/>
        <v>2.3224078859206097E-2</v>
      </c>
    </row>
    <row r="674" spans="1:12" ht="15" thickBot="1" x14ac:dyDescent="0.35">
      <c r="A674" s="178">
        <v>906</v>
      </c>
      <c r="B674" s="45">
        <v>39557</v>
      </c>
      <c r="C674" s="45" t="s">
        <v>4449</v>
      </c>
      <c r="D674" s="45">
        <f t="shared" si="419"/>
        <v>888</v>
      </c>
      <c r="E674" s="45">
        <f t="shared" si="419"/>
        <v>37496.800000000003</v>
      </c>
      <c r="F674" s="45" t="s">
        <v>4450</v>
      </c>
      <c r="G674" s="45">
        <v>99571</v>
      </c>
      <c r="H674" s="14"/>
      <c r="I674" s="45">
        <v>888</v>
      </c>
      <c r="J674" s="46">
        <v>37496.800000000003</v>
      </c>
      <c r="K674" s="54">
        <f t="shared" si="417"/>
        <v>18</v>
      </c>
      <c r="L674" s="31">
        <f t="shared" si="418"/>
        <v>3.2867248015009329E-2</v>
      </c>
    </row>
    <row r="675" spans="1:12" ht="15" thickBot="1" x14ac:dyDescent="0.35">
      <c r="A675" s="177">
        <v>1157</v>
      </c>
      <c r="B675" s="39">
        <v>49559.6</v>
      </c>
      <c r="C675" s="39" t="s">
        <v>4451</v>
      </c>
      <c r="D675" s="39">
        <f t="shared" si="419"/>
        <v>1156</v>
      </c>
      <c r="E675" s="39">
        <f t="shared" si="419"/>
        <v>47613.399999999994</v>
      </c>
      <c r="F675" s="39" t="s">
        <v>4452</v>
      </c>
      <c r="G675" s="39">
        <v>99581</v>
      </c>
      <c r="H675" s="40"/>
      <c r="I675" s="39">
        <v>1156</v>
      </c>
      <c r="J675" s="41">
        <v>47613.399999999994</v>
      </c>
      <c r="K675" s="54">
        <f t="shared" si="417"/>
        <v>1</v>
      </c>
      <c r="L675" s="31">
        <f t="shared" si="418"/>
        <v>3.8438807773191634E-2</v>
      </c>
    </row>
    <row r="676" spans="1:12" x14ac:dyDescent="0.3">
      <c r="A676" s="871">
        <v>1347</v>
      </c>
      <c r="B676" s="873">
        <v>56588.25</v>
      </c>
      <c r="C676" s="873" t="s">
        <v>4453</v>
      </c>
      <c r="D676" s="873">
        <f>+I676+I677</f>
        <v>1347</v>
      </c>
      <c r="E676" s="873">
        <f>+J676+J677</f>
        <v>54967.500000000007</v>
      </c>
      <c r="F676" s="39" t="s">
        <v>4454</v>
      </c>
      <c r="G676" s="39">
        <v>99591</v>
      </c>
      <c r="H676" s="40"/>
      <c r="I676" s="39">
        <v>1209</v>
      </c>
      <c r="J676" s="41">
        <v>50431.30000000001</v>
      </c>
      <c r="K676" s="882">
        <f t="shared" si="417"/>
        <v>0</v>
      </c>
      <c r="L676" s="879">
        <f t="shared" si="418"/>
        <v>2.8641104822997473E-2</v>
      </c>
    </row>
    <row r="677" spans="1:12" ht="15" thickBot="1" x14ac:dyDescent="0.35">
      <c r="A677" s="875"/>
      <c r="B677" s="881"/>
      <c r="C677" s="881"/>
      <c r="D677" s="881"/>
      <c r="E677" s="881"/>
      <c r="F677" s="50" t="s">
        <v>4454</v>
      </c>
      <c r="G677" s="50">
        <v>99591</v>
      </c>
      <c r="I677" s="50">
        <v>138</v>
      </c>
      <c r="J677" s="51">
        <v>4536.2</v>
      </c>
      <c r="K677" s="884"/>
      <c r="L677" s="880"/>
    </row>
    <row r="678" spans="1:12" ht="15" thickBot="1" x14ac:dyDescent="0.35">
      <c r="A678" s="177">
        <v>550</v>
      </c>
      <c r="B678" s="39">
        <v>25474.25</v>
      </c>
      <c r="C678" s="39" t="s">
        <v>4455</v>
      </c>
      <c r="D678" s="39">
        <f>+I678</f>
        <v>548</v>
      </c>
      <c r="E678" s="39">
        <f>+J678</f>
        <v>24593.599999999999</v>
      </c>
      <c r="F678" s="39" t="s">
        <v>4456</v>
      </c>
      <c r="G678" s="39">
        <v>99601</v>
      </c>
      <c r="H678" s="40"/>
      <c r="I678" s="39">
        <v>548</v>
      </c>
      <c r="J678" s="41">
        <v>24593.599999999999</v>
      </c>
      <c r="K678" s="54">
        <f t="shared" ref="K678:K679" si="420">+A678-D678</f>
        <v>2</v>
      </c>
      <c r="L678" s="31">
        <f t="shared" ref="L678:L679" si="421">((+B678/A678)-(E678/D678))/(B678/A678)</f>
        <v>3.1046736832936295E-2</v>
      </c>
    </row>
    <row r="679" spans="1:12" x14ac:dyDescent="0.3">
      <c r="A679" s="871">
        <v>2989</v>
      </c>
      <c r="B679" s="873">
        <v>124484.3</v>
      </c>
      <c r="C679" s="873" t="s">
        <v>4457</v>
      </c>
      <c r="D679" s="873">
        <f>+I679+I680</f>
        <v>2989</v>
      </c>
      <c r="E679" s="873">
        <f>+J679+J680</f>
        <v>119374.39999999999</v>
      </c>
      <c r="F679" s="39" t="s">
        <v>4458</v>
      </c>
      <c r="G679" s="39">
        <v>99621</v>
      </c>
      <c r="H679" s="40"/>
      <c r="I679" s="39">
        <v>950</v>
      </c>
      <c r="J679" s="41">
        <v>37348.400000000001</v>
      </c>
      <c r="K679" s="882">
        <f t="shared" si="420"/>
        <v>0</v>
      </c>
      <c r="L679" s="879">
        <f t="shared" si="421"/>
        <v>4.1048549897456925E-2</v>
      </c>
    </row>
    <row r="680" spans="1:12" ht="15" thickBot="1" x14ac:dyDescent="0.35">
      <c r="A680" s="875"/>
      <c r="B680" s="881"/>
      <c r="C680" s="881"/>
      <c r="D680" s="881"/>
      <c r="E680" s="881"/>
      <c r="F680" s="50" t="s">
        <v>4458</v>
      </c>
      <c r="G680" s="50">
        <v>99621</v>
      </c>
      <c r="I680" s="50">
        <v>2039</v>
      </c>
      <c r="J680" s="51">
        <v>82026</v>
      </c>
      <c r="K680" s="884"/>
      <c r="L680" s="880"/>
    </row>
    <row r="681" spans="1:12" x14ac:dyDescent="0.3">
      <c r="A681" s="927">
        <v>1818</v>
      </c>
      <c r="B681" s="873">
        <v>80527.75</v>
      </c>
      <c r="C681" s="873" t="s">
        <v>4459</v>
      </c>
      <c r="D681" s="873">
        <v>1818</v>
      </c>
      <c r="E681" s="873">
        <v>77940.100000000006</v>
      </c>
      <c r="F681" s="39" t="s">
        <v>4460</v>
      </c>
      <c r="G681" s="39">
        <v>99631</v>
      </c>
      <c r="H681" s="40"/>
      <c r="I681" s="39">
        <v>938</v>
      </c>
      <c r="J681" s="41">
        <v>40490.6</v>
      </c>
      <c r="K681" s="882">
        <f t="shared" ref="K681" si="422">+A681-D681</f>
        <v>0</v>
      </c>
      <c r="L681" s="879">
        <f t="shared" ref="L681" si="423">((+B681/A681)-(E681/D681))/(B681/A681)</f>
        <v>3.2133643371384378E-2</v>
      </c>
    </row>
    <row r="682" spans="1:12" ht="15" thickBot="1" x14ac:dyDescent="0.35">
      <c r="A682" s="928"/>
      <c r="B682" s="874"/>
      <c r="C682" s="874"/>
      <c r="D682" s="874"/>
      <c r="E682" s="874"/>
      <c r="F682" s="42" t="s">
        <v>4460</v>
      </c>
      <c r="G682" s="42">
        <v>99631</v>
      </c>
      <c r="H682" s="43"/>
      <c r="I682" s="42">
        <v>800</v>
      </c>
      <c r="J682" s="44">
        <v>34019.700000000004</v>
      </c>
      <c r="K682" s="884"/>
      <c r="L682" s="880"/>
    </row>
    <row r="683" spans="1:12" ht="15" thickBot="1" x14ac:dyDescent="0.35">
      <c r="A683" s="177">
        <v>834</v>
      </c>
      <c r="B683" s="39">
        <v>38754</v>
      </c>
      <c r="C683" s="39" t="s">
        <v>4535</v>
      </c>
      <c r="D683" s="39">
        <v>834</v>
      </c>
      <c r="E683" s="39">
        <v>37760.699999999997</v>
      </c>
      <c r="F683" s="39" t="s">
        <v>4536</v>
      </c>
      <c r="G683" s="39">
        <v>99641</v>
      </c>
      <c r="H683" s="40"/>
      <c r="I683" s="39">
        <v>548</v>
      </c>
      <c r="J683" s="41">
        <v>24593.599999999999</v>
      </c>
      <c r="K683" s="54">
        <f t="shared" ref="K683" si="424">+A683-D683</f>
        <v>0</v>
      </c>
      <c r="L683" s="31">
        <f t="shared" ref="L683" si="425">((+B683/A683)-(E683/D683))/(B683/A683)</f>
        <v>2.5630902616504275E-2</v>
      </c>
    </row>
    <row r="684" spans="1:12" ht="15" thickBot="1" x14ac:dyDescent="0.35">
      <c r="A684" s="345">
        <v>552</v>
      </c>
      <c r="B684" s="45">
        <v>25369</v>
      </c>
      <c r="C684" s="45" t="s">
        <v>4461</v>
      </c>
      <c r="D684" s="8">
        <v>552</v>
      </c>
      <c r="E684" s="8">
        <v>24864</v>
      </c>
      <c r="F684" s="45" t="s">
        <v>4462</v>
      </c>
      <c r="G684" s="45">
        <v>99651</v>
      </c>
      <c r="H684" s="14"/>
      <c r="I684" s="45">
        <v>400</v>
      </c>
      <c r="J684" s="46">
        <v>18135.099999999999</v>
      </c>
      <c r="K684" s="54">
        <f t="shared" ref="K684:K685" si="426">+A684-D684</f>
        <v>0</v>
      </c>
      <c r="L684" s="31">
        <f t="shared" ref="L684:L685" si="427">((+B684/A684)-(E684/D684))/(B684/A684)</f>
        <v>1.990618471362697E-2</v>
      </c>
    </row>
    <row r="685" spans="1:12" x14ac:dyDescent="0.3">
      <c r="A685" s="927">
        <v>719</v>
      </c>
      <c r="B685" s="873">
        <v>30962.7</v>
      </c>
      <c r="C685" s="873" t="s">
        <v>4537</v>
      </c>
      <c r="D685" s="873">
        <v>719</v>
      </c>
      <c r="E685" s="873">
        <v>30029.3</v>
      </c>
      <c r="F685" s="39" t="s">
        <v>4538</v>
      </c>
      <c r="G685" s="39">
        <v>99721</v>
      </c>
      <c r="H685" s="40"/>
      <c r="I685" s="39">
        <v>196</v>
      </c>
      <c r="J685" s="41">
        <v>8499.6999999999989</v>
      </c>
      <c r="K685" s="882">
        <f t="shared" si="426"/>
        <v>0</v>
      </c>
      <c r="L685" s="879">
        <f t="shared" si="427"/>
        <v>3.0145949804119089E-2</v>
      </c>
    </row>
    <row r="686" spans="1:12" ht="15" thickBot="1" x14ac:dyDescent="0.35">
      <c r="A686" s="928"/>
      <c r="B686" s="874"/>
      <c r="C686" s="874"/>
      <c r="D686" s="874"/>
      <c r="E686" s="874"/>
      <c r="F686" s="42" t="s">
        <v>4538</v>
      </c>
      <c r="G686" s="42">
        <v>99721</v>
      </c>
      <c r="H686" s="43"/>
      <c r="I686" s="42">
        <v>212</v>
      </c>
      <c r="J686" s="44">
        <v>9567.4</v>
      </c>
      <c r="K686" s="884"/>
      <c r="L686" s="880"/>
    </row>
    <row r="687" spans="1:12" ht="15" thickBot="1" x14ac:dyDescent="0.35">
      <c r="A687" s="345">
        <v>861</v>
      </c>
      <c r="B687" s="45">
        <v>34556.9</v>
      </c>
      <c r="C687" s="45" t="s">
        <v>4613</v>
      </c>
      <c r="D687" s="8">
        <v>861</v>
      </c>
      <c r="E687" s="8">
        <v>33261.199999999997</v>
      </c>
      <c r="F687" s="45" t="s">
        <v>4614</v>
      </c>
      <c r="G687" s="45">
        <v>99731</v>
      </c>
      <c r="H687" s="14"/>
      <c r="I687" s="45">
        <v>400</v>
      </c>
      <c r="J687" s="46">
        <v>18135.099999999999</v>
      </c>
      <c r="K687" s="54">
        <f t="shared" ref="K687" si="428">+A687-D687</f>
        <v>0</v>
      </c>
      <c r="L687" s="31">
        <f t="shared" ref="L687" si="429">((+B687/A687)-(E687/D687))/(B687/A687)</f>
        <v>3.7494682682764027E-2</v>
      </c>
    </row>
    <row r="688" spans="1:12" x14ac:dyDescent="0.3">
      <c r="A688" s="927">
        <v>974</v>
      </c>
      <c r="B688" s="873">
        <v>32639.5</v>
      </c>
      <c r="C688" s="873" t="s">
        <v>4539</v>
      </c>
      <c r="D688" s="873">
        <f>+I688+I689</f>
        <v>974</v>
      </c>
      <c r="E688" s="873">
        <f>+J688+J689</f>
        <v>31621</v>
      </c>
      <c r="F688" s="39" t="s">
        <v>4540</v>
      </c>
      <c r="G688" s="39">
        <v>99751</v>
      </c>
      <c r="H688" s="40"/>
      <c r="I688" s="39">
        <v>816</v>
      </c>
      <c r="J688" s="41">
        <v>26514.3</v>
      </c>
      <c r="K688" s="882">
        <f t="shared" ref="K688" si="430">+A688-D688</f>
        <v>0</v>
      </c>
      <c r="L688" s="879">
        <f t="shared" ref="L688" si="431">((+B688/A688)-(E688/D688))/(B688/A688)</f>
        <v>3.1204522128096324E-2</v>
      </c>
    </row>
    <row r="689" spans="1:12" ht="15" thickBot="1" x14ac:dyDescent="0.35">
      <c r="A689" s="928"/>
      <c r="B689" s="874"/>
      <c r="C689" s="874"/>
      <c r="D689" s="874"/>
      <c r="E689" s="874"/>
      <c r="F689" s="42" t="s">
        <v>4540</v>
      </c>
      <c r="G689" s="42">
        <v>99751</v>
      </c>
      <c r="H689" s="43"/>
      <c r="I689" s="42">
        <v>158</v>
      </c>
      <c r="J689" s="44">
        <v>5106.7</v>
      </c>
      <c r="K689" s="884"/>
      <c r="L689" s="880"/>
    </row>
    <row r="690" spans="1:12" ht="15" thickBot="1" x14ac:dyDescent="0.35">
      <c r="A690" s="348">
        <v>149</v>
      </c>
      <c r="B690" s="45">
        <v>6598.25</v>
      </c>
      <c r="C690" s="45" t="s">
        <v>4615</v>
      </c>
      <c r="D690" s="8">
        <f t="shared" ref="D690:E690" si="432">+I690</f>
        <v>149</v>
      </c>
      <c r="E690" s="8">
        <f t="shared" si="432"/>
        <v>6333.4</v>
      </c>
      <c r="F690" s="45" t="s">
        <v>4616</v>
      </c>
      <c r="G690" s="45">
        <v>99801</v>
      </c>
      <c r="H690" s="14"/>
      <c r="I690" s="45">
        <v>149</v>
      </c>
      <c r="J690" s="46">
        <v>6333.4</v>
      </c>
      <c r="K690" s="54">
        <f t="shared" ref="K690" si="433">+A690-D690</f>
        <v>0</v>
      </c>
      <c r="L690" s="31">
        <f t="shared" ref="L690" si="434">((+B690/A690)-(E690/D690))/(B690/A690)</f>
        <v>4.0139430909710942E-2</v>
      </c>
    </row>
    <row r="691" spans="1:12" ht="15" thickBot="1" x14ac:dyDescent="0.35">
      <c r="A691" s="348">
        <v>1101</v>
      </c>
      <c r="B691" s="45">
        <v>47069.25</v>
      </c>
      <c r="C691" s="45" t="s">
        <v>4617</v>
      </c>
      <c r="D691" s="8">
        <v>1101</v>
      </c>
      <c r="E691" s="8">
        <v>45700.7</v>
      </c>
      <c r="F691" s="45" t="s">
        <v>4618</v>
      </c>
      <c r="G691" s="45">
        <v>99811</v>
      </c>
      <c r="H691" s="14"/>
      <c r="I691" s="45">
        <v>149</v>
      </c>
      <c r="J691" s="46">
        <v>6333.4</v>
      </c>
      <c r="K691" s="54">
        <f t="shared" ref="K691" si="435">+A691-D691</f>
        <v>0</v>
      </c>
      <c r="L691" s="31">
        <f t="shared" ref="L691" si="436">((+B691/A691)-(E691/D691))/(B691/A691)</f>
        <v>2.9075245515915542E-2</v>
      </c>
    </row>
    <row r="692" spans="1:12" ht="15" thickBot="1" x14ac:dyDescent="0.35">
      <c r="A692" s="345">
        <v>440</v>
      </c>
      <c r="B692" s="45">
        <v>18104.3</v>
      </c>
      <c r="C692" s="45" t="s">
        <v>4541</v>
      </c>
      <c r="D692" s="8">
        <f>+I692</f>
        <v>440</v>
      </c>
      <c r="E692" s="8">
        <f>+J692</f>
        <v>17484.199999999997</v>
      </c>
      <c r="F692" s="45" t="s">
        <v>4542</v>
      </c>
      <c r="G692" s="45">
        <v>99821</v>
      </c>
      <c r="H692" s="14"/>
      <c r="I692" s="45">
        <v>440</v>
      </c>
      <c r="J692" s="46">
        <v>17484.199999999997</v>
      </c>
      <c r="K692" s="54">
        <f t="shared" ref="K692:K698" si="437">+A692-D692</f>
        <v>0</v>
      </c>
      <c r="L692" s="31">
        <f t="shared" ref="L692:L698" si="438">((+B692/A692)-(E692/D692))/(B692/A692)</f>
        <v>3.4251531404141666E-2</v>
      </c>
    </row>
    <row r="693" spans="1:12" ht="15" thickBot="1" x14ac:dyDescent="0.35">
      <c r="A693" s="345">
        <v>480</v>
      </c>
      <c r="B693" s="45">
        <v>21531.25</v>
      </c>
      <c r="C693" s="45" t="s">
        <v>4619</v>
      </c>
      <c r="D693" s="8">
        <v>480</v>
      </c>
      <c r="E693" s="8">
        <v>20876.599999999999</v>
      </c>
      <c r="F693" s="45" t="s">
        <v>4620</v>
      </c>
      <c r="G693" s="45">
        <v>99861</v>
      </c>
      <c r="H693" s="14"/>
      <c r="I693" s="45">
        <v>440</v>
      </c>
      <c r="J693" s="46">
        <v>17484.199999999997</v>
      </c>
      <c r="K693" s="54">
        <f t="shared" ref="K693" si="439">+A693-D693</f>
        <v>0</v>
      </c>
      <c r="L693" s="31">
        <f t="shared" ref="L693" si="440">((+B693/A693)-(E693/D693))/(B693/A693)</f>
        <v>3.0404644412191647E-2</v>
      </c>
    </row>
    <row r="694" spans="1:12" ht="15" thickBot="1" x14ac:dyDescent="0.35">
      <c r="A694" s="345">
        <v>410</v>
      </c>
      <c r="B694" s="45">
        <v>16395.2</v>
      </c>
      <c r="C694" s="45" t="s">
        <v>4621</v>
      </c>
      <c r="D694" s="8">
        <v>410</v>
      </c>
      <c r="E694" s="8">
        <v>15833.2</v>
      </c>
      <c r="F694" s="45" t="s">
        <v>4622</v>
      </c>
      <c r="G694" s="45">
        <v>99871</v>
      </c>
      <c r="H694" s="14"/>
      <c r="I694" s="45">
        <v>440</v>
      </c>
      <c r="J694" s="46">
        <v>17484.199999999997</v>
      </c>
      <c r="K694" s="54">
        <f t="shared" ref="K694" si="441">+A694-D694</f>
        <v>0</v>
      </c>
      <c r="L694" s="31">
        <f t="shared" ref="L694" si="442">((+B694/A694)-(E694/D694))/(B694/A694)</f>
        <v>3.4278325363521121E-2</v>
      </c>
    </row>
    <row r="695" spans="1:12" ht="15" thickBot="1" x14ac:dyDescent="0.35">
      <c r="A695" s="345">
        <v>405</v>
      </c>
      <c r="B695" s="45">
        <v>13566.5</v>
      </c>
      <c r="C695" s="45" t="s">
        <v>4543</v>
      </c>
      <c r="D695" s="8">
        <f t="shared" ref="D695:E697" si="443">+I695</f>
        <v>404</v>
      </c>
      <c r="E695" s="8">
        <f t="shared" si="443"/>
        <v>13209.7</v>
      </c>
      <c r="F695" s="45" t="s">
        <v>4544</v>
      </c>
      <c r="G695" s="45">
        <v>99881</v>
      </c>
      <c r="H695" s="14"/>
      <c r="I695" s="45">
        <v>404</v>
      </c>
      <c r="J695" s="46">
        <v>13209.7</v>
      </c>
      <c r="K695" s="54">
        <f t="shared" si="437"/>
        <v>1</v>
      </c>
      <c r="L695" s="31">
        <f t="shared" si="438"/>
        <v>2.3889929073252245E-2</v>
      </c>
    </row>
    <row r="696" spans="1:12" ht="15" thickBot="1" x14ac:dyDescent="0.35">
      <c r="A696" s="345">
        <v>334</v>
      </c>
      <c r="B696" s="45">
        <v>15033</v>
      </c>
      <c r="C696" s="45" t="s">
        <v>4545</v>
      </c>
      <c r="D696" s="8">
        <f t="shared" si="443"/>
        <v>334</v>
      </c>
      <c r="E696" s="8">
        <f t="shared" si="443"/>
        <v>14616.6</v>
      </c>
      <c r="F696" s="45" t="s">
        <v>4546</v>
      </c>
      <c r="G696" s="45">
        <v>99921</v>
      </c>
      <c r="H696" s="14"/>
      <c r="I696" s="45">
        <v>334</v>
      </c>
      <c r="J696" s="46">
        <v>14616.6</v>
      </c>
      <c r="K696" s="54">
        <f t="shared" si="437"/>
        <v>0</v>
      </c>
      <c r="L696" s="31">
        <f t="shared" si="438"/>
        <v>2.7699062063460268E-2</v>
      </c>
    </row>
    <row r="697" spans="1:12" ht="15" thickBot="1" x14ac:dyDescent="0.35">
      <c r="A697" s="345">
        <v>440</v>
      </c>
      <c r="B697" s="45">
        <v>19388.599999999999</v>
      </c>
      <c r="C697" s="45" t="s">
        <v>4547</v>
      </c>
      <c r="D697" s="8">
        <f t="shared" si="443"/>
        <v>439</v>
      </c>
      <c r="E697" s="8">
        <f t="shared" si="443"/>
        <v>18549.8</v>
      </c>
      <c r="F697" s="45" t="s">
        <v>4548</v>
      </c>
      <c r="G697" s="45">
        <v>99931</v>
      </c>
      <c r="H697" s="14"/>
      <c r="I697" s="45">
        <v>439</v>
      </c>
      <c r="J697" s="46">
        <v>18549.8</v>
      </c>
      <c r="K697" s="54">
        <f t="shared" si="437"/>
        <v>1</v>
      </c>
      <c r="L697" s="31">
        <f t="shared" si="438"/>
        <v>4.108317930619676E-2</v>
      </c>
    </row>
    <row r="698" spans="1:12" x14ac:dyDescent="0.3">
      <c r="A698" s="871">
        <v>673</v>
      </c>
      <c r="B698" s="873">
        <v>27685.3</v>
      </c>
      <c r="C698" s="873" t="s">
        <v>4623</v>
      </c>
      <c r="D698" s="873">
        <f>+I698+I699</f>
        <v>673</v>
      </c>
      <c r="E698" s="873">
        <f>+J698+J699</f>
        <v>27022.600000000002</v>
      </c>
      <c r="F698" s="39" t="s">
        <v>4624</v>
      </c>
      <c r="G698" s="39">
        <v>99981</v>
      </c>
      <c r="H698" s="40"/>
      <c r="I698" s="39">
        <v>555</v>
      </c>
      <c r="J698" s="41">
        <v>22785.9</v>
      </c>
      <c r="K698" s="882">
        <f t="shared" si="437"/>
        <v>0</v>
      </c>
      <c r="L698" s="879">
        <f t="shared" si="438"/>
        <v>2.3936890696506685E-2</v>
      </c>
    </row>
    <row r="699" spans="1:12" ht="15" thickBot="1" x14ac:dyDescent="0.35">
      <c r="A699" s="872"/>
      <c r="B699" s="874"/>
      <c r="C699" s="874"/>
      <c r="D699" s="874"/>
      <c r="E699" s="874"/>
      <c r="F699" s="42" t="s">
        <v>4624</v>
      </c>
      <c r="G699" s="42">
        <v>99981</v>
      </c>
      <c r="H699" s="43"/>
      <c r="I699" s="42">
        <v>118</v>
      </c>
      <c r="J699" s="44">
        <v>4236.7</v>
      </c>
      <c r="K699" s="884"/>
      <c r="L699" s="880"/>
    </row>
    <row r="700" spans="1:12" ht="15" thickBot="1" x14ac:dyDescent="0.35">
      <c r="A700" s="178">
        <v>253</v>
      </c>
      <c r="B700" s="45">
        <v>9438.7999999999993</v>
      </c>
      <c r="C700" s="45" t="s">
        <v>4625</v>
      </c>
      <c r="D700" s="8">
        <f>+I700</f>
        <v>253</v>
      </c>
      <c r="E700" s="8">
        <f>+J700</f>
        <v>9026.2000000000007</v>
      </c>
      <c r="F700" s="45" t="s">
        <v>4626</v>
      </c>
      <c r="G700" s="45">
        <v>100031</v>
      </c>
      <c r="H700" s="14"/>
      <c r="I700" s="45">
        <v>253</v>
      </c>
      <c r="J700" s="46">
        <v>9026.2000000000007</v>
      </c>
      <c r="K700" s="54">
        <f t="shared" ref="K700" si="444">+A700-D700</f>
        <v>0</v>
      </c>
      <c r="L700" s="31">
        <f t="shared" ref="L700" si="445">((+B700/A700)-(E700/D700))/(B700/A700)</f>
        <v>4.3713183879306665E-2</v>
      </c>
    </row>
    <row r="701" spans="1:12" x14ac:dyDescent="0.3">
      <c r="A701" s="871">
        <v>300</v>
      </c>
      <c r="B701" s="873">
        <v>13531</v>
      </c>
      <c r="C701" s="873" t="s">
        <v>4627</v>
      </c>
      <c r="D701" s="873">
        <f>+I701+I702</f>
        <v>300</v>
      </c>
      <c r="E701" s="873">
        <f>+J701+J702</f>
        <v>13216.5</v>
      </c>
      <c r="F701" s="39" t="s">
        <v>4628</v>
      </c>
      <c r="G701" s="39">
        <v>100041</v>
      </c>
      <c r="H701" s="40"/>
      <c r="I701" s="39">
        <v>229</v>
      </c>
      <c r="J701" s="41">
        <v>10112.1</v>
      </c>
      <c r="K701" s="882">
        <f t="shared" ref="K701" si="446">+A701-D701</f>
        <v>0</v>
      </c>
      <c r="L701" s="879">
        <f t="shared" ref="L701" si="447">((+B701/A701)-(E701/D701))/(B701/A701)</f>
        <v>2.3242923656788088E-2</v>
      </c>
    </row>
    <row r="702" spans="1:12" ht="15" thickBot="1" x14ac:dyDescent="0.35">
      <c r="A702" s="875"/>
      <c r="B702" s="881"/>
      <c r="C702" s="881"/>
      <c r="D702" s="881"/>
      <c r="E702" s="881"/>
      <c r="F702" s="50" t="s">
        <v>4628</v>
      </c>
      <c r="G702" s="50">
        <v>100041</v>
      </c>
      <c r="I702" s="50">
        <v>71</v>
      </c>
      <c r="J702" s="51">
        <v>3104.4</v>
      </c>
      <c r="K702" s="884"/>
      <c r="L702" s="880"/>
    </row>
    <row r="703" spans="1:12" x14ac:dyDescent="0.3">
      <c r="A703" s="871">
        <v>250</v>
      </c>
      <c r="B703" s="873">
        <v>11548</v>
      </c>
      <c r="C703" s="873" t="s">
        <v>4629</v>
      </c>
      <c r="D703" s="873">
        <f>+I703+I704</f>
        <v>250</v>
      </c>
      <c r="E703" s="873">
        <f>+J703+J704</f>
        <v>11211.6</v>
      </c>
      <c r="F703" s="39" t="s">
        <v>4630</v>
      </c>
      <c r="G703" s="39">
        <v>100051</v>
      </c>
      <c r="H703" s="40"/>
      <c r="I703" s="39">
        <v>129</v>
      </c>
      <c r="J703" s="41">
        <v>5867.8</v>
      </c>
      <c r="K703" s="882">
        <f t="shared" ref="K703" si="448">+A703-D703</f>
        <v>0</v>
      </c>
      <c r="L703" s="879">
        <f t="shared" ref="L703" si="449">((+B703/A703)-(E703/D703))/(B703/A703)</f>
        <v>2.9130585382750204E-2</v>
      </c>
    </row>
    <row r="704" spans="1:12" ht="15" thickBot="1" x14ac:dyDescent="0.35">
      <c r="A704" s="872"/>
      <c r="B704" s="874"/>
      <c r="C704" s="874"/>
      <c r="D704" s="874"/>
      <c r="E704" s="874"/>
      <c r="F704" s="42" t="s">
        <v>4630</v>
      </c>
      <c r="G704" s="42">
        <v>100051</v>
      </c>
      <c r="H704" s="43"/>
      <c r="I704" s="42">
        <v>121</v>
      </c>
      <c r="J704" s="44">
        <v>5343.8</v>
      </c>
      <c r="K704" s="884"/>
      <c r="L704" s="880"/>
    </row>
    <row r="705" spans="1:12" ht="15" thickBot="1" x14ac:dyDescent="0.35">
      <c r="A705" s="178">
        <v>274</v>
      </c>
      <c r="B705" s="45">
        <v>9212.25</v>
      </c>
      <c r="C705" s="8" t="s">
        <v>4631</v>
      </c>
      <c r="D705" s="45">
        <f>+I705</f>
        <v>274</v>
      </c>
      <c r="E705" s="45">
        <f>+J705</f>
        <v>8940.7000000000007</v>
      </c>
      <c r="F705" s="45" t="s">
        <v>4632</v>
      </c>
      <c r="G705" s="45">
        <v>100091</v>
      </c>
      <c r="H705" s="14"/>
      <c r="I705" s="45">
        <v>274</v>
      </c>
      <c r="J705" s="46">
        <v>8940.7000000000007</v>
      </c>
      <c r="K705" s="54">
        <f t="shared" ref="K705:K706" si="450">+A705-D705</f>
        <v>0</v>
      </c>
      <c r="L705" s="31">
        <f t="shared" ref="L705:L706" si="451">((+B705/A705)-(E705/D705))/(B705/A705)</f>
        <v>2.9477055008276968E-2</v>
      </c>
    </row>
    <row r="706" spans="1:12" ht="15" thickBot="1" x14ac:dyDescent="0.35">
      <c r="A706" s="177">
        <v>193</v>
      </c>
      <c r="B706" s="39">
        <v>6524.5</v>
      </c>
      <c r="C706" s="12" t="s">
        <v>4633</v>
      </c>
      <c r="D706" s="39">
        <f>+I706</f>
        <v>193</v>
      </c>
      <c r="E706" s="39">
        <f>+J706</f>
        <v>6288.2</v>
      </c>
      <c r="F706" s="39" t="s">
        <v>4634</v>
      </c>
      <c r="G706" s="39">
        <v>100101</v>
      </c>
      <c r="H706" s="40"/>
      <c r="I706" s="39">
        <v>193</v>
      </c>
      <c r="J706" s="41">
        <v>6288.2</v>
      </c>
      <c r="K706" s="54">
        <f t="shared" si="450"/>
        <v>0</v>
      </c>
      <c r="L706" s="31">
        <f t="shared" si="451"/>
        <v>3.6217334661659953E-2</v>
      </c>
    </row>
    <row r="707" spans="1:12" x14ac:dyDescent="0.3">
      <c r="A707" s="871">
        <v>644</v>
      </c>
      <c r="B707" s="873">
        <v>29974</v>
      </c>
      <c r="C707" s="873" t="s">
        <v>4635</v>
      </c>
      <c r="D707" s="873">
        <f>+I707+I708</f>
        <v>646</v>
      </c>
      <c r="E707" s="873">
        <f>+J707+J708</f>
        <v>29206.400000000001</v>
      </c>
      <c r="F707" s="39" t="s">
        <v>4636</v>
      </c>
      <c r="G707" s="41">
        <v>100121</v>
      </c>
      <c r="H707" s="40"/>
      <c r="I707" s="39">
        <v>302</v>
      </c>
      <c r="J707" s="41">
        <v>13586.7</v>
      </c>
      <c r="K707" s="882">
        <f t="shared" ref="K707" si="452">+A707-D707</f>
        <v>-2</v>
      </c>
      <c r="L707" s="879">
        <f t="shared" ref="L707" si="453">((+B707/A707)-(E707/D707))/(B707/A707)</f>
        <v>2.8625551845655264E-2</v>
      </c>
    </row>
    <row r="708" spans="1:12" ht="15" thickBot="1" x14ac:dyDescent="0.35">
      <c r="A708" s="872"/>
      <c r="B708" s="874"/>
      <c r="C708" s="874"/>
      <c r="D708" s="874"/>
      <c r="E708" s="874"/>
      <c r="F708" s="42" t="s">
        <v>4636</v>
      </c>
      <c r="G708" s="44">
        <v>100121</v>
      </c>
      <c r="H708" s="43"/>
      <c r="I708" s="42">
        <v>344</v>
      </c>
      <c r="J708" s="44">
        <v>15619.7</v>
      </c>
      <c r="K708" s="884"/>
      <c r="L708" s="880"/>
    </row>
    <row r="709" spans="1:12" ht="15" thickBot="1" x14ac:dyDescent="0.35">
      <c r="A709" s="179">
        <v>531</v>
      </c>
      <c r="B709" s="42">
        <v>22550.9</v>
      </c>
      <c r="C709" s="10" t="s">
        <v>4637</v>
      </c>
      <c r="D709" s="42">
        <f>+I709</f>
        <v>531</v>
      </c>
      <c r="E709" s="42">
        <f>+J709</f>
        <v>21631</v>
      </c>
      <c r="F709" s="42" t="s">
        <v>4638</v>
      </c>
      <c r="G709" s="42">
        <v>100141</v>
      </c>
      <c r="H709" s="14"/>
      <c r="I709" s="45">
        <v>531</v>
      </c>
      <c r="J709" s="46">
        <v>21631</v>
      </c>
      <c r="K709" s="54">
        <f t="shared" ref="K709:K710" si="454">+A709-D709</f>
        <v>0</v>
      </c>
      <c r="L709" s="31">
        <f t="shared" ref="L709:L710" si="455">((+B709/A709)-(E709/D709))/(B709/A709)</f>
        <v>4.0792163505669388E-2</v>
      </c>
    </row>
    <row r="710" spans="1:12" ht="15" thickBot="1" x14ac:dyDescent="0.35">
      <c r="A710" s="50">
        <v>817</v>
      </c>
      <c r="B710" s="50">
        <v>27658.25</v>
      </c>
      <c r="C710" s="15" t="s">
        <v>4639</v>
      </c>
      <c r="D710" s="50">
        <v>817</v>
      </c>
      <c r="E710" s="50">
        <v>26861.7</v>
      </c>
      <c r="F710" s="50" t="s">
        <v>4640</v>
      </c>
      <c r="G710" s="50">
        <v>100151</v>
      </c>
      <c r="I710" s="50">
        <v>306</v>
      </c>
      <c r="J710" s="50">
        <v>10078.299999999999</v>
      </c>
      <c r="K710" s="54">
        <f t="shared" si="454"/>
        <v>0</v>
      </c>
      <c r="L710" s="31">
        <f t="shared" si="455"/>
        <v>2.8799725217611299E-2</v>
      </c>
    </row>
    <row r="711" spans="1:12" x14ac:dyDescent="0.3">
      <c r="A711" s="871">
        <v>360</v>
      </c>
      <c r="B711" s="873">
        <v>15570</v>
      </c>
      <c r="C711" s="873" t="s">
        <v>4641</v>
      </c>
      <c r="D711" s="873">
        <f>+I711+I712</f>
        <v>361</v>
      </c>
      <c r="E711" s="873">
        <f>+J711+J712</f>
        <v>14897.7</v>
      </c>
      <c r="F711" s="39" t="s">
        <v>4642</v>
      </c>
      <c r="G711" s="41">
        <v>100161</v>
      </c>
      <c r="H711" s="40"/>
      <c r="I711" s="39">
        <v>198</v>
      </c>
      <c r="J711" s="41">
        <v>7977.2</v>
      </c>
      <c r="K711" s="882">
        <f t="shared" ref="K711" si="456">+A711-D711</f>
        <v>-1</v>
      </c>
      <c r="L711" s="879">
        <f t="shared" ref="L711" si="457">((+B711/A711)-(E711/D711))/(B711/A711)</f>
        <v>4.5829663907258199E-2</v>
      </c>
    </row>
    <row r="712" spans="1:12" ht="15" thickBot="1" x14ac:dyDescent="0.35">
      <c r="A712" s="872"/>
      <c r="B712" s="874"/>
      <c r="C712" s="874"/>
      <c r="D712" s="874"/>
      <c r="E712" s="874"/>
      <c r="F712" s="42" t="s">
        <v>4642</v>
      </c>
      <c r="G712" s="44">
        <v>100161</v>
      </c>
      <c r="H712" s="43"/>
      <c r="I712" s="42">
        <v>163</v>
      </c>
      <c r="J712" s="44">
        <v>6920.5</v>
      </c>
      <c r="K712" s="884"/>
      <c r="L712" s="880"/>
    </row>
    <row r="713" spans="1:12" x14ac:dyDescent="0.3">
      <c r="A713" s="871">
        <v>983</v>
      </c>
      <c r="B713" s="873">
        <v>32721</v>
      </c>
      <c r="C713" s="873" t="s">
        <v>4707</v>
      </c>
      <c r="D713" s="873">
        <f>+I713+I714+I715</f>
        <v>983</v>
      </c>
      <c r="E713" s="873">
        <f>+J713+J714+J715</f>
        <v>32036.400000000005</v>
      </c>
      <c r="F713" s="39" t="s">
        <v>4708</v>
      </c>
      <c r="G713" s="39">
        <v>100231</v>
      </c>
      <c r="H713" s="40"/>
      <c r="I713" s="39">
        <v>119</v>
      </c>
      <c r="J713" s="41">
        <v>3864.9</v>
      </c>
      <c r="K713" s="882">
        <f t="shared" ref="K713" si="458">+A713-D713</f>
        <v>0</v>
      </c>
      <c r="L713" s="879">
        <f t="shared" ref="L713" si="459">((+B713/A713)-(E713/D713))/(B713/A713)</f>
        <v>2.0922343449160982E-2</v>
      </c>
    </row>
    <row r="714" spans="1:12" x14ac:dyDescent="0.3">
      <c r="A714" s="875"/>
      <c r="B714" s="881"/>
      <c r="C714" s="881"/>
      <c r="D714" s="881"/>
      <c r="E714" s="881"/>
      <c r="F714" s="50" t="s">
        <v>4708</v>
      </c>
      <c r="G714" s="50">
        <v>100231</v>
      </c>
      <c r="I714" s="50">
        <v>700</v>
      </c>
      <c r="J714" s="51">
        <v>22832.300000000003</v>
      </c>
      <c r="K714" s="883"/>
      <c r="L714" s="885"/>
    </row>
    <row r="715" spans="1:12" ht="15" thickBot="1" x14ac:dyDescent="0.35">
      <c r="A715" s="872"/>
      <c r="B715" s="874"/>
      <c r="C715" s="874"/>
      <c r="D715" s="874"/>
      <c r="E715" s="874"/>
      <c r="F715" s="42" t="s">
        <v>4708</v>
      </c>
      <c r="G715" s="42">
        <v>100231</v>
      </c>
      <c r="H715" s="43"/>
      <c r="I715" s="42">
        <v>164</v>
      </c>
      <c r="J715" s="44">
        <v>5339.2</v>
      </c>
      <c r="K715" s="884"/>
      <c r="L715" s="880"/>
    </row>
    <row r="716" spans="1:12" ht="15" thickBot="1" x14ac:dyDescent="0.35">
      <c r="A716" s="179">
        <v>222</v>
      </c>
      <c r="B716" s="42">
        <v>10222</v>
      </c>
      <c r="C716" s="10" t="s">
        <v>4709</v>
      </c>
      <c r="D716" s="42">
        <f>+I716</f>
        <v>222</v>
      </c>
      <c r="E716" s="42">
        <f>+J716</f>
        <v>9979.1</v>
      </c>
      <c r="F716" s="42" t="s">
        <v>4710</v>
      </c>
      <c r="G716" s="42">
        <v>100241</v>
      </c>
      <c r="H716" s="43"/>
      <c r="I716" s="42">
        <v>222</v>
      </c>
      <c r="J716" s="44">
        <v>9979.1</v>
      </c>
      <c r="K716" s="54">
        <f t="shared" ref="K716:K718" si="460">+A716-D716</f>
        <v>0</v>
      </c>
      <c r="L716" s="31">
        <f t="shared" ref="L716:L718" si="461">((+B716/A716)-(E716/D716))/(B716/A716)</f>
        <v>2.3762473097241121E-2</v>
      </c>
    </row>
    <row r="717" spans="1:12" ht="15" thickBot="1" x14ac:dyDescent="0.35">
      <c r="A717" s="212">
        <v>228</v>
      </c>
      <c r="B717" s="50">
        <v>11176.75</v>
      </c>
      <c r="C717" s="15" t="s">
        <v>4711</v>
      </c>
      <c r="D717" s="42">
        <f>+I717</f>
        <v>228</v>
      </c>
      <c r="E717" s="42">
        <f>+J717</f>
        <v>10806.1</v>
      </c>
      <c r="F717" s="50" t="s">
        <v>4712</v>
      </c>
      <c r="G717" s="50">
        <v>100281</v>
      </c>
      <c r="I717" s="50">
        <v>228</v>
      </c>
      <c r="J717" s="51">
        <v>10806.1</v>
      </c>
      <c r="K717" s="54">
        <f t="shared" si="460"/>
        <v>0</v>
      </c>
      <c r="L717" s="31">
        <f t="shared" si="461"/>
        <v>3.3162591987831828E-2</v>
      </c>
    </row>
    <row r="718" spans="1:12" x14ac:dyDescent="0.3">
      <c r="A718" s="871">
        <v>600</v>
      </c>
      <c r="B718" s="873">
        <v>21577.5</v>
      </c>
      <c r="C718" s="873" t="s">
        <v>4713</v>
      </c>
      <c r="D718" s="873">
        <f>+I718+I719</f>
        <v>600</v>
      </c>
      <c r="E718" s="873">
        <f>+J718+J719</f>
        <v>20824.8</v>
      </c>
      <c r="F718" s="39" t="s">
        <v>4714</v>
      </c>
      <c r="G718" s="39">
        <v>100291</v>
      </c>
      <c r="H718" s="40"/>
      <c r="I718" s="39">
        <v>400</v>
      </c>
      <c r="J718" s="41">
        <v>13929.8</v>
      </c>
      <c r="K718" s="882">
        <f t="shared" si="460"/>
        <v>0</v>
      </c>
      <c r="L718" s="879">
        <f t="shared" si="461"/>
        <v>3.4883559263121311E-2</v>
      </c>
    </row>
    <row r="719" spans="1:12" ht="15" thickBot="1" x14ac:dyDescent="0.35">
      <c r="A719" s="872"/>
      <c r="B719" s="874"/>
      <c r="C719" s="874"/>
      <c r="D719" s="874"/>
      <c r="E719" s="874"/>
      <c r="F719" s="42" t="s">
        <v>4714</v>
      </c>
      <c r="G719" s="42">
        <v>100291</v>
      </c>
      <c r="H719" s="43"/>
      <c r="I719" s="42">
        <v>200</v>
      </c>
      <c r="J719" s="44">
        <v>6895</v>
      </c>
      <c r="K719" s="884"/>
      <c r="L719" s="880"/>
    </row>
    <row r="720" spans="1:12" ht="15" thickBot="1" x14ac:dyDescent="0.35">
      <c r="A720" s="177">
        <v>934</v>
      </c>
      <c r="B720" s="39">
        <v>44316.5</v>
      </c>
      <c r="C720" s="39" t="s">
        <v>4715</v>
      </c>
      <c r="D720" s="45">
        <f>+I720</f>
        <v>934</v>
      </c>
      <c r="E720" s="45">
        <f>+J720</f>
        <v>42952.299999999996</v>
      </c>
      <c r="F720" s="39" t="s">
        <v>4716</v>
      </c>
      <c r="G720" s="39">
        <v>100301</v>
      </c>
      <c r="H720" s="40"/>
      <c r="I720" s="39">
        <v>934</v>
      </c>
      <c r="J720" s="41">
        <v>42952.299999999996</v>
      </c>
      <c r="K720" s="54">
        <f t="shared" ref="K720:K721" si="462">+A720-D720</f>
        <v>0</v>
      </c>
      <c r="L720" s="31">
        <f t="shared" ref="L720:L721" si="463">((+B720/A720)-(E720/D720))/(B720/A720)</f>
        <v>3.0783116897769486E-2</v>
      </c>
    </row>
    <row r="721" spans="1:12" ht="15" thickBot="1" x14ac:dyDescent="0.35">
      <c r="A721" s="178">
        <v>977</v>
      </c>
      <c r="B721" s="45">
        <v>40826.5</v>
      </c>
      <c r="C721" s="45" t="s">
        <v>4717</v>
      </c>
      <c r="D721" s="45">
        <v>972</v>
      </c>
      <c r="E721" s="45">
        <v>39912.5</v>
      </c>
      <c r="F721" s="45" t="s">
        <v>4718</v>
      </c>
      <c r="G721" s="45">
        <v>100321</v>
      </c>
      <c r="H721" s="14"/>
      <c r="I721" s="45">
        <v>480</v>
      </c>
      <c r="J721" s="46">
        <v>19994.599999999999</v>
      </c>
      <c r="K721" s="54">
        <f t="shared" si="462"/>
        <v>5</v>
      </c>
      <c r="L721" s="31">
        <f t="shared" si="463"/>
        <v>1.7358548638953381E-2</v>
      </c>
    </row>
    <row r="722" spans="1:12" ht="15" thickBot="1" x14ac:dyDescent="0.35">
      <c r="A722" s="178">
        <v>819</v>
      </c>
      <c r="B722" s="45">
        <v>27678.25</v>
      </c>
      <c r="C722" s="45" t="s">
        <v>4785</v>
      </c>
      <c r="D722" s="45">
        <f t="shared" ref="D722:E725" si="464">+I722</f>
        <v>819</v>
      </c>
      <c r="E722" s="45">
        <f t="shared" si="464"/>
        <v>26833.9</v>
      </c>
      <c r="F722" s="45" t="s">
        <v>4786</v>
      </c>
      <c r="G722" s="45">
        <v>100331</v>
      </c>
      <c r="H722" s="14"/>
      <c r="I722" s="45">
        <v>819</v>
      </c>
      <c r="J722" s="46">
        <v>26833.9</v>
      </c>
      <c r="K722" s="54">
        <f t="shared" ref="K722:K726" si="465">+A722-D722</f>
        <v>0</v>
      </c>
      <c r="L722" s="31">
        <f t="shared" ref="L722:L726" si="466">((+B722/A722)-(E722/D722))/(B722/A722)</f>
        <v>3.0505902649192181E-2</v>
      </c>
    </row>
    <row r="723" spans="1:12" ht="15" thickBot="1" x14ac:dyDescent="0.35">
      <c r="A723" s="178">
        <v>316</v>
      </c>
      <c r="B723" s="45">
        <v>10623.25</v>
      </c>
      <c r="C723" s="45" t="s">
        <v>4787</v>
      </c>
      <c r="D723" s="45">
        <f t="shared" si="464"/>
        <v>316</v>
      </c>
      <c r="E723" s="45">
        <f t="shared" si="464"/>
        <v>10296.200000000001</v>
      </c>
      <c r="F723" s="45" t="s">
        <v>4788</v>
      </c>
      <c r="G723" s="45">
        <v>100341</v>
      </c>
      <c r="H723" s="14"/>
      <c r="I723" s="45">
        <v>316</v>
      </c>
      <c r="J723" s="46">
        <v>10296.200000000001</v>
      </c>
      <c r="K723" s="54">
        <f t="shared" si="465"/>
        <v>0</v>
      </c>
      <c r="L723" s="31">
        <f t="shared" si="466"/>
        <v>3.0786247146588733E-2</v>
      </c>
    </row>
    <row r="724" spans="1:12" ht="15" thickBot="1" x14ac:dyDescent="0.35">
      <c r="A724" s="178">
        <v>366</v>
      </c>
      <c r="B724" s="45">
        <v>13854.1</v>
      </c>
      <c r="C724" s="45" t="s">
        <v>4789</v>
      </c>
      <c r="D724" s="45">
        <f t="shared" si="464"/>
        <v>366</v>
      </c>
      <c r="E724" s="45">
        <f t="shared" si="464"/>
        <v>13321.999999999998</v>
      </c>
      <c r="F724" s="45" t="s">
        <v>4790</v>
      </c>
      <c r="G724" s="45">
        <v>100391</v>
      </c>
      <c r="H724" s="14"/>
      <c r="I724" s="45">
        <v>366</v>
      </c>
      <c r="J724" s="46">
        <v>13321.999999999998</v>
      </c>
      <c r="K724" s="54">
        <f t="shared" si="465"/>
        <v>0</v>
      </c>
      <c r="L724" s="31">
        <f t="shared" si="466"/>
        <v>3.8407402862690551E-2</v>
      </c>
    </row>
    <row r="725" spans="1:12" ht="15" thickBot="1" x14ac:dyDescent="0.35">
      <c r="A725" s="212">
        <v>180</v>
      </c>
      <c r="B725" s="50">
        <v>6152.5</v>
      </c>
      <c r="C725" s="50" t="s">
        <v>4791</v>
      </c>
      <c r="D725" s="39">
        <f t="shared" si="464"/>
        <v>180</v>
      </c>
      <c r="E725" s="39">
        <f t="shared" si="464"/>
        <v>5953.0000000000009</v>
      </c>
      <c r="F725" s="50" t="s">
        <v>4790</v>
      </c>
      <c r="G725" s="50">
        <v>100391</v>
      </c>
      <c r="I725" s="50">
        <v>180</v>
      </c>
      <c r="J725" s="51">
        <v>5953.0000000000009</v>
      </c>
      <c r="K725" s="54">
        <f t="shared" si="465"/>
        <v>0</v>
      </c>
      <c r="L725" s="31">
        <f t="shared" si="466"/>
        <v>3.2425843153189582E-2</v>
      </c>
    </row>
    <row r="726" spans="1:12" x14ac:dyDescent="0.3">
      <c r="A726" s="871">
        <v>750</v>
      </c>
      <c r="B726" s="873">
        <v>31816</v>
      </c>
      <c r="C726" s="873" t="s">
        <v>4792</v>
      </c>
      <c r="D726" s="873">
        <v>750</v>
      </c>
      <c r="E726" s="873">
        <v>31081.5</v>
      </c>
      <c r="F726" s="39" t="s">
        <v>4793</v>
      </c>
      <c r="G726" s="39">
        <v>100421</v>
      </c>
      <c r="H726" s="40"/>
      <c r="I726" s="39">
        <v>300</v>
      </c>
      <c r="J726" s="41">
        <v>12291.8</v>
      </c>
      <c r="K726" s="882">
        <f t="shared" si="465"/>
        <v>0</v>
      </c>
      <c r="L726" s="879">
        <f t="shared" si="466"/>
        <v>2.3085868745285464E-2</v>
      </c>
    </row>
    <row r="727" spans="1:12" ht="15" thickBot="1" x14ac:dyDescent="0.35">
      <c r="A727" s="872"/>
      <c r="B727" s="874"/>
      <c r="C727" s="874"/>
      <c r="D727" s="874"/>
      <c r="E727" s="874"/>
      <c r="F727" s="42" t="s">
        <v>4793</v>
      </c>
      <c r="G727" s="42">
        <v>100421</v>
      </c>
      <c r="H727" s="43"/>
      <c r="I727" s="42">
        <v>200</v>
      </c>
      <c r="J727" s="44">
        <v>8340.1</v>
      </c>
      <c r="K727" s="884"/>
      <c r="L727" s="880"/>
    </row>
    <row r="728" spans="1:12" x14ac:dyDescent="0.3">
      <c r="A728" s="875">
        <v>1366</v>
      </c>
      <c r="B728" s="881">
        <v>58673.75</v>
      </c>
      <c r="C728" s="881" t="s">
        <v>4794</v>
      </c>
      <c r="D728" s="881">
        <f>+I728+I729</f>
        <v>1365</v>
      </c>
      <c r="E728" s="881">
        <f>+J728+J729</f>
        <v>56620.4</v>
      </c>
      <c r="F728" s="50" t="s">
        <v>4795</v>
      </c>
      <c r="G728" s="50">
        <v>100441</v>
      </c>
      <c r="I728" s="50">
        <v>1084</v>
      </c>
      <c r="J728" s="51">
        <v>45065.8</v>
      </c>
      <c r="K728" s="882">
        <f t="shared" ref="K728" si="467">+A728-D728</f>
        <v>1</v>
      </c>
      <c r="L728" s="879">
        <f t="shared" ref="L728" si="468">((+B728/A728)-(E728/D728))/(B728/A728)</f>
        <v>3.4289096120153531E-2</v>
      </c>
    </row>
    <row r="729" spans="1:12" ht="15" thickBot="1" x14ac:dyDescent="0.35">
      <c r="A729" s="872"/>
      <c r="B729" s="874"/>
      <c r="C729" s="874"/>
      <c r="D729" s="874"/>
      <c r="E729" s="874"/>
      <c r="F729" s="42" t="s">
        <v>4795</v>
      </c>
      <c r="G729" s="42">
        <v>100441</v>
      </c>
      <c r="H729" s="43"/>
      <c r="I729" s="42">
        <v>281</v>
      </c>
      <c r="J729" s="44">
        <v>11554.6</v>
      </c>
      <c r="K729" s="884"/>
      <c r="L729" s="880"/>
    </row>
    <row r="730" spans="1:12" ht="15" thickBot="1" x14ac:dyDescent="0.35">
      <c r="A730" s="178">
        <v>660</v>
      </c>
      <c r="B730" s="45">
        <v>26588.9</v>
      </c>
      <c r="C730" s="45" t="s">
        <v>4796</v>
      </c>
      <c r="D730" s="45">
        <f t="shared" ref="D730:E731" si="469">+I730</f>
        <v>660</v>
      </c>
      <c r="E730" s="45">
        <f t="shared" si="469"/>
        <v>25310.299999999996</v>
      </c>
      <c r="F730" s="45" t="s">
        <v>4797</v>
      </c>
      <c r="G730" s="45">
        <v>100501</v>
      </c>
      <c r="H730" s="14"/>
      <c r="I730" s="45">
        <v>660</v>
      </c>
      <c r="J730" s="46">
        <v>25310.299999999996</v>
      </c>
      <c r="K730" s="54">
        <f t="shared" ref="K730:K733" si="470">+A730-D730</f>
        <v>0</v>
      </c>
      <c r="L730" s="31">
        <f t="shared" ref="L730:L733" si="471">((+B730/A730)-(E730/D730))/(B730/A730)</f>
        <v>4.8087735859701032E-2</v>
      </c>
    </row>
    <row r="731" spans="1:12" ht="15" thickBot="1" x14ac:dyDescent="0.35">
      <c r="A731" s="177">
        <v>319</v>
      </c>
      <c r="B731" s="39">
        <v>15267.5</v>
      </c>
      <c r="C731" s="39" t="s">
        <v>4854</v>
      </c>
      <c r="D731" s="39">
        <f t="shared" si="469"/>
        <v>319</v>
      </c>
      <c r="E731" s="39">
        <f t="shared" si="469"/>
        <v>14545.1</v>
      </c>
      <c r="F731" s="39" t="s">
        <v>4853</v>
      </c>
      <c r="G731" s="39">
        <v>100521</v>
      </c>
      <c r="H731" s="40"/>
      <c r="I731" s="39">
        <v>319</v>
      </c>
      <c r="J731" s="41">
        <v>14545.1</v>
      </c>
      <c r="K731" s="54">
        <f t="shared" ref="K731" si="472">+A731-D731</f>
        <v>0</v>
      </c>
      <c r="L731" s="31">
        <f t="shared" ref="L731" si="473">((+B731/A731)-(E731/D731))/(B731/A731)</f>
        <v>4.7316194530866128E-2</v>
      </c>
    </row>
    <row r="732" spans="1:12" ht="15" thickBot="1" x14ac:dyDescent="0.35">
      <c r="A732" s="178">
        <v>1138</v>
      </c>
      <c r="B732" s="45">
        <v>49312.1</v>
      </c>
      <c r="C732" s="45" t="s">
        <v>4798</v>
      </c>
      <c r="D732" s="45">
        <f>+I732+538</f>
        <v>1138</v>
      </c>
      <c r="E732" s="45">
        <f>+J732+22524.4</f>
        <v>47453</v>
      </c>
      <c r="F732" s="45" t="s">
        <v>4799</v>
      </c>
      <c r="G732" s="45">
        <v>100541</v>
      </c>
      <c r="H732" s="14"/>
      <c r="I732" s="45">
        <v>600</v>
      </c>
      <c r="J732" s="46">
        <v>24928.600000000002</v>
      </c>
      <c r="K732" s="54">
        <f t="shared" si="470"/>
        <v>0</v>
      </c>
      <c r="L732" s="31">
        <f t="shared" si="471"/>
        <v>3.7700686038517998E-2</v>
      </c>
    </row>
    <row r="733" spans="1:12" x14ac:dyDescent="0.3">
      <c r="A733" s="871">
        <v>1715</v>
      </c>
      <c r="B733" s="873">
        <v>69028.399999999994</v>
      </c>
      <c r="C733" s="873" t="s">
        <v>4855</v>
      </c>
      <c r="D733" s="873">
        <f>+I733+I734</f>
        <v>1710</v>
      </c>
      <c r="E733" s="873">
        <f>+J733+J734</f>
        <v>65096.800000000003</v>
      </c>
      <c r="F733" s="39" t="s">
        <v>4856</v>
      </c>
      <c r="G733" s="39">
        <v>100581</v>
      </c>
      <c r="H733" s="40"/>
      <c r="I733" s="39">
        <v>1098</v>
      </c>
      <c r="J733" s="41">
        <v>41783.500000000007</v>
      </c>
      <c r="K733" s="882">
        <f t="shared" si="470"/>
        <v>5</v>
      </c>
      <c r="L733" s="879">
        <f t="shared" si="471"/>
        <v>5.4198829460513992E-2</v>
      </c>
    </row>
    <row r="734" spans="1:12" ht="15" thickBot="1" x14ac:dyDescent="0.35">
      <c r="A734" s="872"/>
      <c r="B734" s="874"/>
      <c r="C734" s="874"/>
      <c r="D734" s="874"/>
      <c r="E734" s="874"/>
      <c r="F734" s="42" t="s">
        <v>4856</v>
      </c>
      <c r="G734" s="42">
        <v>100582</v>
      </c>
      <c r="H734" s="43"/>
      <c r="I734" s="42">
        <v>612</v>
      </c>
      <c r="J734" s="44">
        <v>23313.3</v>
      </c>
      <c r="K734" s="884"/>
      <c r="L734" s="880"/>
    </row>
    <row r="735" spans="1:12" x14ac:dyDescent="0.3">
      <c r="A735" s="871">
        <v>1126</v>
      </c>
      <c r="B735" s="873">
        <v>42386.25</v>
      </c>
      <c r="C735" s="873" t="s">
        <v>4857</v>
      </c>
      <c r="D735" s="873">
        <f>+I735+I736</f>
        <v>1106</v>
      </c>
      <c r="E735" s="873">
        <f>+J735+J736</f>
        <v>40002</v>
      </c>
      <c r="F735" s="39" t="s">
        <v>4858</v>
      </c>
      <c r="G735" s="39">
        <v>100591</v>
      </c>
      <c r="H735" s="40"/>
      <c r="I735" s="39">
        <v>998</v>
      </c>
      <c r="J735" s="41">
        <v>36490.800000000003</v>
      </c>
      <c r="K735" s="882">
        <f t="shared" ref="K735" si="474">+A735-D735</f>
        <v>20</v>
      </c>
      <c r="L735" s="879">
        <f t="shared" ref="L735" si="475">((+B735/A735)-(E735/D735))/(B735/A735)</f>
        <v>3.9184559333013229E-2</v>
      </c>
    </row>
    <row r="736" spans="1:12" ht="15" thickBot="1" x14ac:dyDescent="0.35">
      <c r="A736" s="872"/>
      <c r="B736" s="874"/>
      <c r="C736" s="874"/>
      <c r="D736" s="881"/>
      <c r="E736" s="881"/>
      <c r="F736" s="50" t="s">
        <v>4858</v>
      </c>
      <c r="G736" s="50">
        <v>100591</v>
      </c>
      <c r="I736" s="50">
        <v>108</v>
      </c>
      <c r="J736" s="51">
        <v>3511.2</v>
      </c>
      <c r="K736" s="884"/>
      <c r="L736" s="880"/>
    </row>
    <row r="737" spans="1:12" x14ac:dyDescent="0.3">
      <c r="A737" s="871">
        <v>1320</v>
      </c>
      <c r="B737" s="873">
        <v>54568.3</v>
      </c>
      <c r="C737" s="873" t="s">
        <v>4859</v>
      </c>
      <c r="D737" s="873">
        <v>1320</v>
      </c>
      <c r="E737" s="873">
        <v>52129.8</v>
      </c>
      <c r="F737" s="39" t="s">
        <v>4860</v>
      </c>
      <c r="G737" s="39">
        <v>100611</v>
      </c>
      <c r="H737" s="40"/>
      <c r="I737" s="39">
        <v>220</v>
      </c>
      <c r="J737" s="41">
        <v>8484</v>
      </c>
      <c r="K737" s="882">
        <f t="shared" ref="K737" si="476">+A737-D737</f>
        <v>0</v>
      </c>
      <c r="L737" s="879">
        <f t="shared" ref="L737" si="477">((+B737/A737)-(E737/D737))/(B737/A737)</f>
        <v>4.4687116879213847E-2</v>
      </c>
    </row>
    <row r="738" spans="1:12" x14ac:dyDescent="0.3">
      <c r="A738" s="875"/>
      <c r="B738" s="881"/>
      <c r="C738" s="881"/>
      <c r="D738" s="881"/>
      <c r="E738" s="881"/>
      <c r="F738" s="50" t="s">
        <v>4860</v>
      </c>
      <c r="G738" s="50">
        <v>100611</v>
      </c>
      <c r="I738" s="50">
        <v>800</v>
      </c>
      <c r="J738" s="51">
        <v>32014.300000000003</v>
      </c>
      <c r="K738" s="883"/>
      <c r="L738" s="885"/>
    </row>
    <row r="739" spans="1:12" ht="15" thickBot="1" x14ac:dyDescent="0.35">
      <c r="A739" s="872"/>
      <c r="B739" s="874"/>
      <c r="C739" s="874"/>
      <c r="D739" s="874"/>
      <c r="E739" s="874"/>
      <c r="F739" s="42" t="s">
        <v>4860</v>
      </c>
      <c r="G739" s="42">
        <v>100611</v>
      </c>
      <c r="H739" s="43"/>
      <c r="I739" s="42">
        <v>200</v>
      </c>
      <c r="J739" s="44">
        <v>7795.4</v>
      </c>
      <c r="K739" s="884"/>
      <c r="L739" s="880"/>
    </row>
    <row r="740" spans="1:12" x14ac:dyDescent="0.3">
      <c r="A740" s="871">
        <v>1069</v>
      </c>
      <c r="B740" s="873">
        <v>42015.5</v>
      </c>
      <c r="C740" s="873" t="s">
        <v>4885</v>
      </c>
      <c r="D740" s="873">
        <f>+I740+I741</f>
        <v>1069</v>
      </c>
      <c r="E740" s="873">
        <f>+J740+J741</f>
        <v>40251.799999999996</v>
      </c>
      <c r="F740" s="12" t="s">
        <v>4886</v>
      </c>
      <c r="G740" s="12">
        <v>100641</v>
      </c>
      <c r="H740" s="38"/>
      <c r="I740" s="12">
        <v>879</v>
      </c>
      <c r="J740" s="13">
        <v>34052.199999999997</v>
      </c>
      <c r="K740" s="882">
        <f t="shared" ref="K740" si="478">+A740-D740</f>
        <v>0</v>
      </c>
      <c r="L740" s="879">
        <f t="shared" ref="L740" si="479">((+B740/A740)-(E740/D740))/(B740/A740)</f>
        <v>4.1977365496067058E-2</v>
      </c>
    </row>
    <row r="741" spans="1:12" ht="15" thickBot="1" x14ac:dyDescent="0.35">
      <c r="A741" s="872"/>
      <c r="B741" s="874"/>
      <c r="C741" s="874"/>
      <c r="D741" s="874"/>
      <c r="E741" s="874"/>
      <c r="F741" s="10" t="s">
        <v>4886</v>
      </c>
      <c r="G741" s="10">
        <v>100641</v>
      </c>
      <c r="H741" s="82"/>
      <c r="I741" s="10">
        <v>190</v>
      </c>
      <c r="J741" s="11">
        <v>6199.6</v>
      </c>
      <c r="K741" s="884"/>
      <c r="L741" s="880"/>
    </row>
    <row r="742" spans="1:12" ht="15" thickBot="1" x14ac:dyDescent="0.35">
      <c r="A742" s="181">
        <v>1500</v>
      </c>
      <c r="B742" s="15">
        <v>52797.25</v>
      </c>
      <c r="C742" s="15" t="s">
        <v>4887</v>
      </c>
      <c r="D742" s="39">
        <f t="shared" ref="D742:E742" si="480">+I742</f>
        <v>1500</v>
      </c>
      <c r="E742" s="39">
        <f t="shared" si="480"/>
        <v>51503.5</v>
      </c>
      <c r="F742" s="39" t="s">
        <v>4888</v>
      </c>
      <c r="G742" s="39">
        <v>100651</v>
      </c>
      <c r="H742" s="40"/>
      <c r="I742" s="39">
        <v>1500</v>
      </c>
      <c r="J742" s="41">
        <v>51503.5</v>
      </c>
      <c r="K742" s="54">
        <f t="shared" ref="K742" si="481">+A742-D742</f>
        <v>0</v>
      </c>
      <c r="L742" s="31">
        <f t="shared" ref="L742" si="482">((+B742/A742)-(E742/D742))/(B742/A742)</f>
        <v>2.4504117165193184E-2</v>
      </c>
    </row>
    <row r="743" spans="1:12" x14ac:dyDescent="0.3">
      <c r="A743" s="871">
        <v>596</v>
      </c>
      <c r="B743" s="873">
        <v>27531.75</v>
      </c>
      <c r="C743" s="873" t="s">
        <v>4889</v>
      </c>
      <c r="D743" s="873">
        <f>+I743+I744</f>
        <v>596</v>
      </c>
      <c r="E743" s="873">
        <f>+J743+J744</f>
        <v>26705.8</v>
      </c>
      <c r="F743" s="39" t="s">
        <v>4890</v>
      </c>
      <c r="G743" s="39">
        <v>100671</v>
      </c>
      <c r="H743" s="40"/>
      <c r="I743" s="39">
        <v>96</v>
      </c>
      <c r="J743" s="41">
        <v>4357.7</v>
      </c>
      <c r="K743" s="882">
        <f t="shared" ref="K743" si="483">+A743-D743</f>
        <v>0</v>
      </c>
      <c r="L743" s="879">
        <f t="shared" ref="L743" si="484">((+B743/A743)-(E743/D743))/(B743/A743)</f>
        <v>2.9999909195746851E-2</v>
      </c>
    </row>
    <row r="744" spans="1:12" ht="15" thickBot="1" x14ac:dyDescent="0.35">
      <c r="A744" s="872"/>
      <c r="B744" s="874"/>
      <c r="C744" s="874"/>
      <c r="D744" s="874"/>
      <c r="E744" s="874"/>
      <c r="F744" s="42" t="s">
        <v>4890</v>
      </c>
      <c r="G744" s="42">
        <v>100671</v>
      </c>
      <c r="H744" s="43"/>
      <c r="I744" s="42">
        <v>500</v>
      </c>
      <c r="J744" s="44">
        <v>22348.1</v>
      </c>
      <c r="K744" s="884"/>
      <c r="L744" s="880"/>
    </row>
    <row r="745" spans="1:12" x14ac:dyDescent="0.3">
      <c r="A745" s="875">
        <v>212</v>
      </c>
      <c r="B745" s="881">
        <v>9240.5</v>
      </c>
      <c r="C745" s="881" t="s">
        <v>4891</v>
      </c>
      <c r="D745" s="881">
        <f>+I745+I746</f>
        <v>212</v>
      </c>
      <c r="E745" s="881">
        <f>+J745+J746</f>
        <v>8975.1</v>
      </c>
      <c r="F745" s="15" t="s">
        <v>4892</v>
      </c>
      <c r="G745" s="15">
        <v>100691</v>
      </c>
      <c r="H745" s="81"/>
      <c r="I745" s="15">
        <v>157</v>
      </c>
      <c r="J745" s="16">
        <v>6612.2</v>
      </c>
      <c r="K745" s="882">
        <f t="shared" ref="K745" si="485">+A745-D745</f>
        <v>0</v>
      </c>
      <c r="L745" s="879">
        <f t="shared" ref="L745" si="486">((+B745/A745)-(E745/D745))/(B745/A745)</f>
        <v>2.8721389535198292E-2</v>
      </c>
    </row>
    <row r="746" spans="1:12" ht="15" thickBot="1" x14ac:dyDescent="0.35">
      <c r="A746" s="872"/>
      <c r="B746" s="874"/>
      <c r="C746" s="874"/>
      <c r="D746" s="874"/>
      <c r="E746" s="874"/>
      <c r="F746" s="10" t="s">
        <v>4892</v>
      </c>
      <c r="G746" s="10">
        <v>100691</v>
      </c>
      <c r="H746" s="82"/>
      <c r="I746" s="10">
        <v>55</v>
      </c>
      <c r="J746" s="11">
        <v>2362.9</v>
      </c>
      <c r="K746" s="884"/>
      <c r="L746" s="880"/>
    </row>
    <row r="747" spans="1:12" ht="15" thickBot="1" x14ac:dyDescent="0.35">
      <c r="A747" s="212">
        <v>220</v>
      </c>
      <c r="B747" s="50">
        <v>9040</v>
      </c>
      <c r="C747" s="50" t="s">
        <v>4893</v>
      </c>
      <c r="D747" s="50">
        <f t="shared" ref="D747:E747" si="487">+I747</f>
        <v>220</v>
      </c>
      <c r="E747" s="50">
        <f t="shared" si="487"/>
        <v>8690.2000000000007</v>
      </c>
      <c r="F747" s="50" t="s">
        <v>4894</v>
      </c>
      <c r="G747" s="50">
        <v>100741</v>
      </c>
      <c r="I747" s="50">
        <v>220</v>
      </c>
      <c r="J747" s="51">
        <v>8690.2000000000007</v>
      </c>
      <c r="K747" s="54">
        <f t="shared" ref="K747" si="488">+A747-D747</f>
        <v>0</v>
      </c>
      <c r="L747" s="31">
        <f t="shared" ref="L747" si="489">((+B747/A747)-(E747/D747))/(B747/A747)</f>
        <v>3.8694690265486636E-2</v>
      </c>
    </row>
    <row r="748" spans="1:12" x14ac:dyDescent="0.3">
      <c r="A748" s="871">
        <v>863</v>
      </c>
      <c r="B748" s="873">
        <v>34604.699999999997</v>
      </c>
      <c r="C748" s="873" t="s">
        <v>4895</v>
      </c>
      <c r="D748" s="873">
        <f>+I748+I749+I750</f>
        <v>863</v>
      </c>
      <c r="E748" s="873">
        <f>+J748+J749+J750</f>
        <v>32907</v>
      </c>
      <c r="F748" s="39" t="s">
        <v>4896</v>
      </c>
      <c r="G748" s="39">
        <v>100761</v>
      </c>
      <c r="H748" s="40"/>
      <c r="I748" s="39">
        <v>107</v>
      </c>
      <c r="J748" s="41">
        <v>4029.8</v>
      </c>
      <c r="K748" s="882">
        <f t="shared" ref="K748" si="490">+A748-D748</f>
        <v>0</v>
      </c>
      <c r="L748" s="879">
        <f t="shared" ref="L748" si="491">((+B748/A748)-(E748/D748))/(B748/A748)</f>
        <v>4.9059809794623238E-2</v>
      </c>
    </row>
    <row r="749" spans="1:12" x14ac:dyDescent="0.3">
      <c r="A749" s="875"/>
      <c r="B749" s="881"/>
      <c r="C749" s="881"/>
      <c r="D749" s="881"/>
      <c r="E749" s="881"/>
      <c r="F749" s="50" t="s">
        <v>4896</v>
      </c>
      <c r="G749" s="50">
        <v>100761</v>
      </c>
      <c r="I749" s="50">
        <v>704</v>
      </c>
      <c r="J749" s="51">
        <v>26892.100000000002</v>
      </c>
      <c r="K749" s="883"/>
      <c r="L749" s="885"/>
    </row>
    <row r="750" spans="1:12" ht="15" thickBot="1" x14ac:dyDescent="0.35">
      <c r="A750" s="872"/>
      <c r="B750" s="874"/>
      <c r="C750" s="881"/>
      <c r="D750" s="881"/>
      <c r="E750" s="881"/>
      <c r="F750" s="50" t="s">
        <v>4896</v>
      </c>
      <c r="G750" s="50">
        <v>100761</v>
      </c>
      <c r="I750" s="50">
        <v>52</v>
      </c>
      <c r="J750" s="51">
        <v>1985.1</v>
      </c>
      <c r="K750" s="884"/>
      <c r="L750" s="880"/>
    </row>
    <row r="751" spans="1:12" x14ac:dyDescent="0.3">
      <c r="A751" s="871">
        <v>2043</v>
      </c>
      <c r="B751" s="873">
        <v>89286.3</v>
      </c>
      <c r="C751" s="873" t="s">
        <v>4897</v>
      </c>
      <c r="D751" s="873">
        <f>+I751+I752+I753</f>
        <v>2043</v>
      </c>
      <c r="E751" s="873">
        <f>+J751+J752+J753</f>
        <v>86260.1</v>
      </c>
      <c r="F751" s="39" t="s">
        <v>4898</v>
      </c>
      <c r="G751" s="39">
        <v>100791</v>
      </c>
      <c r="H751" s="40"/>
      <c r="I751" s="39">
        <v>493</v>
      </c>
      <c r="J751" s="41">
        <v>20874.299999999996</v>
      </c>
      <c r="K751" s="882">
        <f t="shared" ref="K751" si="492">+A751-D751</f>
        <v>0</v>
      </c>
      <c r="L751" s="879">
        <f t="shared" ref="L751" si="493">((+B751/A751)-(E751/D751))/(B751/A751)</f>
        <v>3.3893217660492234E-2</v>
      </c>
    </row>
    <row r="752" spans="1:12" x14ac:dyDescent="0.3">
      <c r="A752" s="875"/>
      <c r="B752" s="881"/>
      <c r="C752" s="881"/>
      <c r="D752" s="881"/>
      <c r="E752" s="881"/>
      <c r="F752" s="50" t="s">
        <v>4898</v>
      </c>
      <c r="G752" s="50">
        <v>100791</v>
      </c>
      <c r="I752" s="50">
        <v>623</v>
      </c>
      <c r="J752" s="51">
        <v>26152.399999999998</v>
      </c>
      <c r="K752" s="883"/>
      <c r="L752" s="885"/>
    </row>
    <row r="753" spans="1:12" ht="15" thickBot="1" x14ac:dyDescent="0.35">
      <c r="A753" s="872"/>
      <c r="B753" s="874"/>
      <c r="C753" s="874"/>
      <c r="D753" s="874"/>
      <c r="E753" s="874"/>
      <c r="F753" s="42" t="s">
        <v>4898</v>
      </c>
      <c r="G753" s="42">
        <v>100792</v>
      </c>
      <c r="H753" s="43"/>
      <c r="I753" s="42">
        <v>927</v>
      </c>
      <c r="J753" s="44">
        <v>39233.4</v>
      </c>
      <c r="K753" s="884"/>
      <c r="L753" s="880"/>
    </row>
    <row r="754" spans="1:12" ht="15" thickBot="1" x14ac:dyDescent="0.35">
      <c r="A754" s="178">
        <v>634</v>
      </c>
      <c r="B754" s="45">
        <v>21355</v>
      </c>
      <c r="C754" s="45" t="s">
        <v>4899</v>
      </c>
      <c r="D754" s="45">
        <f>+I754</f>
        <v>636</v>
      </c>
      <c r="E754" s="45">
        <f>+J754</f>
        <v>20423.399999999998</v>
      </c>
      <c r="F754" s="45" t="s">
        <v>4900</v>
      </c>
      <c r="G754" s="45">
        <v>100811</v>
      </c>
      <c r="H754" s="14"/>
      <c r="I754" s="45">
        <v>636</v>
      </c>
      <c r="J754" s="46">
        <v>20423.399999999998</v>
      </c>
      <c r="K754" s="54">
        <f t="shared" ref="K754:K755" si="494">+A754-D754</f>
        <v>-2</v>
      </c>
      <c r="L754" s="31">
        <f t="shared" ref="L754:L755" si="495">((+B754/A754)-(E754/D754))/(B754/A754)</f>
        <v>4.6631914226264816E-2</v>
      </c>
    </row>
    <row r="755" spans="1:12" x14ac:dyDescent="0.3">
      <c r="A755" s="871">
        <v>1523</v>
      </c>
      <c r="B755" s="873">
        <v>51170.75</v>
      </c>
      <c r="C755" s="873" t="s">
        <v>4989</v>
      </c>
      <c r="D755" s="873">
        <f>+I755+I756</f>
        <v>1523</v>
      </c>
      <c r="E755" s="873">
        <f>+J755+J756</f>
        <v>49159.999999999993</v>
      </c>
      <c r="F755" s="39" t="s">
        <v>4990</v>
      </c>
      <c r="G755" s="39">
        <v>100851</v>
      </c>
      <c r="H755" s="40"/>
      <c r="I755" s="39">
        <v>1119</v>
      </c>
      <c r="J755" s="41">
        <v>36205.899999999994</v>
      </c>
      <c r="K755" s="882">
        <f t="shared" si="494"/>
        <v>0</v>
      </c>
      <c r="L755" s="879">
        <f t="shared" si="495"/>
        <v>3.92949096896179E-2</v>
      </c>
    </row>
    <row r="756" spans="1:12" ht="15" thickBot="1" x14ac:dyDescent="0.35">
      <c r="A756" s="872"/>
      <c r="B756" s="874"/>
      <c r="C756" s="874"/>
      <c r="D756" s="874"/>
      <c r="E756" s="874"/>
      <c r="F756" s="42" t="s">
        <v>4990</v>
      </c>
      <c r="G756" s="42">
        <v>100851</v>
      </c>
      <c r="H756" s="43"/>
      <c r="I756" s="42">
        <v>404</v>
      </c>
      <c r="J756" s="44">
        <v>12954.1</v>
      </c>
      <c r="K756" s="884"/>
      <c r="L756" s="880"/>
    </row>
    <row r="757" spans="1:12" ht="15" thickBot="1" x14ac:dyDescent="0.35">
      <c r="A757" s="181">
        <v>198</v>
      </c>
      <c r="B757" s="15">
        <v>9180.75</v>
      </c>
      <c r="C757" s="15" t="s">
        <v>4991</v>
      </c>
      <c r="D757" s="15">
        <f>+I757</f>
        <v>198</v>
      </c>
      <c r="E757" s="15">
        <f>+J757</f>
        <v>8895.5</v>
      </c>
      <c r="F757" s="50" t="s">
        <v>4992</v>
      </c>
      <c r="G757" s="50">
        <v>100861</v>
      </c>
      <c r="H757" s="50"/>
      <c r="I757" s="50">
        <v>198</v>
      </c>
      <c r="J757" s="51">
        <v>8895.5</v>
      </c>
      <c r="K757" s="54">
        <f t="shared" ref="K757:K758" si="496">+A757-D757</f>
        <v>0</v>
      </c>
      <c r="L757" s="31">
        <f t="shared" ref="L757:L758" si="497">((+B757/A757)-(E757/D757))/(B757/A757)</f>
        <v>3.1070446314298981E-2</v>
      </c>
    </row>
    <row r="758" spans="1:12" x14ac:dyDescent="0.3">
      <c r="A758" s="871">
        <v>727</v>
      </c>
      <c r="B758" s="873">
        <v>25570.25</v>
      </c>
      <c r="C758" s="873" t="s">
        <v>4993</v>
      </c>
      <c r="D758" s="873">
        <f>+I758+I759</f>
        <v>727</v>
      </c>
      <c r="E758" s="873">
        <f>+J758+J759</f>
        <v>24794.800000000003</v>
      </c>
      <c r="F758" s="39" t="s">
        <v>4994</v>
      </c>
      <c r="G758" s="39">
        <v>100881</v>
      </c>
      <c r="H758" s="40"/>
      <c r="I758" s="39">
        <v>605</v>
      </c>
      <c r="J758" s="41">
        <v>20413.7</v>
      </c>
      <c r="K758" s="882">
        <f t="shared" si="496"/>
        <v>0</v>
      </c>
      <c r="L758" s="879">
        <f t="shared" si="497"/>
        <v>3.0326258053792805E-2</v>
      </c>
    </row>
    <row r="759" spans="1:12" ht="15" thickBot="1" x14ac:dyDescent="0.35">
      <c r="A759" s="872"/>
      <c r="B759" s="874"/>
      <c r="C759" s="874"/>
      <c r="D759" s="874"/>
      <c r="E759" s="874"/>
      <c r="F759" s="42" t="s">
        <v>4994</v>
      </c>
      <c r="G759" s="42">
        <v>100881</v>
      </c>
      <c r="H759" s="43"/>
      <c r="I759" s="42">
        <v>122</v>
      </c>
      <c r="J759" s="44">
        <v>4381.1000000000004</v>
      </c>
      <c r="K759" s="884"/>
      <c r="L759" s="880"/>
    </row>
    <row r="760" spans="1:12" x14ac:dyDescent="0.3">
      <c r="A760" s="871">
        <v>447</v>
      </c>
      <c r="B760" s="873">
        <v>18581.900000000001</v>
      </c>
      <c r="C760" s="873" t="s">
        <v>4995</v>
      </c>
      <c r="D760" s="873">
        <f>+I760+I761</f>
        <v>447</v>
      </c>
      <c r="E760" s="873">
        <f>+J760+J761</f>
        <v>17497.7</v>
      </c>
      <c r="F760" s="39" t="s">
        <v>4996</v>
      </c>
      <c r="G760" s="39">
        <v>100961</v>
      </c>
      <c r="H760" s="40"/>
      <c r="I760" s="39">
        <v>227</v>
      </c>
      <c r="J760" s="41">
        <v>9027.5</v>
      </c>
      <c r="K760" s="882">
        <f t="shared" ref="K760" si="498">+A760-D760</f>
        <v>0</v>
      </c>
      <c r="L760" s="879">
        <f t="shared" ref="L760" si="499">((+B760/A760)-(E760/D760))/(B760/A760)</f>
        <v>5.834710121139406E-2</v>
      </c>
    </row>
    <row r="761" spans="1:12" ht="15" thickBot="1" x14ac:dyDescent="0.35">
      <c r="A761" s="872"/>
      <c r="B761" s="874"/>
      <c r="C761" s="874"/>
      <c r="D761" s="874"/>
      <c r="E761" s="874"/>
      <c r="F761" s="42" t="s">
        <v>4996</v>
      </c>
      <c r="G761" s="42">
        <v>100961</v>
      </c>
      <c r="H761" s="43"/>
      <c r="I761" s="42">
        <v>220</v>
      </c>
      <c r="J761" s="44">
        <v>8470.2000000000007</v>
      </c>
      <c r="K761" s="884"/>
      <c r="L761" s="880"/>
    </row>
    <row r="762" spans="1:12" ht="15" thickBot="1" x14ac:dyDescent="0.35">
      <c r="A762" s="177">
        <v>220</v>
      </c>
      <c r="B762" s="39">
        <v>8769.7999999999993</v>
      </c>
      <c r="C762" s="39" t="s">
        <v>4997</v>
      </c>
      <c r="D762" s="39">
        <f>+I762</f>
        <v>220</v>
      </c>
      <c r="E762" s="39">
        <f>+J762</f>
        <v>8289</v>
      </c>
      <c r="F762" s="39" t="s">
        <v>4998</v>
      </c>
      <c r="G762" s="39">
        <v>100971</v>
      </c>
      <c r="H762" s="40"/>
      <c r="I762" s="39">
        <v>220</v>
      </c>
      <c r="J762" s="41">
        <v>8289</v>
      </c>
      <c r="K762" s="54">
        <f t="shared" ref="K762:K763" si="500">+A762-D762</f>
        <v>0</v>
      </c>
      <c r="L762" s="31">
        <f t="shared" ref="L762:L763" si="501">((+B762/A762)-(E762/D762))/(B762/A762)</f>
        <v>5.4824511391365696E-2</v>
      </c>
    </row>
    <row r="763" spans="1:12" x14ac:dyDescent="0.3">
      <c r="A763" s="871">
        <v>1718</v>
      </c>
      <c r="B763" s="873">
        <v>74637</v>
      </c>
      <c r="C763" s="873" t="s">
        <v>4999</v>
      </c>
      <c r="D763" s="873">
        <f>+I763+I764</f>
        <v>1711</v>
      </c>
      <c r="E763" s="873">
        <f>+J763+J764</f>
        <v>71739.8</v>
      </c>
      <c r="F763" s="39" t="s">
        <v>5000</v>
      </c>
      <c r="G763" s="39">
        <v>100981</v>
      </c>
      <c r="H763" s="40"/>
      <c r="I763" s="39">
        <v>1054</v>
      </c>
      <c r="J763" s="41">
        <v>44185.399999999994</v>
      </c>
      <c r="K763" s="882">
        <f t="shared" si="500"/>
        <v>7</v>
      </c>
      <c r="L763" s="879">
        <f t="shared" si="501"/>
        <v>3.4884841855308359E-2</v>
      </c>
    </row>
    <row r="764" spans="1:12" ht="15" thickBot="1" x14ac:dyDescent="0.35">
      <c r="A764" s="872"/>
      <c r="B764" s="874"/>
      <c r="C764" s="874"/>
      <c r="D764" s="874"/>
      <c r="E764" s="874"/>
      <c r="F764" s="42" t="s">
        <v>5000</v>
      </c>
      <c r="G764" s="42">
        <v>100982</v>
      </c>
      <c r="H764" s="43"/>
      <c r="I764" s="42">
        <v>657</v>
      </c>
      <c r="J764" s="44">
        <v>27554.400000000005</v>
      </c>
      <c r="K764" s="884"/>
      <c r="L764" s="880"/>
    </row>
    <row r="765" spans="1:12" ht="15" thickBot="1" x14ac:dyDescent="0.35">
      <c r="A765" s="50">
        <v>600</v>
      </c>
      <c r="B765" s="50">
        <v>21976.75</v>
      </c>
      <c r="C765" s="50" t="s">
        <v>5001</v>
      </c>
      <c r="D765" s="50">
        <v>600</v>
      </c>
      <c r="E765" s="50">
        <v>21716.2</v>
      </c>
      <c r="F765" s="50" t="s">
        <v>5002</v>
      </c>
      <c r="G765" s="50">
        <v>101011</v>
      </c>
      <c r="I765" s="50">
        <v>300</v>
      </c>
      <c r="J765" s="50">
        <v>10262.5</v>
      </c>
      <c r="K765" s="54">
        <f t="shared" ref="K765:K766" si="502">+A765-D765</f>
        <v>0</v>
      </c>
      <c r="L765" s="31">
        <f t="shared" ref="L765:L766" si="503">((+B765/A765)-(E765/D765))/(B765/A765)</f>
        <v>1.185571114928273E-2</v>
      </c>
    </row>
    <row r="766" spans="1:12" x14ac:dyDescent="0.3">
      <c r="A766" s="871">
        <v>529</v>
      </c>
      <c r="B766" s="873">
        <v>23607.75</v>
      </c>
      <c r="C766" s="873" t="s">
        <v>5003</v>
      </c>
      <c r="D766" s="873">
        <f>+I766+I767</f>
        <v>529</v>
      </c>
      <c r="E766" s="873">
        <f>+J766+J767</f>
        <v>23046.2</v>
      </c>
      <c r="F766" s="39" t="s">
        <v>5004</v>
      </c>
      <c r="G766" s="39">
        <v>101051</v>
      </c>
      <c r="H766" s="40"/>
      <c r="I766" s="39">
        <v>322</v>
      </c>
      <c r="J766" s="41">
        <v>14138.5</v>
      </c>
      <c r="K766" s="882">
        <f t="shared" si="502"/>
        <v>0</v>
      </c>
      <c r="L766" s="879">
        <f t="shared" si="503"/>
        <v>2.3786680221537383E-2</v>
      </c>
    </row>
    <row r="767" spans="1:12" ht="15" thickBot="1" x14ac:dyDescent="0.35">
      <c r="A767" s="872"/>
      <c r="B767" s="874"/>
      <c r="C767" s="874"/>
      <c r="D767" s="874"/>
      <c r="E767" s="874"/>
      <c r="F767" s="42" t="s">
        <v>5004</v>
      </c>
      <c r="G767" s="42">
        <v>101051</v>
      </c>
      <c r="H767" s="43"/>
      <c r="I767" s="42">
        <v>207</v>
      </c>
      <c r="J767" s="44">
        <v>8907.7000000000007</v>
      </c>
      <c r="K767" s="884"/>
      <c r="L767" s="880"/>
    </row>
    <row r="768" spans="1:12" ht="15" thickBot="1" x14ac:dyDescent="0.35">
      <c r="A768" s="178">
        <v>193</v>
      </c>
      <c r="B768" s="45">
        <v>8179</v>
      </c>
      <c r="C768" s="45" t="s">
        <v>5005</v>
      </c>
      <c r="D768" s="45">
        <f t="shared" ref="D768:E772" si="504">+I768</f>
        <v>193</v>
      </c>
      <c r="E768" s="45">
        <f t="shared" si="504"/>
        <v>7934.4</v>
      </c>
      <c r="F768" s="45" t="s">
        <v>5006</v>
      </c>
      <c r="G768" s="45">
        <v>101111</v>
      </c>
      <c r="H768" s="14"/>
      <c r="I768" s="45">
        <v>193</v>
      </c>
      <c r="J768" s="46">
        <v>7934.4</v>
      </c>
      <c r="K768" s="54">
        <f t="shared" ref="K768:K771" si="505">+A768-D768</f>
        <v>0</v>
      </c>
      <c r="L768" s="31">
        <f t="shared" ref="L768:L771" si="506">((+B768/A768)-(E768/D768))/(B768/A768)</f>
        <v>2.990585646167012E-2</v>
      </c>
    </row>
    <row r="769" spans="1:12" ht="15" thickBot="1" x14ac:dyDescent="0.35">
      <c r="A769" s="178">
        <v>851</v>
      </c>
      <c r="B769" s="45">
        <v>33978</v>
      </c>
      <c r="C769" s="45" t="s">
        <v>5007</v>
      </c>
      <c r="D769" s="45">
        <f t="shared" si="504"/>
        <v>851</v>
      </c>
      <c r="E769" s="45">
        <f t="shared" si="504"/>
        <v>32720.300000000003</v>
      </c>
      <c r="F769" s="45" t="s">
        <v>5008</v>
      </c>
      <c r="G769" s="45">
        <v>101121</v>
      </c>
      <c r="H769" s="14"/>
      <c r="I769" s="45">
        <v>851</v>
      </c>
      <c r="J769" s="46">
        <v>32720.300000000003</v>
      </c>
      <c r="K769" s="54">
        <f t="shared" si="505"/>
        <v>0</v>
      </c>
      <c r="L769" s="31">
        <f t="shared" si="506"/>
        <v>3.7015127435399177E-2</v>
      </c>
    </row>
    <row r="770" spans="1:12" ht="15" thickBot="1" x14ac:dyDescent="0.35">
      <c r="A770" s="177">
        <v>660</v>
      </c>
      <c r="B770" s="39">
        <v>25911.1</v>
      </c>
      <c r="C770" s="39" t="s">
        <v>5070</v>
      </c>
      <c r="D770" s="45">
        <f t="shared" si="504"/>
        <v>660</v>
      </c>
      <c r="E770" s="45">
        <f t="shared" si="504"/>
        <v>25169.599999999999</v>
      </c>
      <c r="F770" s="39" t="s">
        <v>5071</v>
      </c>
      <c r="G770" s="39">
        <v>101131</v>
      </c>
      <c r="H770" s="40"/>
      <c r="I770" s="39">
        <v>660</v>
      </c>
      <c r="J770" s="41">
        <v>25169.599999999999</v>
      </c>
      <c r="K770" s="54">
        <f t="shared" ref="K770" si="507">+A770-D770</f>
        <v>0</v>
      </c>
      <c r="L770" s="31">
        <f t="shared" ref="L770" si="508">((+B770/A770)-(E770/D770))/(B770/A770)</f>
        <v>2.8617079166843591E-2</v>
      </c>
    </row>
    <row r="771" spans="1:12" ht="15" thickBot="1" x14ac:dyDescent="0.35">
      <c r="A771" s="178">
        <v>1540</v>
      </c>
      <c r="B771" s="45">
        <v>61629.5</v>
      </c>
      <c r="C771" s="45" t="s">
        <v>5009</v>
      </c>
      <c r="D771" s="45">
        <v>1538</v>
      </c>
      <c r="E771" s="45">
        <v>59361.1</v>
      </c>
      <c r="F771" s="45" t="s">
        <v>5010</v>
      </c>
      <c r="G771" s="45">
        <v>101151</v>
      </c>
      <c r="H771" s="14"/>
      <c r="I771" s="45">
        <v>748</v>
      </c>
      <c r="J771" s="46">
        <v>29198.5</v>
      </c>
      <c r="K771" s="54">
        <f t="shared" si="505"/>
        <v>2</v>
      </c>
      <c r="L771" s="31">
        <f t="shared" si="506"/>
        <v>3.5554521977683926E-2</v>
      </c>
    </row>
    <row r="772" spans="1:12" ht="15" thickBot="1" x14ac:dyDescent="0.35">
      <c r="A772" s="178">
        <v>1215</v>
      </c>
      <c r="B772" s="45">
        <v>45340.800000000003</v>
      </c>
      <c r="C772" s="45" t="s">
        <v>5056</v>
      </c>
      <c r="D772" s="45">
        <f>+I772</f>
        <v>1213</v>
      </c>
      <c r="E772" s="45">
        <f t="shared" si="504"/>
        <v>44450.7</v>
      </c>
      <c r="F772" s="45" t="s">
        <v>5057</v>
      </c>
      <c r="G772" s="45">
        <v>101161</v>
      </c>
      <c r="H772" s="14"/>
      <c r="I772" s="45">
        <v>1213</v>
      </c>
      <c r="J772" s="46">
        <v>44450.7</v>
      </c>
      <c r="K772" s="54">
        <f t="shared" ref="K772:K773" si="509">+A772-D772</f>
        <v>2</v>
      </c>
      <c r="L772" s="31">
        <f t="shared" ref="L772:L773" si="510">((+B772/A772)-(E772/D772))/(B772/A772)</f>
        <v>1.801488903209808E-2</v>
      </c>
    </row>
    <row r="773" spans="1:12" x14ac:dyDescent="0.3">
      <c r="A773" s="871">
        <v>600</v>
      </c>
      <c r="B773" s="873">
        <v>21282.5</v>
      </c>
      <c r="C773" s="873" t="s">
        <v>5072</v>
      </c>
      <c r="D773" s="873">
        <f>+I773+I774</f>
        <v>582</v>
      </c>
      <c r="E773" s="873">
        <f>+J773+J774</f>
        <v>20091.599999999999</v>
      </c>
      <c r="F773" s="39" t="s">
        <v>5073</v>
      </c>
      <c r="G773" s="39">
        <v>101171</v>
      </c>
      <c r="H773" s="40"/>
      <c r="I773" s="39">
        <v>200</v>
      </c>
      <c r="J773" s="41">
        <v>6843</v>
      </c>
      <c r="K773" s="882">
        <f t="shared" si="509"/>
        <v>18</v>
      </c>
      <c r="L773" s="879">
        <f t="shared" si="510"/>
        <v>2.6759558758527084E-2</v>
      </c>
    </row>
    <row r="774" spans="1:12" ht="15" thickBot="1" x14ac:dyDescent="0.35">
      <c r="A774" s="872"/>
      <c r="B774" s="874"/>
      <c r="C774" s="874"/>
      <c r="D774" s="874"/>
      <c r="E774" s="874"/>
      <c r="F774" s="42" t="s">
        <v>5073</v>
      </c>
      <c r="G774" s="42">
        <v>101171</v>
      </c>
      <c r="H774" s="43"/>
      <c r="I774" s="42">
        <v>382</v>
      </c>
      <c r="J774" s="44">
        <v>13248.6</v>
      </c>
      <c r="K774" s="884"/>
      <c r="L774" s="880"/>
    </row>
    <row r="775" spans="1:12" ht="15" thickBot="1" x14ac:dyDescent="0.35">
      <c r="A775" s="178">
        <v>950</v>
      </c>
      <c r="B775" s="45">
        <v>40199.300000000003</v>
      </c>
      <c r="C775" s="45" t="s">
        <v>5074</v>
      </c>
      <c r="D775" s="45">
        <f>+I775</f>
        <v>947</v>
      </c>
      <c r="E775" s="45">
        <f t="shared" ref="E775:E776" si="511">+J775</f>
        <v>38667.899999999994</v>
      </c>
      <c r="F775" s="45" t="s">
        <v>5075</v>
      </c>
      <c r="G775" s="45">
        <v>101181</v>
      </c>
      <c r="H775" s="14"/>
      <c r="I775" s="45">
        <v>947</v>
      </c>
      <c r="J775" s="46">
        <v>38667.899999999994</v>
      </c>
      <c r="K775" s="54">
        <f t="shared" ref="K775:K777" si="512">+A775-D775</f>
        <v>3</v>
      </c>
      <c r="L775" s="31">
        <f t="shared" ref="L775:L777" si="513">((+B775/A775)-(E775/D775))/(B775/A775)</f>
        <v>3.5047973787394361E-2</v>
      </c>
    </row>
    <row r="776" spans="1:12" ht="15" thickBot="1" x14ac:dyDescent="0.35">
      <c r="A776" s="177">
        <v>531</v>
      </c>
      <c r="B776" s="39">
        <v>20738.599999999999</v>
      </c>
      <c r="C776" s="39" t="s">
        <v>5076</v>
      </c>
      <c r="D776" s="39">
        <f>+I776</f>
        <v>531</v>
      </c>
      <c r="E776" s="39">
        <f t="shared" si="511"/>
        <v>19919.900000000001</v>
      </c>
      <c r="F776" s="39" t="s">
        <v>5077</v>
      </c>
      <c r="G776" s="39">
        <v>101211</v>
      </c>
      <c r="H776" s="40"/>
      <c r="I776" s="39">
        <v>531</v>
      </c>
      <c r="J776" s="41">
        <v>19919.900000000001</v>
      </c>
      <c r="K776" s="54">
        <f t="shared" si="512"/>
        <v>0</v>
      </c>
      <c r="L776" s="31">
        <f t="shared" si="513"/>
        <v>3.9477110316028921E-2</v>
      </c>
    </row>
    <row r="777" spans="1:12" x14ac:dyDescent="0.3">
      <c r="A777" s="871">
        <v>1320</v>
      </c>
      <c r="B777" s="873">
        <v>49376.1</v>
      </c>
      <c r="C777" s="873" t="s">
        <v>5078</v>
      </c>
      <c r="D777" s="873">
        <f>+I777+I778</f>
        <v>1320</v>
      </c>
      <c r="E777" s="873">
        <f>+J777+J778</f>
        <v>47524.6</v>
      </c>
      <c r="F777" s="39" t="s">
        <v>5079</v>
      </c>
      <c r="G777" s="39">
        <v>101251</v>
      </c>
      <c r="H777" s="40"/>
      <c r="I777" s="39">
        <v>1000</v>
      </c>
      <c r="J777" s="41">
        <v>35908.1</v>
      </c>
      <c r="K777" s="882">
        <f t="shared" si="512"/>
        <v>0</v>
      </c>
      <c r="L777" s="879">
        <f t="shared" si="513"/>
        <v>3.7497898780989268E-2</v>
      </c>
    </row>
    <row r="778" spans="1:12" ht="15" thickBot="1" x14ac:dyDescent="0.35">
      <c r="A778" s="872"/>
      <c r="B778" s="874"/>
      <c r="C778" s="874"/>
      <c r="D778" s="874"/>
      <c r="E778" s="874"/>
      <c r="F778" s="42" t="s">
        <v>5079</v>
      </c>
      <c r="G778" s="42">
        <v>101251</v>
      </c>
      <c r="H778" s="43"/>
      <c r="I778" s="42">
        <v>320</v>
      </c>
      <c r="J778" s="44">
        <v>11616.5</v>
      </c>
      <c r="K778" s="884"/>
      <c r="L778" s="880"/>
    </row>
    <row r="779" spans="1:12" x14ac:dyDescent="0.3">
      <c r="A779" s="875">
        <v>2636</v>
      </c>
      <c r="B779" s="881">
        <v>110854.9</v>
      </c>
      <c r="C779" s="881" t="s">
        <v>5080</v>
      </c>
      <c r="D779" s="881">
        <f>+I779+I780+I782+I781</f>
        <v>2626</v>
      </c>
      <c r="E779" s="881">
        <f>+J779+J780+J782+J781</f>
        <v>109001</v>
      </c>
      <c r="F779" s="15" t="s">
        <v>5081</v>
      </c>
      <c r="G779" s="15">
        <v>101261</v>
      </c>
      <c r="H779" s="81"/>
      <c r="I779" s="15">
        <v>5</v>
      </c>
      <c r="J779" s="16">
        <v>204.4</v>
      </c>
      <c r="K779" s="882">
        <f t="shared" ref="K779" si="514">+A779-D779</f>
        <v>10</v>
      </c>
      <c r="L779" s="879">
        <f t="shared" ref="L779" si="515">((+B779/A779)-(E779/D779))/(B779/A779)</f>
        <v>1.2979274911541753E-2</v>
      </c>
    </row>
    <row r="780" spans="1:12" x14ac:dyDescent="0.3">
      <c r="A780" s="875"/>
      <c r="B780" s="881"/>
      <c r="C780" s="881"/>
      <c r="D780" s="881"/>
      <c r="E780" s="881"/>
      <c r="F780" s="15" t="s">
        <v>5081</v>
      </c>
      <c r="G780" s="15">
        <v>101262</v>
      </c>
      <c r="H780" s="81"/>
      <c r="I780" s="15">
        <v>617</v>
      </c>
      <c r="J780" s="16">
        <v>25814.700000000004</v>
      </c>
      <c r="K780" s="883"/>
      <c r="L780" s="885"/>
    </row>
    <row r="781" spans="1:12" x14ac:dyDescent="0.3">
      <c r="A781" s="875"/>
      <c r="B781" s="881"/>
      <c r="C781" s="881"/>
      <c r="D781" s="881"/>
      <c r="E781" s="881"/>
      <c r="F781" s="15" t="s">
        <v>5081</v>
      </c>
      <c r="G781" s="15">
        <v>101261</v>
      </c>
      <c r="H781" s="81"/>
      <c r="I781" s="15">
        <v>1372</v>
      </c>
      <c r="J781" s="16">
        <v>57140.2</v>
      </c>
      <c r="K781" s="883"/>
      <c r="L781" s="885"/>
    </row>
    <row r="782" spans="1:12" ht="15" thickBot="1" x14ac:dyDescent="0.35">
      <c r="A782" s="872"/>
      <c r="B782" s="874"/>
      <c r="C782" s="874"/>
      <c r="D782" s="874"/>
      <c r="E782" s="874"/>
      <c r="F782" s="10" t="s">
        <v>5081</v>
      </c>
      <c r="G782" s="10">
        <v>101262</v>
      </c>
      <c r="H782" s="82"/>
      <c r="I782" s="10">
        <v>632</v>
      </c>
      <c r="J782" s="11">
        <v>25841.700000000004</v>
      </c>
      <c r="K782" s="884"/>
      <c r="L782" s="880"/>
    </row>
    <row r="783" spans="1:12" ht="15" thickBot="1" x14ac:dyDescent="0.35">
      <c r="A783" s="199">
        <v>586</v>
      </c>
      <c r="B783" s="10">
        <v>24553</v>
      </c>
      <c r="C783" s="10" t="s">
        <v>5082</v>
      </c>
      <c r="D783" s="8">
        <f t="shared" ref="D783:E785" si="516">+I783</f>
        <v>586</v>
      </c>
      <c r="E783" s="8">
        <f t="shared" si="516"/>
        <v>23813.7</v>
      </c>
      <c r="F783" s="10" t="s">
        <v>5083</v>
      </c>
      <c r="G783" s="10">
        <v>101281</v>
      </c>
      <c r="H783" s="82"/>
      <c r="I783" s="10">
        <v>586</v>
      </c>
      <c r="J783" s="11">
        <v>23813.7</v>
      </c>
      <c r="K783" s="54">
        <f t="shared" ref="K783:K786" si="517">+A783-D783</f>
        <v>0</v>
      </c>
      <c r="L783" s="31">
        <f t="shared" ref="L783:L786" si="518">((+B783/A783)-(E783/D783))/(B783/A783)</f>
        <v>3.0110373477782837E-2</v>
      </c>
    </row>
    <row r="784" spans="1:12" ht="15" thickBot="1" x14ac:dyDescent="0.35">
      <c r="A784" s="199">
        <v>363</v>
      </c>
      <c r="B784" s="10">
        <v>14365.2</v>
      </c>
      <c r="C784" s="10" t="s">
        <v>5084</v>
      </c>
      <c r="D784" s="8">
        <f t="shared" si="516"/>
        <v>363</v>
      </c>
      <c r="E784" s="8">
        <f t="shared" si="516"/>
        <v>14008.8</v>
      </c>
      <c r="F784" s="10" t="s">
        <v>5085</v>
      </c>
      <c r="G784" s="10">
        <v>101311</v>
      </c>
      <c r="H784" s="82"/>
      <c r="I784" s="10">
        <v>363</v>
      </c>
      <c r="J784" s="11">
        <v>14008.8</v>
      </c>
      <c r="K784" s="54">
        <f t="shared" si="517"/>
        <v>0</v>
      </c>
      <c r="L784" s="31">
        <f t="shared" si="518"/>
        <v>2.480995739704291E-2</v>
      </c>
    </row>
    <row r="785" spans="1:12" ht="15" thickBot="1" x14ac:dyDescent="0.35">
      <c r="A785" s="175">
        <v>175</v>
      </c>
      <c r="B785" s="8">
        <v>7063</v>
      </c>
      <c r="C785" s="8" t="s">
        <v>5086</v>
      </c>
      <c r="D785" s="8">
        <f t="shared" si="516"/>
        <v>175</v>
      </c>
      <c r="E785" s="8">
        <f t="shared" si="516"/>
        <v>7149.9</v>
      </c>
      <c r="F785" s="8" t="s">
        <v>5177</v>
      </c>
      <c r="G785" s="8">
        <v>101341</v>
      </c>
      <c r="H785" s="80"/>
      <c r="I785" s="8">
        <v>175</v>
      </c>
      <c r="J785" s="9">
        <v>7149.9</v>
      </c>
      <c r="K785" s="54">
        <f t="shared" si="517"/>
        <v>0</v>
      </c>
      <c r="L785" s="31">
        <f t="shared" si="518"/>
        <v>-1.2303553730709326E-2</v>
      </c>
    </row>
    <row r="786" spans="1:12" x14ac:dyDescent="0.3">
      <c r="A786" s="871">
        <v>1318</v>
      </c>
      <c r="B786" s="873">
        <v>50844.5</v>
      </c>
      <c r="C786" s="873" t="s">
        <v>5178</v>
      </c>
      <c r="D786" s="873">
        <f>+I786+I787</f>
        <v>1313</v>
      </c>
      <c r="E786" s="873">
        <f>+J786+J787</f>
        <v>49028.4</v>
      </c>
      <c r="F786" s="372" t="s">
        <v>5179</v>
      </c>
      <c r="G786" s="372">
        <v>101381</v>
      </c>
      <c r="H786" s="38"/>
      <c r="I786" s="372">
        <v>958</v>
      </c>
      <c r="J786" s="13">
        <v>35724.200000000004</v>
      </c>
      <c r="K786" s="882">
        <f t="shared" si="517"/>
        <v>5</v>
      </c>
      <c r="L786" s="879">
        <f t="shared" si="518"/>
        <v>3.2046657319638204E-2</v>
      </c>
    </row>
    <row r="787" spans="1:12" ht="15" thickBot="1" x14ac:dyDescent="0.35">
      <c r="A787" s="872"/>
      <c r="B787" s="874"/>
      <c r="C787" s="874"/>
      <c r="D787" s="874"/>
      <c r="E787" s="874"/>
      <c r="F787" s="373" t="s">
        <v>5179</v>
      </c>
      <c r="G787" s="373">
        <v>101381</v>
      </c>
      <c r="H787" s="82"/>
      <c r="I787" s="373">
        <v>355</v>
      </c>
      <c r="J787" s="11">
        <v>13304.199999999999</v>
      </c>
      <c r="K787" s="884"/>
      <c r="L787" s="880"/>
    </row>
    <row r="788" spans="1:12" ht="15" thickBot="1" x14ac:dyDescent="0.35">
      <c r="A788" s="175">
        <v>286</v>
      </c>
      <c r="B788" s="8">
        <v>11328.2</v>
      </c>
      <c r="C788" s="8" t="s">
        <v>5180</v>
      </c>
      <c r="D788" s="372">
        <f t="shared" ref="D788:E791" si="519">+I788</f>
        <v>280</v>
      </c>
      <c r="E788" s="372">
        <f t="shared" si="519"/>
        <v>10548.8</v>
      </c>
      <c r="F788" s="8" t="s">
        <v>5181</v>
      </c>
      <c r="G788" s="8">
        <v>101391</v>
      </c>
      <c r="H788" s="80"/>
      <c r="I788" s="8">
        <v>280</v>
      </c>
      <c r="J788" s="9">
        <v>10548.8</v>
      </c>
      <c r="K788" s="54">
        <f t="shared" ref="K788:K791" si="520">+A788-D788</f>
        <v>6</v>
      </c>
      <c r="L788" s="31">
        <f t="shared" ref="L788:L791" si="521">((+B788/A788)-(E788/D788))/(B788/A788)</f>
        <v>4.8847503196826264E-2</v>
      </c>
    </row>
    <row r="789" spans="1:12" ht="15" thickBot="1" x14ac:dyDescent="0.35">
      <c r="A789" s="371">
        <v>130</v>
      </c>
      <c r="B789" s="373">
        <v>5365.5</v>
      </c>
      <c r="C789" s="373" t="s">
        <v>5182</v>
      </c>
      <c r="D789" s="372">
        <f t="shared" si="519"/>
        <v>130</v>
      </c>
      <c r="E789" s="372">
        <f t="shared" si="519"/>
        <v>5322.8</v>
      </c>
      <c r="F789" s="373" t="s">
        <v>5183</v>
      </c>
      <c r="G789" s="373">
        <v>101401</v>
      </c>
      <c r="H789" s="82"/>
      <c r="I789" s="373">
        <v>130</v>
      </c>
      <c r="J789" s="11">
        <v>5322.8</v>
      </c>
      <c r="K789" s="54">
        <f t="shared" si="520"/>
        <v>0</v>
      </c>
      <c r="L789" s="31">
        <f t="shared" si="521"/>
        <v>7.9582517938680802E-3</v>
      </c>
    </row>
    <row r="790" spans="1:12" ht="15" thickBot="1" x14ac:dyDescent="0.35">
      <c r="A790" s="175">
        <v>183</v>
      </c>
      <c r="B790" s="8">
        <v>7595.4</v>
      </c>
      <c r="C790" s="8" t="s">
        <v>5184</v>
      </c>
      <c r="D790" s="8">
        <f t="shared" si="519"/>
        <v>183</v>
      </c>
      <c r="E790" s="8">
        <f t="shared" si="519"/>
        <v>7333.7</v>
      </c>
      <c r="F790" s="8" t="s">
        <v>5185</v>
      </c>
      <c r="G790" s="8">
        <v>101421</v>
      </c>
      <c r="H790" s="80"/>
      <c r="I790" s="8">
        <v>183</v>
      </c>
      <c r="J790" s="9">
        <v>7333.7</v>
      </c>
      <c r="K790" s="54">
        <f t="shared" si="520"/>
        <v>0</v>
      </c>
      <c r="L790" s="31">
        <f t="shared" si="521"/>
        <v>3.4455064907707264E-2</v>
      </c>
    </row>
    <row r="791" spans="1:12" ht="15" thickBot="1" x14ac:dyDescent="0.35">
      <c r="A791" s="175">
        <v>225</v>
      </c>
      <c r="B791" s="8">
        <v>9371.75</v>
      </c>
      <c r="C791" s="8" t="s">
        <v>5186</v>
      </c>
      <c r="D791" s="8">
        <f t="shared" si="519"/>
        <v>226</v>
      </c>
      <c r="E791" s="8">
        <f t="shared" si="519"/>
        <v>9230.5</v>
      </c>
      <c r="F791" s="8" t="s">
        <v>5187</v>
      </c>
      <c r="G791" s="8">
        <v>101461</v>
      </c>
      <c r="H791" s="80"/>
      <c r="I791" s="8">
        <v>226</v>
      </c>
      <c r="J791" s="9">
        <v>9230.5</v>
      </c>
      <c r="K791" s="54">
        <f t="shared" si="520"/>
        <v>-1</v>
      </c>
      <c r="L791" s="31">
        <f t="shared" si="521"/>
        <v>1.9429980564353733E-2</v>
      </c>
    </row>
    <row r="792" spans="1:12" x14ac:dyDescent="0.3">
      <c r="A792" s="871">
        <v>583</v>
      </c>
      <c r="B792" s="873">
        <v>26244.25</v>
      </c>
      <c r="C792" s="873" t="s">
        <v>5161</v>
      </c>
      <c r="D792" s="873">
        <f>+I792+I793</f>
        <v>583</v>
      </c>
      <c r="E792" s="873">
        <f>+J792+J793</f>
        <v>25711.3</v>
      </c>
      <c r="F792" s="372" t="s">
        <v>5162</v>
      </c>
      <c r="G792" s="372">
        <v>101471</v>
      </c>
      <c r="H792" s="38"/>
      <c r="I792" s="372">
        <v>45</v>
      </c>
      <c r="J792" s="13">
        <v>2028.2</v>
      </c>
      <c r="K792" s="882">
        <f t="shared" ref="K792" si="522">+A792-D792</f>
        <v>0</v>
      </c>
      <c r="L792" s="879">
        <f t="shared" ref="L792" si="523">((+B792/A792)-(E792/D792))/(B792/A792)</f>
        <v>2.0307305409756341E-2</v>
      </c>
    </row>
    <row r="793" spans="1:12" ht="15" thickBot="1" x14ac:dyDescent="0.35">
      <c r="A793" s="872"/>
      <c r="B793" s="874"/>
      <c r="C793" s="874"/>
      <c r="D793" s="874"/>
      <c r="E793" s="874"/>
      <c r="F793" s="373" t="s">
        <v>5162</v>
      </c>
      <c r="G793" s="373">
        <v>101471</v>
      </c>
      <c r="H793" s="82"/>
      <c r="I793" s="373">
        <v>538</v>
      </c>
      <c r="J793" s="11">
        <v>23683.1</v>
      </c>
      <c r="K793" s="884"/>
      <c r="L793" s="880"/>
    </row>
    <row r="794" spans="1:12" ht="15" thickBot="1" x14ac:dyDescent="0.35">
      <c r="A794" s="175">
        <v>369</v>
      </c>
      <c r="B794" s="8">
        <v>15547</v>
      </c>
      <c r="C794" s="8" t="s">
        <v>5188</v>
      </c>
      <c r="D794" s="8">
        <f t="shared" ref="D794:E794" si="524">+I794</f>
        <v>369</v>
      </c>
      <c r="E794" s="8">
        <f t="shared" si="524"/>
        <v>15104.8</v>
      </c>
      <c r="F794" s="8" t="s">
        <v>5189</v>
      </c>
      <c r="G794" s="8">
        <v>101481</v>
      </c>
      <c r="H794" s="80"/>
      <c r="I794" s="8">
        <v>369</v>
      </c>
      <c r="J794" s="9">
        <v>15104.8</v>
      </c>
      <c r="K794" s="54">
        <f t="shared" ref="K794" si="525">+A794-D794</f>
        <v>0</v>
      </c>
      <c r="L794" s="31">
        <f t="shared" ref="L794" si="526">((+B794/A794)-(E794/D794))/(B794/A794)</f>
        <v>2.8442786389657269E-2</v>
      </c>
    </row>
    <row r="795" spans="1:12" x14ac:dyDescent="0.3">
      <c r="A795" s="871">
        <v>1101</v>
      </c>
      <c r="B795" s="873">
        <v>38625.25</v>
      </c>
      <c r="C795" s="873" t="s">
        <v>5190</v>
      </c>
      <c r="D795" s="873">
        <f>+I795+I796</f>
        <v>1101</v>
      </c>
      <c r="E795" s="873">
        <f>+J795+J796</f>
        <v>37599.600000000006</v>
      </c>
      <c r="F795" s="372" t="s">
        <v>5191</v>
      </c>
      <c r="G795" s="372">
        <v>101491</v>
      </c>
      <c r="H795" s="38"/>
      <c r="I795" s="372">
        <v>1000</v>
      </c>
      <c r="J795" s="13">
        <v>34109.800000000003</v>
      </c>
      <c r="K795" s="882">
        <f t="shared" ref="K795" si="527">+A795-D795</f>
        <v>0</v>
      </c>
      <c r="L795" s="879">
        <f t="shared" ref="L795" si="528">((+B795/A795)-(E795/D795))/(B795/A795)</f>
        <v>2.6553873437712233E-2</v>
      </c>
    </row>
    <row r="796" spans="1:12" ht="15" thickBot="1" x14ac:dyDescent="0.35">
      <c r="A796" s="872"/>
      <c r="B796" s="874"/>
      <c r="C796" s="874"/>
      <c r="D796" s="874"/>
      <c r="E796" s="874"/>
      <c r="F796" s="373" t="s">
        <v>5191</v>
      </c>
      <c r="G796" s="373">
        <v>101491</v>
      </c>
      <c r="H796" s="82"/>
      <c r="I796" s="373">
        <v>101</v>
      </c>
      <c r="J796" s="11">
        <v>3489.8</v>
      </c>
      <c r="K796" s="884"/>
      <c r="L796" s="880"/>
    </row>
    <row r="797" spans="1:12" x14ac:dyDescent="0.3">
      <c r="A797" s="871">
        <v>880</v>
      </c>
      <c r="B797" s="873">
        <v>33944.800000000003</v>
      </c>
      <c r="C797" s="873" t="s">
        <v>5192</v>
      </c>
      <c r="D797" s="873">
        <f>+I797+I798</f>
        <v>789</v>
      </c>
      <c r="E797" s="873">
        <f>+J797+J798</f>
        <v>29555.800000000003</v>
      </c>
      <c r="F797" s="372" t="s">
        <v>5193</v>
      </c>
      <c r="G797" s="372">
        <v>101511</v>
      </c>
      <c r="H797" s="38"/>
      <c r="I797" s="372">
        <v>693</v>
      </c>
      <c r="J797" s="13">
        <v>25721.800000000003</v>
      </c>
      <c r="K797" s="882">
        <f t="shared" ref="K797" si="529">+A797-D797</f>
        <v>91</v>
      </c>
      <c r="L797" s="879">
        <f t="shared" ref="L797" si="530">((+B797/A797)-(E797/D797))/(B797/A797)</f>
        <v>2.8875001385235549E-2</v>
      </c>
    </row>
    <row r="798" spans="1:12" ht="15" thickBot="1" x14ac:dyDescent="0.35">
      <c r="A798" s="872"/>
      <c r="B798" s="874"/>
      <c r="C798" s="874"/>
      <c r="D798" s="874"/>
      <c r="E798" s="874"/>
      <c r="F798" s="373" t="s">
        <v>5193</v>
      </c>
      <c r="G798" s="373">
        <v>101511</v>
      </c>
      <c r="H798" s="82"/>
      <c r="I798" s="373">
        <v>96</v>
      </c>
      <c r="J798" s="11">
        <v>3834</v>
      </c>
      <c r="K798" s="884"/>
      <c r="L798" s="880"/>
    </row>
    <row r="799" spans="1:12" ht="15" thickBot="1" x14ac:dyDescent="0.35">
      <c r="A799" s="175">
        <v>1050</v>
      </c>
      <c r="B799" s="8">
        <v>43408</v>
      </c>
      <c r="C799" s="8" t="s">
        <v>5194</v>
      </c>
      <c r="D799" s="8">
        <f t="shared" ref="D799:E800" si="531">+I799</f>
        <v>1050</v>
      </c>
      <c r="E799" s="8">
        <f t="shared" si="531"/>
        <v>42341.599999999999</v>
      </c>
      <c r="F799" s="8" t="s">
        <v>5195</v>
      </c>
      <c r="G799" s="8">
        <v>101531</v>
      </c>
      <c r="H799" s="80"/>
      <c r="I799" s="8">
        <v>1050</v>
      </c>
      <c r="J799" s="9">
        <v>42341.599999999999</v>
      </c>
      <c r="K799" s="54">
        <f t="shared" ref="K799:K800" si="532">+A799-D799</f>
        <v>0</v>
      </c>
      <c r="L799" s="31">
        <f t="shared" ref="L799:L800" si="533">((+B799/A799)-(E799/D799))/(B799/A799)</f>
        <v>2.4566900110578691E-2</v>
      </c>
    </row>
    <row r="800" spans="1:12" ht="15" thickBot="1" x14ac:dyDescent="0.35">
      <c r="A800" s="370">
        <v>344</v>
      </c>
      <c r="B800" s="372">
        <v>14782</v>
      </c>
      <c r="C800" s="372" t="s">
        <v>5196</v>
      </c>
      <c r="D800" s="372">
        <f t="shared" si="531"/>
        <v>344</v>
      </c>
      <c r="E800" s="372">
        <f t="shared" si="531"/>
        <v>14163.800000000001</v>
      </c>
      <c r="F800" s="372" t="s">
        <v>5197</v>
      </c>
      <c r="G800" s="372">
        <v>101571</v>
      </c>
      <c r="H800" s="40"/>
      <c r="I800" s="372">
        <v>344</v>
      </c>
      <c r="J800" s="13">
        <v>14163.800000000001</v>
      </c>
      <c r="K800" s="54">
        <f t="shared" si="532"/>
        <v>0</v>
      </c>
      <c r="L800" s="31">
        <f t="shared" si="533"/>
        <v>4.1821133811392186E-2</v>
      </c>
    </row>
    <row r="801" spans="1:12" x14ac:dyDescent="0.3">
      <c r="A801" s="871">
        <v>391</v>
      </c>
      <c r="B801" s="873">
        <v>17554.75</v>
      </c>
      <c r="C801" s="873" t="s">
        <v>5198</v>
      </c>
      <c r="D801" s="873">
        <f>+I801+I802</f>
        <v>391</v>
      </c>
      <c r="E801" s="873">
        <f>+J801+J802</f>
        <v>17550.900000000001</v>
      </c>
      <c r="F801" s="372" t="s">
        <v>5199</v>
      </c>
      <c r="G801" s="372">
        <v>101581</v>
      </c>
      <c r="H801" s="38"/>
      <c r="I801" s="372">
        <v>300</v>
      </c>
      <c r="J801" s="13">
        <v>13510.8</v>
      </c>
      <c r="K801" s="882">
        <f t="shared" ref="K801" si="534">+A801-D801</f>
        <v>0</v>
      </c>
      <c r="L801" s="879">
        <f t="shared" ref="L801" si="535">((+B801/A801)-(E801/D801))/(B801/A801)</f>
        <v>2.1931386092073713E-4</v>
      </c>
    </row>
    <row r="802" spans="1:12" ht="15" thickBot="1" x14ac:dyDescent="0.35">
      <c r="A802" s="872"/>
      <c r="B802" s="874"/>
      <c r="C802" s="876"/>
      <c r="D802" s="876"/>
      <c r="E802" s="876"/>
      <c r="F802" s="381" t="s">
        <v>5199</v>
      </c>
      <c r="G802" s="381">
        <v>101581</v>
      </c>
      <c r="H802" s="396"/>
      <c r="I802" s="381">
        <v>91</v>
      </c>
      <c r="J802" s="16">
        <v>4040.1000000000004</v>
      </c>
      <c r="K802" s="884"/>
      <c r="L802" s="880"/>
    </row>
    <row r="803" spans="1:12" x14ac:dyDescent="0.3">
      <c r="A803" s="871">
        <v>1552</v>
      </c>
      <c r="B803" s="873">
        <v>69840.75</v>
      </c>
      <c r="C803" s="873" t="s">
        <v>5200</v>
      </c>
      <c r="D803" s="873">
        <f>+I803+I804</f>
        <v>1552</v>
      </c>
      <c r="E803" s="873">
        <f>+J803+J804</f>
        <v>69419.899999999994</v>
      </c>
      <c r="F803" s="372" t="s">
        <v>5201</v>
      </c>
      <c r="G803" s="372">
        <v>101591</v>
      </c>
      <c r="H803" s="38"/>
      <c r="I803" s="372">
        <v>1121</v>
      </c>
      <c r="J803" s="13">
        <v>50242.7</v>
      </c>
      <c r="K803" s="882">
        <f t="shared" ref="K803" si="536">+A803-D803</f>
        <v>0</v>
      </c>
      <c r="L803" s="879">
        <f t="shared" ref="L803" si="537">((+B803/A803)-(E803/D803))/(B803/A803)</f>
        <v>6.025851669691479E-3</v>
      </c>
    </row>
    <row r="804" spans="1:12" ht="15" thickBot="1" x14ac:dyDescent="0.35">
      <c r="A804" s="872"/>
      <c r="B804" s="874"/>
      <c r="C804" s="874"/>
      <c r="D804" s="874"/>
      <c r="E804" s="874"/>
      <c r="F804" s="373" t="s">
        <v>5201</v>
      </c>
      <c r="G804" s="373">
        <v>101591</v>
      </c>
      <c r="H804" s="82"/>
      <c r="I804" s="373">
        <v>431</v>
      </c>
      <c r="J804" s="11">
        <v>19177.2</v>
      </c>
      <c r="K804" s="884"/>
      <c r="L804" s="880"/>
    </row>
    <row r="805" spans="1:12" ht="15" thickBot="1" x14ac:dyDescent="0.35">
      <c r="A805" s="371">
        <v>660</v>
      </c>
      <c r="B805" s="373">
        <v>26031.599999999999</v>
      </c>
      <c r="C805" s="373" t="s">
        <v>5202</v>
      </c>
      <c r="D805" s="373">
        <f t="shared" ref="D805:E805" si="538">+I805</f>
        <v>660</v>
      </c>
      <c r="E805" s="373">
        <f t="shared" si="538"/>
        <v>24869.399999999998</v>
      </c>
      <c r="F805" s="373" t="s">
        <v>5203</v>
      </c>
      <c r="G805" s="373">
        <v>101601</v>
      </c>
      <c r="H805" s="82"/>
      <c r="I805" s="373">
        <v>660</v>
      </c>
      <c r="J805" s="11">
        <v>24869.399999999998</v>
      </c>
      <c r="K805" s="54">
        <f t="shared" ref="K805" si="539">+A805-D805</f>
        <v>0</v>
      </c>
      <c r="L805" s="31">
        <f t="shared" ref="L805" si="540">((+B805/A805)-(E805/D805))/(B805/A805)</f>
        <v>4.46457382565804E-2</v>
      </c>
    </row>
    <row r="806" spans="1:12" x14ac:dyDescent="0.3">
      <c r="A806" s="871">
        <v>440</v>
      </c>
      <c r="B806" s="873">
        <v>16980.8</v>
      </c>
      <c r="C806" s="873" t="s">
        <v>5204</v>
      </c>
      <c r="D806" s="873">
        <f>+I806+I807</f>
        <v>438</v>
      </c>
      <c r="E806" s="873">
        <f>+J806+J807</f>
        <v>16358.5</v>
      </c>
      <c r="F806" s="381" t="s">
        <v>5205</v>
      </c>
      <c r="G806" s="381">
        <v>101611</v>
      </c>
      <c r="H806" s="396"/>
      <c r="I806" s="381">
        <v>104</v>
      </c>
      <c r="J806" s="16">
        <v>3718.2</v>
      </c>
      <c r="K806" s="882">
        <f t="shared" ref="K806" si="541">+A806-D806</f>
        <v>2</v>
      </c>
      <c r="L806" s="879">
        <f t="shared" ref="L806" si="542">((+B806/A806)-(E806/D806))/(B806/A806)</f>
        <v>3.2248401310187809E-2</v>
      </c>
    </row>
    <row r="807" spans="1:12" ht="15" thickBot="1" x14ac:dyDescent="0.35">
      <c r="A807" s="872"/>
      <c r="B807" s="874"/>
      <c r="C807" s="874"/>
      <c r="D807" s="874"/>
      <c r="E807" s="874"/>
      <c r="F807" s="381" t="s">
        <v>5205</v>
      </c>
      <c r="G807" s="381">
        <v>101611</v>
      </c>
      <c r="H807" s="396"/>
      <c r="I807" s="381">
        <v>334</v>
      </c>
      <c r="J807" s="16">
        <v>12640.3</v>
      </c>
      <c r="K807" s="884"/>
      <c r="L807" s="880"/>
    </row>
    <row r="808" spans="1:12" x14ac:dyDescent="0.3">
      <c r="A808" s="871">
        <v>592</v>
      </c>
      <c r="B808" s="873">
        <v>24082.5</v>
      </c>
      <c r="C808" s="873" t="s">
        <v>5206</v>
      </c>
      <c r="D808" s="873">
        <f>+I808+I809</f>
        <v>592</v>
      </c>
      <c r="E808" s="873">
        <f>+J808+J809</f>
        <v>23856.5</v>
      </c>
      <c r="F808" s="372" t="s">
        <v>5207</v>
      </c>
      <c r="G808" s="372">
        <v>101621</v>
      </c>
      <c r="H808" s="38"/>
      <c r="I808" s="372">
        <v>400</v>
      </c>
      <c r="J808" s="13">
        <v>16205.1</v>
      </c>
      <c r="K808" s="882">
        <f t="shared" ref="K808" si="543">+A808-D808</f>
        <v>0</v>
      </c>
      <c r="L808" s="879">
        <f t="shared" ref="L808" si="544">((+B808/A808)-(E808/D808))/(B808/A808)</f>
        <v>9.3844077649744215E-3</v>
      </c>
    </row>
    <row r="809" spans="1:12" ht="15" thickBot="1" x14ac:dyDescent="0.35">
      <c r="A809" s="872"/>
      <c r="B809" s="874"/>
      <c r="C809" s="874"/>
      <c r="D809" s="874"/>
      <c r="E809" s="874"/>
      <c r="F809" s="373" t="s">
        <v>5207</v>
      </c>
      <c r="G809" s="373">
        <v>101621</v>
      </c>
      <c r="H809" s="82"/>
      <c r="I809" s="373">
        <v>192</v>
      </c>
      <c r="J809" s="11">
        <v>7651.4</v>
      </c>
      <c r="K809" s="884"/>
      <c r="L809" s="880"/>
    </row>
    <row r="810" spans="1:12" ht="15" thickBot="1" x14ac:dyDescent="0.35">
      <c r="A810" s="371">
        <v>214</v>
      </c>
      <c r="B810" s="373">
        <v>9116</v>
      </c>
      <c r="C810" s="373" t="s">
        <v>5208</v>
      </c>
      <c r="D810" s="8">
        <f t="shared" ref="D810:E812" si="545">+I810</f>
        <v>213</v>
      </c>
      <c r="E810" s="8">
        <f t="shared" si="545"/>
        <v>8568.4</v>
      </c>
      <c r="F810" s="373" t="s">
        <v>5209</v>
      </c>
      <c r="G810" s="373">
        <v>101641</v>
      </c>
      <c r="H810" s="82"/>
      <c r="I810" s="373">
        <v>213</v>
      </c>
      <c r="J810" s="11">
        <v>8568.4</v>
      </c>
      <c r="K810" s="54">
        <f t="shared" ref="K810:K816" si="546">+A810-D810</f>
        <v>1</v>
      </c>
      <c r="L810" s="31">
        <f t="shared" ref="L810:L816" si="547">((+B810/A810)-(E810/D810))/(B810/A810)</f>
        <v>5.5657390297614268E-2</v>
      </c>
    </row>
    <row r="811" spans="1:12" ht="15" thickBot="1" x14ac:dyDescent="0.35">
      <c r="A811" s="175">
        <v>880</v>
      </c>
      <c r="B811" s="8">
        <v>35932.1</v>
      </c>
      <c r="C811" s="8" t="s">
        <v>5210</v>
      </c>
      <c r="D811" s="8">
        <f t="shared" si="545"/>
        <v>881</v>
      </c>
      <c r="E811" s="8">
        <f t="shared" si="545"/>
        <v>34824</v>
      </c>
      <c r="F811" s="8" t="s">
        <v>5211</v>
      </c>
      <c r="G811" s="8">
        <v>101651</v>
      </c>
      <c r="H811" s="80"/>
      <c r="I811" s="8">
        <v>881</v>
      </c>
      <c r="J811" s="9">
        <v>34824</v>
      </c>
      <c r="K811" s="54">
        <f t="shared" si="546"/>
        <v>-1</v>
      </c>
      <c r="L811" s="31">
        <f t="shared" si="547"/>
        <v>3.1938790365929066E-2</v>
      </c>
    </row>
    <row r="812" spans="1:12" ht="15" thickBot="1" x14ac:dyDescent="0.35">
      <c r="A812" s="178">
        <v>962</v>
      </c>
      <c r="B812" s="45">
        <v>39542.5</v>
      </c>
      <c r="C812" s="45" t="s">
        <v>5212</v>
      </c>
      <c r="D812" s="8">
        <f t="shared" si="545"/>
        <v>962</v>
      </c>
      <c r="E812" s="8">
        <f t="shared" si="545"/>
        <v>38501.599999999991</v>
      </c>
      <c r="F812" s="45" t="s">
        <v>5213</v>
      </c>
      <c r="G812" s="45">
        <v>101661</v>
      </c>
      <c r="H812" s="14"/>
      <c r="I812" s="45">
        <v>962</v>
      </c>
      <c r="J812" s="46">
        <v>38501.599999999991</v>
      </c>
      <c r="K812" s="54">
        <f t="shared" si="546"/>
        <v>0</v>
      </c>
      <c r="L812" s="31">
        <f t="shared" si="547"/>
        <v>2.6323575899348979E-2</v>
      </c>
    </row>
    <row r="813" spans="1:12" ht="15" thickBot="1" x14ac:dyDescent="0.35">
      <c r="A813" s="178">
        <v>900</v>
      </c>
      <c r="B813" s="45">
        <v>32843</v>
      </c>
      <c r="C813" s="45" t="s">
        <v>5214</v>
      </c>
      <c r="D813" s="8">
        <v>900</v>
      </c>
      <c r="E813" s="8">
        <v>32331.7</v>
      </c>
      <c r="F813" s="45" t="s">
        <v>5215</v>
      </c>
      <c r="G813" s="45">
        <v>101681</v>
      </c>
      <c r="H813" s="14"/>
      <c r="I813" s="45">
        <v>600</v>
      </c>
      <c r="J813" s="46">
        <v>21394.9</v>
      </c>
      <c r="K813" s="54">
        <f t="shared" si="546"/>
        <v>0</v>
      </c>
      <c r="L813" s="31">
        <f t="shared" si="547"/>
        <v>1.5568005358828471E-2</v>
      </c>
    </row>
    <row r="814" spans="1:12" ht="15" thickBot="1" x14ac:dyDescent="0.35">
      <c r="A814" s="178">
        <v>465</v>
      </c>
      <c r="B814" s="45">
        <v>18984.75</v>
      </c>
      <c r="C814" s="45" t="s">
        <v>5216</v>
      </c>
      <c r="D814" s="45">
        <f>+I814</f>
        <v>465</v>
      </c>
      <c r="E814" s="45">
        <f>+J814</f>
        <v>18842.800000000003</v>
      </c>
      <c r="F814" s="45" t="s">
        <v>5217</v>
      </c>
      <c r="G814" s="45">
        <v>101691</v>
      </c>
      <c r="H814" s="14"/>
      <c r="I814" s="45">
        <v>465</v>
      </c>
      <c r="J814" s="46">
        <v>18842.800000000003</v>
      </c>
      <c r="K814" s="54">
        <f t="shared" si="546"/>
        <v>0</v>
      </c>
      <c r="L814" s="31">
        <f t="shared" si="547"/>
        <v>7.4770539511974845E-3</v>
      </c>
    </row>
    <row r="815" spans="1:12" ht="15" thickBot="1" x14ac:dyDescent="0.35">
      <c r="A815" s="178">
        <v>913</v>
      </c>
      <c r="B815" s="45">
        <v>32282</v>
      </c>
      <c r="C815" s="45" t="s">
        <v>5218</v>
      </c>
      <c r="D815" s="45">
        <v>913</v>
      </c>
      <c r="E815" s="45">
        <v>31750.400000000001</v>
      </c>
      <c r="F815" s="45" t="s">
        <v>5219</v>
      </c>
      <c r="G815" s="45">
        <v>101711</v>
      </c>
      <c r="H815" s="14"/>
      <c r="I815" s="45">
        <v>400</v>
      </c>
      <c r="J815" s="46">
        <v>13974.3</v>
      </c>
      <c r="K815" s="54">
        <f t="shared" si="546"/>
        <v>0</v>
      </c>
      <c r="L815" s="31">
        <f t="shared" si="547"/>
        <v>1.6467381203147183E-2</v>
      </c>
    </row>
    <row r="816" spans="1:12" x14ac:dyDescent="0.3">
      <c r="A816" s="875">
        <v>1372</v>
      </c>
      <c r="B816" s="881">
        <v>55891.199999999997</v>
      </c>
      <c r="C816" s="881" t="s">
        <v>5278</v>
      </c>
      <c r="D816" s="881">
        <f>+I816+I817</f>
        <v>1372</v>
      </c>
      <c r="E816" s="881">
        <f>+J816+J817</f>
        <v>54323.600000000006</v>
      </c>
      <c r="F816" s="50" t="s">
        <v>5279</v>
      </c>
      <c r="G816" s="50">
        <v>101721</v>
      </c>
      <c r="I816" s="50">
        <v>572</v>
      </c>
      <c r="J816" s="51">
        <v>22661.4</v>
      </c>
      <c r="K816" s="882">
        <f t="shared" si="546"/>
        <v>0</v>
      </c>
      <c r="L816" s="879">
        <f t="shared" si="547"/>
        <v>2.8047349135463071E-2</v>
      </c>
    </row>
    <row r="817" spans="1:12" ht="15" thickBot="1" x14ac:dyDescent="0.35">
      <c r="A817" s="872"/>
      <c r="B817" s="874"/>
      <c r="C817" s="874"/>
      <c r="D817" s="874"/>
      <c r="E817" s="874"/>
      <c r="F817" s="393" t="s">
        <v>5279</v>
      </c>
      <c r="G817" s="393">
        <v>101721</v>
      </c>
      <c r="H817" s="394"/>
      <c r="I817" s="393">
        <v>800</v>
      </c>
      <c r="J817" s="44">
        <v>31662.2</v>
      </c>
      <c r="K817" s="884"/>
      <c r="L817" s="880"/>
    </row>
    <row r="818" spans="1:12" x14ac:dyDescent="0.3">
      <c r="A818" s="871">
        <v>788</v>
      </c>
      <c r="B818" s="873">
        <v>30741.200000000001</v>
      </c>
      <c r="C818" s="873" t="s">
        <v>5280</v>
      </c>
      <c r="D818" s="873">
        <f>+I818+I819</f>
        <v>756</v>
      </c>
      <c r="E818" s="873">
        <f>+J818+J819</f>
        <v>28522.400000000001</v>
      </c>
      <c r="F818" s="392" t="s">
        <v>5281</v>
      </c>
      <c r="G818" s="392">
        <v>101751</v>
      </c>
      <c r="H818" s="40"/>
      <c r="I818" s="392">
        <v>600</v>
      </c>
      <c r="J818" s="41">
        <v>22599.100000000002</v>
      </c>
      <c r="K818" s="882">
        <f t="shared" ref="K818" si="548">+A818-D818</f>
        <v>32</v>
      </c>
      <c r="L818" s="879">
        <f t="shared" ref="L818" si="549">((+B818/A818)-(E818/D818))/(B818/A818)</f>
        <v>3.290381135097676E-2</v>
      </c>
    </row>
    <row r="819" spans="1:12" ht="15" thickBot="1" x14ac:dyDescent="0.35">
      <c r="A819" s="872"/>
      <c r="B819" s="874"/>
      <c r="C819" s="874"/>
      <c r="D819" s="874"/>
      <c r="E819" s="874"/>
      <c r="F819" s="393" t="s">
        <v>5281</v>
      </c>
      <c r="G819" s="393">
        <v>101751</v>
      </c>
      <c r="H819" s="394"/>
      <c r="I819" s="393">
        <v>156</v>
      </c>
      <c r="J819" s="44">
        <v>5923.3</v>
      </c>
      <c r="K819" s="884"/>
      <c r="L819" s="880"/>
    </row>
    <row r="820" spans="1:12" x14ac:dyDescent="0.3">
      <c r="A820" s="875">
        <v>1512</v>
      </c>
      <c r="B820" s="881">
        <v>64206.1</v>
      </c>
      <c r="C820" s="881" t="s">
        <v>5282</v>
      </c>
      <c r="D820" s="881">
        <f>+I820+I821+I822</f>
        <v>1512</v>
      </c>
      <c r="E820" s="881">
        <f>+J820+J821+J822</f>
        <v>62898.700000000004</v>
      </c>
      <c r="F820" s="50" t="s">
        <v>5283</v>
      </c>
      <c r="G820" s="50">
        <v>101791</v>
      </c>
      <c r="I820" s="50">
        <v>675</v>
      </c>
      <c r="J820" s="51">
        <v>27800.6</v>
      </c>
      <c r="K820" s="882">
        <f t="shared" ref="K820" si="550">+A820-D820</f>
        <v>0</v>
      </c>
      <c r="L820" s="879">
        <f t="shared" ref="L820" si="551">((+B820/A820)-(E820/D820))/(B820/A820)</f>
        <v>2.0362551221768502E-2</v>
      </c>
    </row>
    <row r="821" spans="1:12" x14ac:dyDescent="0.3">
      <c r="A821" s="875"/>
      <c r="B821" s="881"/>
      <c r="C821" s="881"/>
      <c r="D821" s="881"/>
      <c r="E821" s="881"/>
      <c r="F821" s="50" t="s">
        <v>5283</v>
      </c>
      <c r="G821" s="50">
        <v>101791</v>
      </c>
      <c r="I821" s="50">
        <v>697</v>
      </c>
      <c r="J821" s="51">
        <v>29506.2</v>
      </c>
      <c r="K821" s="883"/>
      <c r="L821" s="885"/>
    </row>
    <row r="822" spans="1:12" ht="15" thickBot="1" x14ac:dyDescent="0.35">
      <c r="A822" s="872"/>
      <c r="B822" s="874"/>
      <c r="C822" s="874"/>
      <c r="D822" s="874"/>
      <c r="E822" s="874"/>
      <c r="F822" s="393" t="s">
        <v>5283</v>
      </c>
      <c r="G822" s="393">
        <v>101791</v>
      </c>
      <c r="H822" s="394"/>
      <c r="I822" s="393">
        <v>140</v>
      </c>
      <c r="J822" s="44">
        <v>5591.9</v>
      </c>
      <c r="K822" s="884"/>
      <c r="L822" s="880"/>
    </row>
    <row r="823" spans="1:12" ht="15" thickBot="1" x14ac:dyDescent="0.35">
      <c r="A823" s="389">
        <v>393</v>
      </c>
      <c r="B823" s="393">
        <v>15657.9</v>
      </c>
      <c r="C823" s="393" t="s">
        <v>5284</v>
      </c>
      <c r="D823" s="393">
        <f t="shared" ref="D823:E824" si="552">+I823</f>
        <v>393</v>
      </c>
      <c r="E823" s="393">
        <f t="shared" si="552"/>
        <v>15143.599999999999</v>
      </c>
      <c r="F823" s="393" t="s">
        <v>5285</v>
      </c>
      <c r="G823" s="393">
        <v>101801</v>
      </c>
      <c r="H823" s="394"/>
      <c r="I823" s="393">
        <v>393</v>
      </c>
      <c r="J823" s="44">
        <v>15143.599999999999</v>
      </c>
      <c r="K823" s="54">
        <f t="shared" ref="K823:K824" si="553">+A823-D823</f>
        <v>0</v>
      </c>
      <c r="L823" s="31">
        <f t="shared" ref="L823:L824" si="554">((+B823/A823)-(E823/D823))/(B823/A823)</f>
        <v>3.284603937948264E-2</v>
      </c>
    </row>
    <row r="824" spans="1:12" ht="15" thickBot="1" x14ac:dyDescent="0.35">
      <c r="A824" s="388">
        <v>880</v>
      </c>
      <c r="B824" s="392">
        <v>35147.199999999997</v>
      </c>
      <c r="C824" s="392" t="s">
        <v>5286</v>
      </c>
      <c r="D824" s="50">
        <f t="shared" si="552"/>
        <v>880</v>
      </c>
      <c r="E824" s="50">
        <f t="shared" si="552"/>
        <v>34315.5</v>
      </c>
      <c r="F824" s="392" t="s">
        <v>5287</v>
      </c>
      <c r="G824" s="392">
        <v>101811</v>
      </c>
      <c r="H824" s="40"/>
      <c r="I824" s="392">
        <v>880</v>
      </c>
      <c r="J824" s="41">
        <v>34315.5</v>
      </c>
      <c r="K824" s="54">
        <f t="shared" si="553"/>
        <v>0</v>
      </c>
      <c r="L824" s="31">
        <f t="shared" si="554"/>
        <v>2.3663335912960354E-2</v>
      </c>
    </row>
    <row r="825" spans="1:12" x14ac:dyDescent="0.3">
      <c r="A825" s="871">
        <v>657</v>
      </c>
      <c r="B825" s="873">
        <v>26369.5</v>
      </c>
      <c r="C825" s="873" t="s">
        <v>5288</v>
      </c>
      <c r="D825" s="873">
        <f>+I825+I826</f>
        <v>657</v>
      </c>
      <c r="E825" s="873">
        <f>+J825+J826</f>
        <v>25642.799999999999</v>
      </c>
      <c r="F825" s="392" t="s">
        <v>5289</v>
      </c>
      <c r="G825" s="392">
        <v>101831</v>
      </c>
      <c r="H825" s="40"/>
      <c r="I825" s="392">
        <v>534</v>
      </c>
      <c r="J825" s="41">
        <v>20678.3</v>
      </c>
      <c r="K825" s="882">
        <f t="shared" ref="K825" si="555">+A825-D825</f>
        <v>0</v>
      </c>
      <c r="L825" s="879">
        <f t="shared" ref="L825" si="556">((+B825/A825)-(E825/D825))/(B825/A825)</f>
        <v>2.7558353400709105E-2</v>
      </c>
    </row>
    <row r="826" spans="1:12" ht="15" thickBot="1" x14ac:dyDescent="0.35">
      <c r="A826" s="872"/>
      <c r="B826" s="874"/>
      <c r="C826" s="874"/>
      <c r="D826" s="874"/>
      <c r="E826" s="874"/>
      <c r="F826" s="393" t="s">
        <v>5289</v>
      </c>
      <c r="G826" s="393">
        <v>101831</v>
      </c>
      <c r="H826" s="394"/>
      <c r="I826" s="393">
        <v>123</v>
      </c>
      <c r="J826" s="44">
        <v>4964.5</v>
      </c>
      <c r="K826" s="884"/>
      <c r="L826" s="880"/>
    </row>
    <row r="827" spans="1:12" ht="15" thickBot="1" x14ac:dyDescent="0.35">
      <c r="A827" s="389">
        <v>510</v>
      </c>
      <c r="B827" s="393">
        <v>21350</v>
      </c>
      <c r="C827" s="393" t="s">
        <v>5290</v>
      </c>
      <c r="D827" s="393">
        <f t="shared" ref="D827:E828" si="557">+I827</f>
        <v>510</v>
      </c>
      <c r="E827" s="393">
        <f t="shared" si="557"/>
        <v>20497.500000000004</v>
      </c>
      <c r="F827" s="393" t="s">
        <v>5291</v>
      </c>
      <c r="G827" s="393">
        <v>101841</v>
      </c>
      <c r="H827" s="394"/>
      <c r="I827" s="393">
        <v>510</v>
      </c>
      <c r="J827" s="44">
        <v>20497.500000000004</v>
      </c>
      <c r="K827" s="54">
        <f t="shared" ref="K827:K828" si="558">+A827-D827</f>
        <v>0</v>
      </c>
      <c r="L827" s="31">
        <f t="shared" ref="L827:L828" si="559">((+B827/A827)-(E827/D827))/(B827/A827)</f>
        <v>3.992974238875862E-2</v>
      </c>
    </row>
    <row r="828" spans="1:12" ht="15" thickBot="1" x14ac:dyDescent="0.35">
      <c r="A828" s="178">
        <v>647</v>
      </c>
      <c r="B828" s="45">
        <v>27582.400000000001</v>
      </c>
      <c r="C828" s="45" t="s">
        <v>5292</v>
      </c>
      <c r="D828" s="45">
        <f t="shared" si="557"/>
        <v>647</v>
      </c>
      <c r="E828" s="45">
        <f t="shared" si="557"/>
        <v>27338.9</v>
      </c>
      <c r="F828" s="45" t="s">
        <v>5293</v>
      </c>
      <c r="G828" s="45">
        <v>101871</v>
      </c>
      <c r="H828" s="14"/>
      <c r="I828" s="45">
        <v>647</v>
      </c>
      <c r="J828" s="46">
        <v>27338.9</v>
      </c>
      <c r="K828" s="54">
        <f t="shared" si="558"/>
        <v>0</v>
      </c>
      <c r="L828" s="31">
        <f t="shared" si="559"/>
        <v>8.8280932768722269E-3</v>
      </c>
    </row>
    <row r="829" spans="1:12" x14ac:dyDescent="0.3">
      <c r="A829" s="871">
        <v>1134</v>
      </c>
      <c r="B829" s="873">
        <v>48451.75</v>
      </c>
      <c r="C829" s="873" t="s">
        <v>5294</v>
      </c>
      <c r="D829" s="873">
        <f>+I829+I830</f>
        <v>1134</v>
      </c>
      <c r="E829" s="873">
        <f>+J829+J830</f>
        <v>47658.2</v>
      </c>
      <c r="F829" s="392" t="s">
        <v>5295</v>
      </c>
      <c r="G829" s="392">
        <v>101881</v>
      </c>
      <c r="H829" s="40"/>
      <c r="I829" s="392">
        <v>624</v>
      </c>
      <c r="J829" s="41">
        <v>26037.699999999997</v>
      </c>
      <c r="K829" s="882">
        <f t="shared" ref="K829" si="560">+A829-D829</f>
        <v>0</v>
      </c>
      <c r="L829" s="879">
        <f t="shared" ref="L829" si="561">((+B829/A829)-(E829/D829))/(B829/A829)</f>
        <v>1.6378149396048567E-2</v>
      </c>
    </row>
    <row r="830" spans="1:12" ht="15" thickBot="1" x14ac:dyDescent="0.35">
      <c r="A830" s="872"/>
      <c r="B830" s="874"/>
      <c r="C830" s="874"/>
      <c r="D830" s="874"/>
      <c r="E830" s="874"/>
      <c r="F830" s="393" t="s">
        <v>5295</v>
      </c>
      <c r="G830" s="393">
        <v>101881</v>
      </c>
      <c r="H830" s="394"/>
      <c r="I830" s="393">
        <v>510</v>
      </c>
      <c r="J830" s="44">
        <v>21620.5</v>
      </c>
      <c r="K830" s="884"/>
      <c r="L830" s="880"/>
    </row>
    <row r="831" spans="1:12" ht="15" thickBot="1" x14ac:dyDescent="0.35">
      <c r="A831" s="385">
        <v>660</v>
      </c>
      <c r="B831" s="387">
        <v>27291.3</v>
      </c>
      <c r="C831" s="387" t="s">
        <v>5296</v>
      </c>
      <c r="D831" s="387">
        <f t="shared" ref="D831:E833" si="562">+I831</f>
        <v>660</v>
      </c>
      <c r="E831" s="387">
        <f t="shared" si="562"/>
        <v>26648.9</v>
      </c>
      <c r="F831" s="393" t="s">
        <v>5297</v>
      </c>
      <c r="G831" s="393">
        <v>101961</v>
      </c>
      <c r="H831" s="394"/>
      <c r="I831" s="393">
        <v>660</v>
      </c>
      <c r="J831" s="44">
        <v>26648.9</v>
      </c>
      <c r="K831" s="54">
        <f t="shared" ref="K831:K833" si="563">+A831-D831</f>
        <v>0</v>
      </c>
      <c r="L831" s="31">
        <f t="shared" ref="L831:L833" si="564">((+B831/A831)-(E831/D831))/(B831/A831)</f>
        <v>2.353863685496833E-2</v>
      </c>
    </row>
    <row r="832" spans="1:12" ht="15" thickBot="1" x14ac:dyDescent="0.35">
      <c r="A832" s="178">
        <v>754</v>
      </c>
      <c r="B832" s="45">
        <v>32169</v>
      </c>
      <c r="C832" s="45" t="s">
        <v>5298</v>
      </c>
      <c r="D832" s="393">
        <f t="shared" si="562"/>
        <v>754</v>
      </c>
      <c r="E832" s="393">
        <f t="shared" si="562"/>
        <v>31302.699999999997</v>
      </c>
      <c r="F832" s="45" t="s">
        <v>5299</v>
      </c>
      <c r="G832" s="45">
        <v>101971</v>
      </c>
      <c r="H832" s="14"/>
      <c r="I832" s="45">
        <v>754</v>
      </c>
      <c r="J832" s="46">
        <v>31302.699999999997</v>
      </c>
      <c r="K832" s="54">
        <f t="shared" si="563"/>
        <v>0</v>
      </c>
      <c r="L832" s="31">
        <f t="shared" si="564"/>
        <v>2.6929652771301691E-2</v>
      </c>
    </row>
    <row r="833" spans="1:12" ht="15" thickBot="1" x14ac:dyDescent="0.35">
      <c r="A833" s="212">
        <v>715</v>
      </c>
      <c r="B833" s="50">
        <v>27094.23</v>
      </c>
      <c r="C833" s="50" t="s">
        <v>5300</v>
      </c>
      <c r="D833" s="50">
        <f t="shared" si="562"/>
        <v>715</v>
      </c>
      <c r="E833" s="50">
        <f t="shared" si="562"/>
        <v>26251.100000000002</v>
      </c>
      <c r="F833" s="50" t="s">
        <v>5301</v>
      </c>
      <c r="G833" s="50">
        <v>101981</v>
      </c>
      <c r="I833" s="50">
        <v>715</v>
      </c>
      <c r="J833" s="51">
        <v>26251.100000000002</v>
      </c>
      <c r="K833" s="54">
        <f t="shared" si="563"/>
        <v>0</v>
      </c>
      <c r="L833" s="31">
        <f t="shared" si="564"/>
        <v>3.1118433703411965E-2</v>
      </c>
    </row>
    <row r="834" spans="1:12" x14ac:dyDescent="0.3">
      <c r="A834" s="871">
        <v>664</v>
      </c>
      <c r="B834" s="873">
        <v>28526.25</v>
      </c>
      <c r="C834" s="873" t="s">
        <v>5302</v>
      </c>
      <c r="D834" s="873">
        <f>+I834+I835</f>
        <v>664</v>
      </c>
      <c r="E834" s="873">
        <f>+J834+J835</f>
        <v>27876.5</v>
      </c>
      <c r="F834" s="392" t="s">
        <v>5303</v>
      </c>
      <c r="G834" s="392">
        <v>102001</v>
      </c>
      <c r="H834" s="40"/>
      <c r="I834" s="392">
        <v>400</v>
      </c>
      <c r="J834" s="41">
        <v>16941.199999999997</v>
      </c>
      <c r="K834" s="882">
        <f t="shared" ref="K834" si="565">+A834-D834</f>
        <v>0</v>
      </c>
      <c r="L834" s="879">
        <f t="shared" ref="L834" si="566">((+B834/A834)-(E834/D834))/(B834/A834)</f>
        <v>2.2777266552736455E-2</v>
      </c>
    </row>
    <row r="835" spans="1:12" ht="15" thickBot="1" x14ac:dyDescent="0.35">
      <c r="A835" s="872"/>
      <c r="B835" s="874"/>
      <c r="C835" s="874"/>
      <c r="D835" s="874"/>
      <c r="E835" s="874"/>
      <c r="F835" s="393" t="s">
        <v>5303</v>
      </c>
      <c r="G835" s="393">
        <v>102001</v>
      </c>
      <c r="H835" s="394"/>
      <c r="I835" s="393">
        <v>264</v>
      </c>
      <c r="J835" s="44">
        <v>10935.300000000001</v>
      </c>
      <c r="K835" s="884"/>
      <c r="L835" s="880"/>
    </row>
    <row r="836" spans="1:12" ht="15" thickBot="1" x14ac:dyDescent="0.35">
      <c r="A836" s="175">
        <v>595</v>
      </c>
      <c r="B836" s="8">
        <v>23995.5</v>
      </c>
      <c r="C836" s="161" t="s">
        <v>5430</v>
      </c>
      <c r="D836" s="8">
        <f>+I836</f>
        <v>595</v>
      </c>
      <c r="E836" s="8">
        <f>+J836</f>
        <v>23439.200000000001</v>
      </c>
      <c r="F836" s="45" t="s">
        <v>5431</v>
      </c>
      <c r="G836" s="45">
        <v>103031</v>
      </c>
      <c r="H836" s="14"/>
      <c r="I836" s="45">
        <v>595</v>
      </c>
      <c r="J836" s="46">
        <v>23439.200000000001</v>
      </c>
      <c r="K836" s="403">
        <f t="shared" ref="K836" si="567">+A836-D836</f>
        <v>0</v>
      </c>
      <c r="L836" s="412">
        <f t="shared" ref="L836" si="568">((+B836/A836)-(E836/D836))/(B836/A836)</f>
        <v>2.3183513575462097E-2</v>
      </c>
    </row>
    <row r="837" spans="1:12" ht="15" thickBot="1" x14ac:dyDescent="0.35">
      <c r="A837" s="389">
        <v>1642</v>
      </c>
      <c r="B837" s="393">
        <v>56827.25</v>
      </c>
      <c r="C837" s="387" t="s">
        <v>5304</v>
      </c>
      <c r="D837" s="393">
        <v>1592</v>
      </c>
      <c r="E837" s="393">
        <v>53615.3</v>
      </c>
      <c r="F837" s="393" t="s">
        <v>5305</v>
      </c>
      <c r="G837" s="393">
        <v>102071</v>
      </c>
      <c r="H837" s="394"/>
      <c r="I837" s="393">
        <v>400</v>
      </c>
      <c r="J837" s="44">
        <v>13253.5</v>
      </c>
      <c r="K837" s="403">
        <f t="shared" ref="K837" si="569">+A837-D837</f>
        <v>50</v>
      </c>
      <c r="L837" s="412">
        <f t="shared" ref="L837" si="570">((+B837/A837)-(E837/D837))/(B837/A837)</f>
        <v>2.6889430456949241E-2</v>
      </c>
    </row>
    <row r="838" spans="1:12" ht="15" thickBot="1" x14ac:dyDescent="0.35">
      <c r="A838" s="411">
        <v>242</v>
      </c>
      <c r="B838" s="414">
        <v>10865</v>
      </c>
      <c r="C838" s="407" t="s">
        <v>5432</v>
      </c>
      <c r="D838" s="414">
        <f t="shared" ref="D838:E843" si="571">+I838</f>
        <v>242</v>
      </c>
      <c r="E838" s="414">
        <f t="shared" si="571"/>
        <v>10725.5</v>
      </c>
      <c r="F838" s="414" t="s">
        <v>5433</v>
      </c>
      <c r="G838" s="414">
        <v>102091</v>
      </c>
      <c r="H838" s="415"/>
      <c r="I838" s="414">
        <v>242</v>
      </c>
      <c r="J838" s="44">
        <v>10725.5</v>
      </c>
      <c r="K838" s="403">
        <f t="shared" ref="K838:K840" si="572">+A838-D838</f>
        <v>0</v>
      </c>
      <c r="L838" s="412">
        <f t="shared" ref="L838:L840" si="573">((+B838/A838)-(E838/D838))/(B838/A838)</f>
        <v>1.2839392544868921E-2</v>
      </c>
    </row>
    <row r="839" spans="1:12" ht="15" thickBot="1" x14ac:dyDescent="0.35">
      <c r="A839" s="410">
        <v>655</v>
      </c>
      <c r="B839" s="413">
        <v>26820.7</v>
      </c>
      <c r="C839" s="404" t="s">
        <v>5434</v>
      </c>
      <c r="D839" s="413">
        <f t="shared" si="571"/>
        <v>655</v>
      </c>
      <c r="E839" s="413">
        <f t="shared" si="571"/>
        <v>26155.8</v>
      </c>
      <c r="F839" s="413" t="s">
        <v>5435</v>
      </c>
      <c r="G839" s="413">
        <v>102151</v>
      </c>
      <c r="H839" s="40"/>
      <c r="I839" s="413">
        <v>655</v>
      </c>
      <c r="J839" s="41">
        <v>26155.8</v>
      </c>
      <c r="K839" s="403">
        <f t="shared" si="572"/>
        <v>0</v>
      </c>
      <c r="L839" s="412">
        <f t="shared" si="573"/>
        <v>2.4790553564970407E-2</v>
      </c>
    </row>
    <row r="840" spans="1:12" x14ac:dyDescent="0.3">
      <c r="A840" s="871">
        <v>1406</v>
      </c>
      <c r="B840" s="873">
        <v>53997.9</v>
      </c>
      <c r="C840" s="873" t="s">
        <v>5436</v>
      </c>
      <c r="D840" s="873">
        <f>+I840+I842+I841</f>
        <v>1406</v>
      </c>
      <c r="E840" s="873">
        <f>+J840+J842+J841</f>
        <v>52231.8</v>
      </c>
      <c r="F840" s="413" t="s">
        <v>5437</v>
      </c>
      <c r="G840" s="413">
        <v>102161</v>
      </c>
      <c r="H840" s="40"/>
      <c r="I840" s="413">
        <v>800</v>
      </c>
      <c r="J840" s="41">
        <v>30374</v>
      </c>
      <c r="K840" s="882">
        <f t="shared" si="572"/>
        <v>0</v>
      </c>
      <c r="L840" s="879">
        <f t="shared" si="573"/>
        <v>3.270682748773554E-2</v>
      </c>
    </row>
    <row r="841" spans="1:12" x14ac:dyDescent="0.3">
      <c r="A841" s="875"/>
      <c r="B841" s="881"/>
      <c r="C841" s="881"/>
      <c r="D841" s="881"/>
      <c r="E841" s="881"/>
      <c r="F841" s="50" t="s">
        <v>5437</v>
      </c>
      <c r="G841" s="50">
        <v>102161</v>
      </c>
      <c r="I841" s="50">
        <v>416</v>
      </c>
      <c r="J841" s="51">
        <v>14658.8</v>
      </c>
      <c r="K841" s="883"/>
      <c r="L841" s="885"/>
    </row>
    <row r="842" spans="1:12" ht="15" thickBot="1" x14ac:dyDescent="0.35">
      <c r="A842" s="872"/>
      <c r="B842" s="874"/>
      <c r="C842" s="874"/>
      <c r="D842" s="874"/>
      <c r="E842" s="874"/>
      <c r="F842" s="414" t="s">
        <v>5437</v>
      </c>
      <c r="G842" s="414">
        <v>102161</v>
      </c>
      <c r="H842" s="415"/>
      <c r="I842" s="414">
        <v>190</v>
      </c>
      <c r="J842" s="44">
        <v>7199</v>
      </c>
      <c r="K842" s="884"/>
      <c r="L842" s="880"/>
    </row>
    <row r="843" spans="1:12" ht="15" thickBot="1" x14ac:dyDescent="0.35">
      <c r="A843" s="411">
        <v>660</v>
      </c>
      <c r="B843" s="414">
        <v>27085.200000000001</v>
      </c>
      <c r="C843" s="407" t="s">
        <v>5438</v>
      </c>
      <c r="D843" s="414">
        <f t="shared" si="571"/>
        <v>659</v>
      </c>
      <c r="E843" s="414">
        <f t="shared" si="571"/>
        <v>26282.5</v>
      </c>
      <c r="F843" s="414" t="s">
        <v>5439</v>
      </c>
      <c r="G843" s="414">
        <v>102191</v>
      </c>
      <c r="H843" s="415"/>
      <c r="I843" s="414">
        <v>659</v>
      </c>
      <c r="J843" s="44">
        <v>26282.5</v>
      </c>
      <c r="K843" s="403">
        <f t="shared" ref="K843:K846" si="574">+A843-D843</f>
        <v>1</v>
      </c>
      <c r="L843" s="412">
        <f t="shared" ref="L843:L846" si="575">((+B843/A843)-(E843/D843))/(B843/A843)</f>
        <v>2.8163631888556161E-2</v>
      </c>
    </row>
    <row r="844" spans="1:12" ht="15" thickBot="1" x14ac:dyDescent="0.35">
      <c r="A844" s="178">
        <v>429</v>
      </c>
      <c r="B844" s="45">
        <v>18505.75</v>
      </c>
      <c r="C844" s="8" t="s">
        <v>5440</v>
      </c>
      <c r="D844" s="45">
        <f>+I844</f>
        <v>429</v>
      </c>
      <c r="E844" s="45">
        <f>+J844</f>
        <v>17702.400000000001</v>
      </c>
      <c r="F844" s="45" t="s">
        <v>5441</v>
      </c>
      <c r="G844" s="45">
        <v>102231</v>
      </c>
      <c r="H844" s="14"/>
      <c r="I844" s="45">
        <v>429</v>
      </c>
      <c r="J844" s="46">
        <v>17702.400000000001</v>
      </c>
      <c r="K844" s="403">
        <f t="shared" si="574"/>
        <v>0</v>
      </c>
      <c r="L844" s="412">
        <f t="shared" si="575"/>
        <v>4.3410831768504236E-2</v>
      </c>
    </row>
    <row r="845" spans="1:12" ht="15" thickBot="1" x14ac:dyDescent="0.35">
      <c r="A845" s="178">
        <v>211</v>
      </c>
      <c r="B845" s="45">
        <v>8947</v>
      </c>
      <c r="C845" s="8" t="s">
        <v>5442</v>
      </c>
      <c r="D845" s="45">
        <f>+I845</f>
        <v>212</v>
      </c>
      <c r="E845" s="45">
        <f>+J845</f>
        <v>8597.7000000000007</v>
      </c>
      <c r="F845" s="45" t="s">
        <v>5443</v>
      </c>
      <c r="G845" s="45">
        <v>102241</v>
      </c>
      <c r="H845" s="14"/>
      <c r="I845" s="45">
        <v>212</v>
      </c>
      <c r="J845" s="46">
        <v>8597.7000000000007</v>
      </c>
      <c r="K845" s="403">
        <f t="shared" si="574"/>
        <v>-1</v>
      </c>
      <c r="L845" s="412">
        <f t="shared" si="575"/>
        <v>4.3573844716580386E-2</v>
      </c>
    </row>
    <row r="846" spans="1:12" x14ac:dyDescent="0.3">
      <c r="A846" s="871">
        <v>628</v>
      </c>
      <c r="B846" s="873">
        <v>22398.5</v>
      </c>
      <c r="C846" s="873" t="s">
        <v>5444</v>
      </c>
      <c r="D846" s="873">
        <f>+I846+I847</f>
        <v>628</v>
      </c>
      <c r="E846" s="873">
        <f>+J846+J847</f>
        <v>22181.7</v>
      </c>
      <c r="F846" s="413" t="s">
        <v>5445</v>
      </c>
      <c r="G846" s="413">
        <v>102251</v>
      </c>
      <c r="H846" s="40"/>
      <c r="I846" s="413">
        <v>296</v>
      </c>
      <c r="J846" s="41">
        <v>10648.8</v>
      </c>
      <c r="K846" s="882">
        <f t="shared" si="574"/>
        <v>0</v>
      </c>
      <c r="L846" s="879">
        <f t="shared" si="575"/>
        <v>9.6792195905975771E-3</v>
      </c>
    </row>
    <row r="847" spans="1:12" ht="15" thickBot="1" x14ac:dyDescent="0.35">
      <c r="A847" s="872"/>
      <c r="B847" s="874"/>
      <c r="C847" s="874"/>
      <c r="D847" s="874"/>
      <c r="E847" s="874"/>
      <c r="F847" s="414" t="s">
        <v>5445</v>
      </c>
      <c r="G847" s="414">
        <v>102251</v>
      </c>
      <c r="H847" s="415"/>
      <c r="I847" s="414">
        <v>332</v>
      </c>
      <c r="J847" s="44">
        <v>11532.900000000001</v>
      </c>
      <c r="K847" s="884"/>
      <c r="L847" s="880"/>
    </row>
    <row r="848" spans="1:12" ht="15" thickBot="1" x14ac:dyDescent="0.35">
      <c r="A848" s="178">
        <v>600</v>
      </c>
      <c r="B848" s="45">
        <v>21165.5</v>
      </c>
      <c r="C848" s="45" t="s">
        <v>5446</v>
      </c>
      <c r="D848" s="45">
        <f t="shared" ref="D848:E848" si="576">+I848</f>
        <v>599</v>
      </c>
      <c r="E848" s="45">
        <f t="shared" si="576"/>
        <v>20556.2</v>
      </c>
      <c r="F848" s="45" t="s">
        <v>5447</v>
      </c>
      <c r="G848" s="45">
        <v>102311</v>
      </c>
      <c r="H848" s="14"/>
      <c r="I848" s="45">
        <v>599</v>
      </c>
      <c r="J848" s="46">
        <v>20556.2</v>
      </c>
      <c r="K848" s="403">
        <f t="shared" ref="K848:K849" si="577">+A848-D848</f>
        <v>1</v>
      </c>
      <c r="L848" s="412">
        <f t="shared" ref="L848:L849" si="578">((+B848/A848)-(E848/D848))/(B848/A848)</f>
        <v>2.7166023518680877E-2</v>
      </c>
    </row>
    <row r="849" spans="1:12" x14ac:dyDescent="0.3">
      <c r="A849" s="871">
        <v>794</v>
      </c>
      <c r="B849" s="873">
        <v>35719.25</v>
      </c>
      <c r="C849" s="873" t="s">
        <v>5542</v>
      </c>
      <c r="D849" s="873">
        <f>+I849+I850</f>
        <v>794</v>
      </c>
      <c r="E849" s="873">
        <f>+J849+J850</f>
        <v>34793.800000000003</v>
      </c>
      <c r="F849" s="435" t="s">
        <v>5543</v>
      </c>
      <c r="G849" s="435">
        <v>102381</v>
      </c>
      <c r="H849" s="40"/>
      <c r="I849" s="435">
        <v>400</v>
      </c>
      <c r="J849" s="41">
        <v>17608.599999999999</v>
      </c>
      <c r="K849" s="882">
        <f t="shared" si="577"/>
        <v>0</v>
      </c>
      <c r="L849" s="879">
        <f t="shared" si="578"/>
        <v>2.590899864918771E-2</v>
      </c>
    </row>
    <row r="850" spans="1:12" ht="15" thickBot="1" x14ac:dyDescent="0.35">
      <c r="A850" s="872"/>
      <c r="B850" s="874"/>
      <c r="C850" s="874"/>
      <c r="D850" s="874"/>
      <c r="E850" s="874"/>
      <c r="F850" s="436" t="s">
        <v>5543</v>
      </c>
      <c r="G850" s="436">
        <v>102381</v>
      </c>
      <c r="H850" s="437"/>
      <c r="I850" s="436">
        <v>394</v>
      </c>
      <c r="J850" s="44">
        <v>17185.2</v>
      </c>
      <c r="K850" s="884"/>
      <c r="L850" s="880"/>
    </row>
    <row r="851" spans="1:12" ht="15" thickBot="1" x14ac:dyDescent="0.35">
      <c r="A851" s="178">
        <v>220</v>
      </c>
      <c r="B851" s="45">
        <v>10317.5</v>
      </c>
      <c r="C851" s="45" t="s">
        <v>5544</v>
      </c>
      <c r="D851" s="45">
        <f t="shared" ref="D851:E852" si="579">+I851</f>
        <v>220</v>
      </c>
      <c r="E851" s="45">
        <f t="shared" si="579"/>
        <v>10099.199999999999</v>
      </c>
      <c r="F851" s="45" t="s">
        <v>5545</v>
      </c>
      <c r="G851" s="45">
        <v>102421</v>
      </c>
      <c r="H851" s="14"/>
      <c r="I851" s="45">
        <v>220</v>
      </c>
      <c r="J851" s="46">
        <v>10099.199999999999</v>
      </c>
      <c r="K851" s="424">
        <f t="shared" ref="K851:K853" si="580">+A851-D851</f>
        <v>0</v>
      </c>
      <c r="L851" s="434">
        <f t="shared" ref="L851:L853" si="581">((+B851/A851)-(E851/D851))/(B851/A851)</f>
        <v>2.1158226314514323E-2</v>
      </c>
    </row>
    <row r="852" spans="1:12" ht="15" thickBot="1" x14ac:dyDescent="0.35">
      <c r="A852" s="431">
        <v>725</v>
      </c>
      <c r="B852" s="435">
        <v>27791.5</v>
      </c>
      <c r="C852" s="435" t="s">
        <v>5546</v>
      </c>
      <c r="D852" s="435">
        <f t="shared" si="579"/>
        <v>725</v>
      </c>
      <c r="E852" s="435">
        <f t="shared" si="579"/>
        <v>26982.5</v>
      </c>
      <c r="F852" s="435" t="s">
        <v>5547</v>
      </c>
      <c r="G852" s="435">
        <v>102431</v>
      </c>
      <c r="H852" s="40"/>
      <c r="I852" s="435">
        <v>725</v>
      </c>
      <c r="J852" s="41">
        <v>26982.5</v>
      </c>
      <c r="K852" s="424">
        <f t="shared" si="580"/>
        <v>0</v>
      </c>
      <c r="L852" s="434">
        <f t="shared" si="581"/>
        <v>2.9109619847795244E-2</v>
      </c>
    </row>
    <row r="853" spans="1:12" x14ac:dyDescent="0.3">
      <c r="A853" s="871">
        <v>1100</v>
      </c>
      <c r="B853" s="873">
        <v>45272.2</v>
      </c>
      <c r="C853" s="873" t="s">
        <v>5548</v>
      </c>
      <c r="D853" s="873">
        <f>+I853+I854+I855</f>
        <v>1101</v>
      </c>
      <c r="E853" s="873">
        <f>+J853+J854+J855</f>
        <v>43982.5</v>
      </c>
      <c r="F853" s="435" t="s">
        <v>5549</v>
      </c>
      <c r="G853" s="435">
        <v>102441</v>
      </c>
      <c r="H853" s="40"/>
      <c r="I853" s="435">
        <v>200</v>
      </c>
      <c r="J853" s="41">
        <v>7923.4</v>
      </c>
      <c r="K853" s="882">
        <f t="shared" si="580"/>
        <v>-1</v>
      </c>
      <c r="L853" s="879">
        <f t="shared" si="581"/>
        <v>2.9370072025442125E-2</v>
      </c>
    </row>
    <row r="854" spans="1:12" x14ac:dyDescent="0.3">
      <c r="A854" s="875"/>
      <c r="B854" s="881"/>
      <c r="C854" s="881"/>
      <c r="D854" s="881"/>
      <c r="E854" s="881"/>
      <c r="F854" s="50" t="s">
        <v>5549</v>
      </c>
      <c r="G854" s="50">
        <v>102441</v>
      </c>
      <c r="I854" s="50">
        <v>800</v>
      </c>
      <c r="J854" s="51">
        <v>32023.4</v>
      </c>
      <c r="K854" s="883"/>
      <c r="L854" s="885"/>
    </row>
    <row r="855" spans="1:12" ht="15" thickBot="1" x14ac:dyDescent="0.35">
      <c r="A855" s="872"/>
      <c r="B855" s="874"/>
      <c r="C855" s="874"/>
      <c r="D855" s="874"/>
      <c r="E855" s="874"/>
      <c r="F855" s="436" t="s">
        <v>5549</v>
      </c>
      <c r="G855" s="436">
        <v>102441</v>
      </c>
      <c r="H855" s="437"/>
      <c r="I855" s="436">
        <v>101</v>
      </c>
      <c r="J855" s="44">
        <v>4035.7</v>
      </c>
      <c r="K855" s="884"/>
      <c r="L855" s="880"/>
    </row>
    <row r="856" spans="1:12" x14ac:dyDescent="0.3">
      <c r="A856" s="875">
        <v>440</v>
      </c>
      <c r="B856" s="881">
        <v>18414.400000000001</v>
      </c>
      <c r="C856" s="881" t="s">
        <v>5550</v>
      </c>
      <c r="D856" s="881">
        <f>+I856+I857</f>
        <v>440</v>
      </c>
      <c r="E856" s="881">
        <f>+J856+J857</f>
        <v>17697.599999999999</v>
      </c>
      <c r="F856" s="50" t="s">
        <v>5551</v>
      </c>
      <c r="G856" s="50">
        <v>102461</v>
      </c>
      <c r="I856" s="50">
        <v>400</v>
      </c>
      <c r="J856" s="51">
        <v>16078.1</v>
      </c>
      <c r="K856" s="882">
        <f t="shared" ref="K856" si="582">+A856-D856</f>
        <v>0</v>
      </c>
      <c r="L856" s="879">
        <f t="shared" ref="L856" si="583">((+B856/A856)-(E856/D856))/(B856/A856)</f>
        <v>3.8926057867755749E-2</v>
      </c>
    </row>
    <row r="857" spans="1:12" ht="15" thickBot="1" x14ac:dyDescent="0.35">
      <c r="A857" s="872"/>
      <c r="B857" s="874"/>
      <c r="C857" s="874"/>
      <c r="D857" s="874"/>
      <c r="E857" s="874"/>
      <c r="F857" s="436" t="s">
        <v>5551</v>
      </c>
      <c r="G857" s="436">
        <v>102461</v>
      </c>
      <c r="H857" s="437"/>
      <c r="I857" s="436">
        <v>40</v>
      </c>
      <c r="J857" s="44">
        <v>1619.5</v>
      </c>
      <c r="K857" s="884"/>
      <c r="L857" s="880"/>
    </row>
    <row r="858" spans="1:12" ht="15" thickBot="1" x14ac:dyDescent="0.35">
      <c r="A858" s="178">
        <v>396</v>
      </c>
      <c r="B858" s="45">
        <v>14202.75</v>
      </c>
      <c r="C858" s="45" t="s">
        <v>5552</v>
      </c>
      <c r="D858" s="45">
        <f t="shared" ref="D858:E858" si="584">+I858</f>
        <v>396</v>
      </c>
      <c r="E858" s="45">
        <f t="shared" si="584"/>
        <v>13753.9</v>
      </c>
      <c r="F858" s="45" t="s">
        <v>5553</v>
      </c>
      <c r="G858" s="45">
        <v>102511</v>
      </c>
      <c r="H858" s="14"/>
      <c r="I858" s="45">
        <v>396</v>
      </c>
      <c r="J858" s="46">
        <v>13753.9</v>
      </c>
      <c r="K858" s="424">
        <f t="shared" ref="K858" si="585">+A858-D858</f>
        <v>0</v>
      </c>
      <c r="L858" s="434">
        <f t="shared" ref="L858" si="586">((+B858/A858)-(E858/D858))/(B858/A858)</f>
        <v>3.1603034623576533E-2</v>
      </c>
    </row>
    <row r="859" spans="1:12" x14ac:dyDescent="0.3">
      <c r="A859" s="871">
        <v>1320</v>
      </c>
      <c r="B859" s="873">
        <v>55054.400000000001</v>
      </c>
      <c r="C859" s="873" t="s">
        <v>5554</v>
      </c>
      <c r="D859" s="873">
        <f>+I859+I860</f>
        <v>1320</v>
      </c>
      <c r="E859" s="873">
        <f>+J859+J860</f>
        <v>52812.100000000006</v>
      </c>
      <c r="F859" s="435" t="s">
        <v>5555</v>
      </c>
      <c r="G859" s="435">
        <v>102521</v>
      </c>
      <c r="H859" s="40"/>
      <c r="I859" s="435">
        <v>400</v>
      </c>
      <c r="J859" s="41">
        <v>15963.9</v>
      </c>
      <c r="K859" s="882">
        <f t="shared" ref="K859" si="587">+A859-D859</f>
        <v>0</v>
      </c>
      <c r="L859" s="879">
        <f t="shared" ref="L859" si="588">((+B859/A859)-(E859/D859))/(B859/A859)</f>
        <v>4.0728806416925729E-2</v>
      </c>
    </row>
    <row r="860" spans="1:12" ht="15" thickBot="1" x14ac:dyDescent="0.35">
      <c r="A860" s="872"/>
      <c r="B860" s="874"/>
      <c r="C860" s="874"/>
      <c r="D860" s="874"/>
      <c r="E860" s="874"/>
      <c r="F860" s="436" t="s">
        <v>5555</v>
      </c>
      <c r="G860" s="436">
        <v>102521</v>
      </c>
      <c r="H860" s="437"/>
      <c r="I860" s="436">
        <v>920</v>
      </c>
      <c r="J860" s="44">
        <v>36848.200000000004</v>
      </c>
      <c r="K860" s="884"/>
      <c r="L860" s="880"/>
    </row>
    <row r="861" spans="1:12" ht="15" thickBot="1" x14ac:dyDescent="0.35">
      <c r="A861" s="178">
        <v>139</v>
      </c>
      <c r="B861" s="45">
        <v>5903</v>
      </c>
      <c r="C861" s="45" t="s">
        <v>5556</v>
      </c>
      <c r="D861" s="435">
        <v>139</v>
      </c>
      <c r="E861" s="435">
        <v>5782.9</v>
      </c>
      <c r="F861" s="45" t="s">
        <v>5557</v>
      </c>
      <c r="G861" s="45">
        <v>102581</v>
      </c>
      <c r="H861" s="14"/>
      <c r="I861" s="45">
        <v>64</v>
      </c>
      <c r="J861" s="46">
        <v>2674.3</v>
      </c>
      <c r="K861" s="424">
        <f t="shared" ref="K861:K863" si="589">+A861-D861</f>
        <v>0</v>
      </c>
      <c r="L861" s="434">
        <f t="shared" ref="L861:L863" si="590">((+B861/A861)-(E861/D861))/(B861/A861)</f>
        <v>2.0345586989666389E-2</v>
      </c>
    </row>
    <row r="862" spans="1:12" ht="15" thickBot="1" x14ac:dyDescent="0.35">
      <c r="A862" s="178">
        <v>554</v>
      </c>
      <c r="B862" s="45">
        <v>25524.25</v>
      </c>
      <c r="C862" s="45" t="s">
        <v>5558</v>
      </c>
      <c r="D862" s="45">
        <f t="shared" ref="D862:E862" si="591">+I862</f>
        <v>554</v>
      </c>
      <c r="E862" s="45">
        <f t="shared" si="591"/>
        <v>25198.1</v>
      </c>
      <c r="F862" s="45" t="s">
        <v>5559</v>
      </c>
      <c r="G862" s="45">
        <v>105291</v>
      </c>
      <c r="H862" s="14"/>
      <c r="I862" s="45">
        <v>554</v>
      </c>
      <c r="J862" s="46">
        <v>25198.1</v>
      </c>
      <c r="K862" s="424">
        <f t="shared" si="589"/>
        <v>0</v>
      </c>
      <c r="L862" s="434">
        <f t="shared" si="590"/>
        <v>1.2778044408748608E-2</v>
      </c>
    </row>
    <row r="863" spans="1:12" x14ac:dyDescent="0.3">
      <c r="A863" s="871">
        <v>782</v>
      </c>
      <c r="B863" s="873">
        <v>36394.5</v>
      </c>
      <c r="C863" s="873" t="s">
        <v>5610</v>
      </c>
      <c r="D863" s="873">
        <f>+I863+I864</f>
        <v>782</v>
      </c>
      <c r="E863" s="873">
        <f>+J863+J864</f>
        <v>35852.9</v>
      </c>
      <c r="F863" s="448" t="s">
        <v>5611</v>
      </c>
      <c r="G863" s="448">
        <v>102661</v>
      </c>
      <c r="H863" s="40"/>
      <c r="I863" s="448">
        <v>525</v>
      </c>
      <c r="J863" s="41">
        <v>24098.2</v>
      </c>
      <c r="K863" s="882">
        <f t="shared" si="589"/>
        <v>0</v>
      </c>
      <c r="L863" s="879">
        <f t="shared" si="590"/>
        <v>1.4881369437689741E-2</v>
      </c>
    </row>
    <row r="864" spans="1:12" ht="15" thickBot="1" x14ac:dyDescent="0.35">
      <c r="A864" s="875"/>
      <c r="B864" s="881"/>
      <c r="C864" s="881"/>
      <c r="D864" s="881"/>
      <c r="E864" s="881"/>
      <c r="F864" s="50" t="s">
        <v>5611</v>
      </c>
      <c r="G864" s="50">
        <v>102661</v>
      </c>
      <c r="I864" s="50">
        <v>257</v>
      </c>
      <c r="J864" s="51">
        <v>11754.7</v>
      </c>
      <c r="K864" s="884"/>
      <c r="L864" s="880"/>
    </row>
    <row r="865" spans="1:12" x14ac:dyDescent="0.3">
      <c r="A865" s="871">
        <v>1190</v>
      </c>
      <c r="B865" s="873">
        <v>42495.75</v>
      </c>
      <c r="C865" s="873" t="s">
        <v>5612</v>
      </c>
      <c r="D865" s="873">
        <f>+I865+I866</f>
        <v>1190</v>
      </c>
      <c r="E865" s="873">
        <f>+J865+J866</f>
        <v>41706.799999999996</v>
      </c>
      <c r="F865" s="448" t="s">
        <v>5613</v>
      </c>
      <c r="G865" s="448">
        <v>102671</v>
      </c>
      <c r="H865" s="40"/>
      <c r="I865" s="448">
        <v>200</v>
      </c>
      <c r="J865" s="41">
        <v>7082.5</v>
      </c>
      <c r="K865" s="882">
        <f t="shared" ref="K865" si="592">+A865-D865</f>
        <v>0</v>
      </c>
      <c r="L865" s="879">
        <f t="shared" ref="L865" si="593">((+B865/A865)-(E865/D865))/(B865/A865)</f>
        <v>1.8565385950359996E-2</v>
      </c>
    </row>
    <row r="866" spans="1:12" ht="15" thickBot="1" x14ac:dyDescent="0.35">
      <c r="A866" s="872"/>
      <c r="B866" s="874"/>
      <c r="C866" s="874"/>
      <c r="D866" s="874"/>
      <c r="E866" s="874"/>
      <c r="F866" s="449" t="s">
        <v>5613</v>
      </c>
      <c r="G866" s="449">
        <v>102671</v>
      </c>
      <c r="H866" s="450"/>
      <c r="I866" s="449">
        <v>990</v>
      </c>
      <c r="J866" s="44">
        <v>34624.299999999996</v>
      </c>
      <c r="K866" s="884"/>
      <c r="L866" s="880"/>
    </row>
    <row r="867" spans="1:12" ht="15" thickBot="1" x14ac:dyDescent="0.35">
      <c r="A867" s="441">
        <v>220</v>
      </c>
      <c r="B867" s="442">
        <v>8939.1</v>
      </c>
      <c r="C867" s="442" t="s">
        <v>5614</v>
      </c>
      <c r="D867" s="442">
        <f>+I867</f>
        <v>220</v>
      </c>
      <c r="E867" s="442">
        <f>+J867</f>
        <v>8657.5</v>
      </c>
      <c r="F867" s="442" t="s">
        <v>5615</v>
      </c>
      <c r="G867" s="442">
        <v>102731</v>
      </c>
      <c r="H867" s="38"/>
      <c r="I867" s="442">
        <v>220</v>
      </c>
      <c r="J867" s="13">
        <v>8657.5</v>
      </c>
      <c r="K867" s="445">
        <f t="shared" ref="K867" si="594">+A867-D867</f>
        <v>0</v>
      </c>
      <c r="L867" s="447">
        <f t="shared" ref="L867" si="595">((+B867/A867)-(E867/D867))/(B867/A867)</f>
        <v>3.1502052779362605E-2</v>
      </c>
    </row>
    <row r="868" spans="1:12" x14ac:dyDescent="0.3">
      <c r="A868" s="871">
        <v>1320</v>
      </c>
      <c r="B868" s="873">
        <v>54403.5</v>
      </c>
      <c r="C868" s="873" t="s">
        <v>5616</v>
      </c>
      <c r="D868" s="873">
        <f>+I868+I869</f>
        <v>1320</v>
      </c>
      <c r="E868" s="873">
        <f>+J868+J869</f>
        <v>52759.100000000006</v>
      </c>
      <c r="F868" s="448" t="s">
        <v>5617</v>
      </c>
      <c r="G868" s="448">
        <v>102741</v>
      </c>
      <c r="H868" s="40"/>
      <c r="I868" s="448">
        <v>780</v>
      </c>
      <c r="J868" s="41">
        <v>31591.9</v>
      </c>
      <c r="K868" s="882">
        <f t="shared" ref="K868" si="596">+A868-D868</f>
        <v>0</v>
      </c>
      <c r="L868" s="879">
        <f t="shared" ref="L868" si="597">((+B868/A868)-(E868/D868))/(B868/A868)</f>
        <v>3.022599648919622E-2</v>
      </c>
    </row>
    <row r="869" spans="1:12" ht="15" thickBot="1" x14ac:dyDescent="0.35">
      <c r="A869" s="872"/>
      <c r="B869" s="874"/>
      <c r="C869" s="874"/>
      <c r="D869" s="874"/>
      <c r="E869" s="874"/>
      <c r="F869" s="449" t="s">
        <v>5617</v>
      </c>
      <c r="G869" s="449">
        <v>102741</v>
      </c>
      <c r="H869" s="450"/>
      <c r="I869" s="449">
        <v>540</v>
      </c>
      <c r="J869" s="44">
        <v>21167.200000000001</v>
      </c>
      <c r="K869" s="884"/>
      <c r="L869" s="880"/>
    </row>
    <row r="870" spans="1:12" ht="15" thickBot="1" x14ac:dyDescent="0.35">
      <c r="A870" s="178">
        <v>727</v>
      </c>
      <c r="B870" s="45">
        <v>26452.25</v>
      </c>
      <c r="C870" s="45" t="s">
        <v>5618</v>
      </c>
      <c r="D870" s="45">
        <f>+I870</f>
        <v>727</v>
      </c>
      <c r="E870" s="45">
        <f>+J870</f>
        <v>25903.3</v>
      </c>
      <c r="F870" s="45" t="s">
        <v>5619</v>
      </c>
      <c r="G870" s="45">
        <v>102781</v>
      </c>
      <c r="H870" s="14"/>
      <c r="I870" s="45">
        <v>727</v>
      </c>
      <c r="J870" s="46">
        <v>25903.3</v>
      </c>
      <c r="K870" s="445">
        <f t="shared" ref="K870:K873" si="598">+A870-D870</f>
        <v>0</v>
      </c>
      <c r="L870" s="447">
        <f t="shared" ref="L870:L873" si="599">((+B870/A870)-(E870/D870))/(B870/A870)</f>
        <v>2.0752487973612874E-2</v>
      </c>
    </row>
    <row r="871" spans="1:12" ht="15" thickBot="1" x14ac:dyDescent="0.35">
      <c r="A871" s="178">
        <v>880</v>
      </c>
      <c r="B871" s="45">
        <v>35683.4</v>
      </c>
      <c r="C871" s="45" t="s">
        <v>5621</v>
      </c>
      <c r="D871" s="45">
        <f t="shared" ref="D871:E872" si="600">+I871</f>
        <v>880</v>
      </c>
      <c r="E871" s="45">
        <f t="shared" si="600"/>
        <v>34593.800000000003</v>
      </c>
      <c r="F871" s="45" t="s">
        <v>5622</v>
      </c>
      <c r="G871" s="45">
        <v>102811</v>
      </c>
      <c r="H871" s="14"/>
      <c r="I871" s="45">
        <v>880</v>
      </c>
      <c r="J871" s="46">
        <v>34593.800000000003</v>
      </c>
      <c r="K871" s="445">
        <f t="shared" si="598"/>
        <v>0</v>
      </c>
      <c r="L871" s="447">
        <f t="shared" si="599"/>
        <v>3.0535206846881269E-2</v>
      </c>
    </row>
    <row r="872" spans="1:12" ht="15" thickBot="1" x14ac:dyDescent="0.35">
      <c r="A872" s="446">
        <v>425</v>
      </c>
      <c r="B872" s="448">
        <v>19382.75</v>
      </c>
      <c r="C872" s="448" t="s">
        <v>5623</v>
      </c>
      <c r="D872" s="448">
        <f t="shared" si="600"/>
        <v>425</v>
      </c>
      <c r="E872" s="448">
        <f t="shared" si="600"/>
        <v>18880.999999999996</v>
      </c>
      <c r="F872" s="448" t="s">
        <v>5624</v>
      </c>
      <c r="G872" s="448">
        <v>102861</v>
      </c>
      <c r="H872" s="40"/>
      <c r="I872" s="448">
        <v>425</v>
      </c>
      <c r="J872" s="41">
        <v>18880.999999999996</v>
      </c>
      <c r="K872" s="445">
        <f t="shared" si="598"/>
        <v>0</v>
      </c>
      <c r="L872" s="447">
        <f t="shared" si="599"/>
        <v>2.58864196256984E-2</v>
      </c>
    </row>
    <row r="873" spans="1:12" x14ac:dyDescent="0.3">
      <c r="A873" s="871">
        <v>1760</v>
      </c>
      <c r="B873" s="873">
        <v>71470.399999999994</v>
      </c>
      <c r="C873" s="873" t="s">
        <v>5625</v>
      </c>
      <c r="D873" s="873">
        <f>+I873+I875+I874</f>
        <v>1750</v>
      </c>
      <c r="E873" s="873">
        <f>+J873+J875+J874</f>
        <v>68646.799999999988</v>
      </c>
      <c r="F873" s="448" t="s">
        <v>5626</v>
      </c>
      <c r="G873" s="448">
        <v>102871</v>
      </c>
      <c r="H873" s="40"/>
      <c r="I873" s="448">
        <v>660</v>
      </c>
      <c r="J873" s="41">
        <v>25910.999999999996</v>
      </c>
      <c r="K873" s="882">
        <f t="shared" si="598"/>
        <v>10</v>
      </c>
      <c r="L873" s="879">
        <f t="shared" si="599"/>
        <v>3.4018734629001228E-2</v>
      </c>
    </row>
    <row r="874" spans="1:12" x14ac:dyDescent="0.3">
      <c r="A874" s="875"/>
      <c r="B874" s="881"/>
      <c r="C874" s="881"/>
      <c r="D874" s="881"/>
      <c r="E874" s="881"/>
      <c r="F874" s="50" t="s">
        <v>5626</v>
      </c>
      <c r="G874" s="50">
        <v>102871</v>
      </c>
      <c r="I874" s="50">
        <v>220</v>
      </c>
      <c r="J874" s="51">
        <v>8311.2000000000007</v>
      </c>
      <c r="K874" s="883"/>
      <c r="L874" s="885"/>
    </row>
    <row r="875" spans="1:12" ht="15" thickBot="1" x14ac:dyDescent="0.35">
      <c r="A875" s="872"/>
      <c r="B875" s="874"/>
      <c r="C875" s="874"/>
      <c r="D875" s="874"/>
      <c r="E875" s="874"/>
      <c r="F875" s="449" t="s">
        <v>5626</v>
      </c>
      <c r="G875" s="449">
        <v>102871</v>
      </c>
      <c r="H875" s="450"/>
      <c r="I875" s="449">
        <v>870</v>
      </c>
      <c r="J875" s="44">
        <v>34424.6</v>
      </c>
      <c r="K875" s="884"/>
      <c r="L875" s="880"/>
    </row>
    <row r="876" spans="1:12" ht="15" thickBot="1" x14ac:dyDescent="0.35">
      <c r="A876" s="178">
        <v>579</v>
      </c>
      <c r="B876" s="45">
        <v>24354.7</v>
      </c>
      <c r="C876" s="45" t="s">
        <v>5627</v>
      </c>
      <c r="D876" s="45">
        <f t="shared" ref="D876:E881" si="601">+I876</f>
        <v>579</v>
      </c>
      <c r="E876" s="45">
        <f t="shared" si="601"/>
        <v>23535.100000000002</v>
      </c>
      <c r="F876" s="45" t="s">
        <v>5619</v>
      </c>
      <c r="G876" s="45">
        <v>102781</v>
      </c>
      <c r="H876" s="14"/>
      <c r="I876" s="45">
        <v>579</v>
      </c>
      <c r="J876" s="46">
        <v>23535.100000000002</v>
      </c>
      <c r="K876" s="445">
        <f t="shared" ref="K876:K882" si="602">+A876-D876</f>
        <v>0</v>
      </c>
      <c r="L876" s="447">
        <f t="shared" ref="L876:L882" si="603">((+B876/A876)-(E876/D876))/(B876/A876)</f>
        <v>3.3652641995179623E-2</v>
      </c>
    </row>
    <row r="877" spans="1:12" ht="15" thickBot="1" x14ac:dyDescent="0.35">
      <c r="A877" s="178">
        <v>500</v>
      </c>
      <c r="B877" s="45">
        <v>20773.75</v>
      </c>
      <c r="C877" s="45" t="s">
        <v>5628</v>
      </c>
      <c r="D877" s="45">
        <f t="shared" si="601"/>
        <v>500</v>
      </c>
      <c r="E877" s="45">
        <f t="shared" si="601"/>
        <v>20289.099999999999</v>
      </c>
      <c r="F877" s="45" t="s">
        <v>5629</v>
      </c>
      <c r="G877" s="45">
        <v>102892</v>
      </c>
      <c r="H877" s="14"/>
      <c r="I877" s="45">
        <v>500</v>
      </c>
      <c r="J877" s="46">
        <v>20289.099999999999</v>
      </c>
      <c r="K877" s="445">
        <f t="shared" si="602"/>
        <v>0</v>
      </c>
      <c r="L877" s="447">
        <f t="shared" si="603"/>
        <v>2.3329923581443025E-2</v>
      </c>
    </row>
    <row r="878" spans="1:12" ht="15" thickBot="1" x14ac:dyDescent="0.35">
      <c r="A878" s="178">
        <v>852</v>
      </c>
      <c r="B878" s="45">
        <v>33391.1</v>
      </c>
      <c r="C878" s="45" t="s">
        <v>5630</v>
      </c>
      <c r="D878" s="45">
        <f t="shared" si="601"/>
        <v>852</v>
      </c>
      <c r="E878" s="45">
        <f t="shared" si="601"/>
        <v>32695.7</v>
      </c>
      <c r="F878" s="45" t="s">
        <v>5631</v>
      </c>
      <c r="G878" s="45">
        <v>102901</v>
      </c>
      <c r="H878" s="14"/>
      <c r="I878" s="45">
        <v>852</v>
      </c>
      <c r="J878" s="46">
        <v>32695.7</v>
      </c>
      <c r="K878" s="445">
        <f t="shared" si="602"/>
        <v>0</v>
      </c>
      <c r="L878" s="447">
        <f t="shared" si="603"/>
        <v>2.0825908700222415E-2</v>
      </c>
    </row>
    <row r="879" spans="1:12" ht="15" thickBot="1" x14ac:dyDescent="0.35">
      <c r="A879" s="178">
        <v>880</v>
      </c>
      <c r="B879" s="45">
        <v>34873.699999999997</v>
      </c>
      <c r="C879" s="45" t="s">
        <v>5632</v>
      </c>
      <c r="D879" s="45">
        <f t="shared" si="601"/>
        <v>880</v>
      </c>
      <c r="E879" s="45">
        <f t="shared" si="601"/>
        <v>34084.6</v>
      </c>
      <c r="F879" s="45" t="s">
        <v>5633</v>
      </c>
      <c r="G879" s="45">
        <v>102921</v>
      </c>
      <c r="H879" s="14"/>
      <c r="I879" s="45">
        <v>880</v>
      </c>
      <c r="J879" s="46">
        <v>34084.6</v>
      </c>
      <c r="K879" s="445">
        <f t="shared" si="602"/>
        <v>0</v>
      </c>
      <c r="L879" s="447">
        <f t="shared" si="603"/>
        <v>2.262736675488965E-2</v>
      </c>
    </row>
    <row r="880" spans="1:12" ht="15" thickBot="1" x14ac:dyDescent="0.35">
      <c r="A880" s="178">
        <v>289</v>
      </c>
      <c r="B880" s="45">
        <v>11817.5</v>
      </c>
      <c r="C880" s="45" t="s">
        <v>5634</v>
      </c>
      <c r="D880" s="45">
        <f t="shared" si="601"/>
        <v>289</v>
      </c>
      <c r="E880" s="45">
        <f t="shared" si="601"/>
        <v>11526.5</v>
      </c>
      <c r="F880" s="45" t="s">
        <v>5635</v>
      </c>
      <c r="G880" s="45">
        <v>102931</v>
      </c>
      <c r="H880" s="14"/>
      <c r="I880" s="45">
        <v>289</v>
      </c>
      <c r="J880" s="46">
        <v>11526.5</v>
      </c>
      <c r="K880" s="445">
        <f t="shared" si="602"/>
        <v>0</v>
      </c>
      <c r="L880" s="447">
        <f t="shared" si="603"/>
        <v>2.4624497567167284E-2</v>
      </c>
    </row>
    <row r="881" spans="1:12" ht="15" thickBot="1" x14ac:dyDescent="0.35">
      <c r="A881" s="178">
        <v>250</v>
      </c>
      <c r="B881" s="45">
        <v>8396.5</v>
      </c>
      <c r="C881" s="45" t="s">
        <v>5636</v>
      </c>
      <c r="D881" s="45">
        <f t="shared" si="601"/>
        <v>250</v>
      </c>
      <c r="E881" s="45">
        <f t="shared" si="601"/>
        <v>8137.4</v>
      </c>
      <c r="F881" s="45" t="s">
        <v>5637</v>
      </c>
      <c r="G881" s="45">
        <v>102941</v>
      </c>
      <c r="H881" s="14"/>
      <c r="I881" s="45">
        <v>250</v>
      </c>
      <c r="J881" s="46">
        <v>8137.4</v>
      </c>
      <c r="K881" s="445">
        <f t="shared" si="602"/>
        <v>0</v>
      </c>
      <c r="L881" s="447">
        <f t="shared" si="603"/>
        <v>3.0858095635086062E-2</v>
      </c>
    </row>
    <row r="882" spans="1:12" x14ac:dyDescent="0.3">
      <c r="A882" s="871">
        <v>884</v>
      </c>
      <c r="B882" s="873">
        <v>36332.5</v>
      </c>
      <c r="C882" s="873" t="s">
        <v>5737</v>
      </c>
      <c r="D882" s="873">
        <f>+I882+I883</f>
        <v>883</v>
      </c>
      <c r="E882" s="873">
        <f>+J882+J883</f>
        <v>35805.599999999999</v>
      </c>
      <c r="F882" s="465" t="s">
        <v>5738</v>
      </c>
      <c r="G882" s="465">
        <v>102951</v>
      </c>
      <c r="H882" s="40"/>
      <c r="I882" s="465">
        <v>200</v>
      </c>
      <c r="J882" s="41">
        <v>8045.9</v>
      </c>
      <c r="K882" s="882">
        <f t="shared" si="602"/>
        <v>1</v>
      </c>
      <c r="L882" s="879">
        <f t="shared" si="603"/>
        <v>1.3386088395379995E-2</v>
      </c>
    </row>
    <row r="883" spans="1:12" ht="15" thickBot="1" x14ac:dyDescent="0.35">
      <c r="A883" s="872"/>
      <c r="B883" s="874"/>
      <c r="C883" s="874"/>
      <c r="D883" s="874"/>
      <c r="E883" s="874"/>
      <c r="F883" s="466" t="s">
        <v>5738</v>
      </c>
      <c r="G883" s="466">
        <v>102951</v>
      </c>
      <c r="H883" s="467"/>
      <c r="I883" s="466">
        <v>683</v>
      </c>
      <c r="J883" s="44">
        <v>27759.699999999997</v>
      </c>
      <c r="K883" s="884"/>
      <c r="L883" s="880"/>
    </row>
    <row r="884" spans="1:12" ht="15" thickBot="1" x14ac:dyDescent="0.35">
      <c r="A884" s="178">
        <v>408</v>
      </c>
      <c r="B884" s="45">
        <v>13685.75</v>
      </c>
      <c r="C884" s="45" t="s">
        <v>5739</v>
      </c>
      <c r="D884" s="45">
        <f t="shared" ref="D884:E885" si="604">+I884</f>
        <v>408</v>
      </c>
      <c r="E884" s="45">
        <f t="shared" si="604"/>
        <v>13421.3</v>
      </c>
      <c r="F884" s="45" t="s">
        <v>5726</v>
      </c>
      <c r="G884" s="45">
        <v>102981</v>
      </c>
      <c r="H884" s="14"/>
      <c r="I884" s="45">
        <v>408</v>
      </c>
      <c r="J884" s="46">
        <v>13421.3</v>
      </c>
      <c r="K884" s="457">
        <f t="shared" ref="K884:K886" si="605">+A884-D884</f>
        <v>0</v>
      </c>
      <c r="L884" s="464">
        <f t="shared" ref="L884:L886" si="606">((+B884/A884)-(E884/D884))/(B884/A884)</f>
        <v>1.9323018468114864E-2</v>
      </c>
    </row>
    <row r="885" spans="1:12" ht="15" thickBot="1" x14ac:dyDescent="0.35">
      <c r="A885" s="462">
        <v>188</v>
      </c>
      <c r="B885" s="465">
        <v>7292.75</v>
      </c>
      <c r="C885" s="465" t="s">
        <v>5740</v>
      </c>
      <c r="D885" s="465">
        <f t="shared" si="604"/>
        <v>188</v>
      </c>
      <c r="E885" s="465">
        <f t="shared" si="604"/>
        <v>7151.2999999999993</v>
      </c>
      <c r="F885" s="465" t="s">
        <v>5741</v>
      </c>
      <c r="G885" s="465">
        <v>102991</v>
      </c>
      <c r="H885" s="40"/>
      <c r="I885" s="465">
        <v>188</v>
      </c>
      <c r="J885" s="41">
        <v>7151.2999999999993</v>
      </c>
      <c r="K885" s="457">
        <f t="shared" si="605"/>
        <v>0</v>
      </c>
      <c r="L885" s="464">
        <f t="shared" si="606"/>
        <v>1.9395975455075425E-2</v>
      </c>
    </row>
    <row r="886" spans="1:12" x14ac:dyDescent="0.3">
      <c r="A886" s="871">
        <v>1132</v>
      </c>
      <c r="B886" s="873">
        <v>42031.25</v>
      </c>
      <c r="C886" s="873" t="s">
        <v>5742</v>
      </c>
      <c r="D886" s="873">
        <f>+I886+I887</f>
        <v>1120</v>
      </c>
      <c r="E886" s="873">
        <f>+J886+J887</f>
        <v>41134.5</v>
      </c>
      <c r="F886" s="465" t="s">
        <v>5743</v>
      </c>
      <c r="G886" s="465">
        <v>103001</v>
      </c>
      <c r="H886" s="40"/>
      <c r="I886" s="465">
        <v>600</v>
      </c>
      <c r="J886" s="41">
        <v>21800.300000000003</v>
      </c>
      <c r="K886" s="882">
        <f t="shared" si="605"/>
        <v>12</v>
      </c>
      <c r="L886" s="879">
        <f t="shared" si="606"/>
        <v>1.0849622942113661E-2</v>
      </c>
    </row>
    <row r="887" spans="1:12" ht="15" thickBot="1" x14ac:dyDescent="0.35">
      <c r="A887" s="872"/>
      <c r="B887" s="874"/>
      <c r="C887" s="874"/>
      <c r="D887" s="874"/>
      <c r="E887" s="874"/>
      <c r="F887" s="466" t="s">
        <v>5743</v>
      </c>
      <c r="G887" s="466">
        <v>103001</v>
      </c>
      <c r="H887" s="467"/>
      <c r="I887" s="466">
        <v>520</v>
      </c>
      <c r="J887" s="44">
        <v>19334.199999999997</v>
      </c>
      <c r="K887" s="884"/>
      <c r="L887" s="880"/>
    </row>
    <row r="888" spans="1:12" ht="15" thickBot="1" x14ac:dyDescent="0.35">
      <c r="A888" s="178">
        <v>886</v>
      </c>
      <c r="B888" s="45">
        <v>30125</v>
      </c>
      <c r="C888" s="45" t="s">
        <v>5744</v>
      </c>
      <c r="D888" s="45">
        <f t="shared" ref="D888:E892" si="607">+I888</f>
        <v>886</v>
      </c>
      <c r="E888" s="45">
        <f t="shared" si="607"/>
        <v>29552.7</v>
      </c>
      <c r="F888" s="45" t="s">
        <v>5745</v>
      </c>
      <c r="G888" s="45">
        <v>10301</v>
      </c>
      <c r="H888" s="14"/>
      <c r="I888" s="45">
        <v>886</v>
      </c>
      <c r="J888" s="46">
        <v>29552.7</v>
      </c>
      <c r="K888" s="457">
        <f t="shared" ref="K888:K893" si="608">+A888-D888</f>
        <v>0</v>
      </c>
      <c r="L888" s="464">
        <f t="shared" ref="L888:L893" si="609">((+B888/A888)-(E888/D888))/(B888/A888)</f>
        <v>1.8997510373444108E-2</v>
      </c>
    </row>
    <row r="889" spans="1:12" ht="15" thickBot="1" x14ac:dyDescent="0.35">
      <c r="A889" s="178">
        <v>200</v>
      </c>
      <c r="B889" s="45">
        <v>7940.25</v>
      </c>
      <c r="C889" s="45" t="s">
        <v>5746</v>
      </c>
      <c r="D889" s="45">
        <f t="shared" si="607"/>
        <v>200</v>
      </c>
      <c r="E889" s="45">
        <f t="shared" si="607"/>
        <v>7974.1</v>
      </c>
      <c r="F889" s="45" t="s">
        <v>5747</v>
      </c>
      <c r="G889" s="45">
        <v>10302</v>
      </c>
      <c r="H889" s="14"/>
      <c r="I889" s="45">
        <v>200</v>
      </c>
      <c r="J889" s="46">
        <v>7974.1</v>
      </c>
      <c r="K889" s="457">
        <f t="shared" si="608"/>
        <v>0</v>
      </c>
      <c r="L889" s="464">
        <f t="shared" si="609"/>
        <v>-4.2630899530870722E-3</v>
      </c>
    </row>
    <row r="890" spans="1:12" ht="15" thickBot="1" x14ac:dyDescent="0.35">
      <c r="A890" s="178">
        <v>326</v>
      </c>
      <c r="B890" s="45">
        <v>10960.25</v>
      </c>
      <c r="C890" s="45" t="s">
        <v>5748</v>
      </c>
      <c r="D890" s="45">
        <f t="shared" si="607"/>
        <v>326</v>
      </c>
      <c r="E890" s="45">
        <f t="shared" si="607"/>
        <v>10698.9</v>
      </c>
      <c r="F890" s="45" t="s">
        <v>5749</v>
      </c>
      <c r="G890" s="45">
        <v>103041</v>
      </c>
      <c r="H890" s="14"/>
      <c r="I890" s="45">
        <v>326</v>
      </c>
      <c r="J890" s="46">
        <v>10698.9</v>
      </c>
      <c r="K890" s="457">
        <f t="shared" si="608"/>
        <v>0</v>
      </c>
      <c r="L890" s="464">
        <f t="shared" si="609"/>
        <v>2.3845259004128736E-2</v>
      </c>
    </row>
    <row r="891" spans="1:12" ht="15" thickBot="1" x14ac:dyDescent="0.35">
      <c r="A891" s="178">
        <v>1322</v>
      </c>
      <c r="B891" s="45">
        <v>52792.2</v>
      </c>
      <c r="C891" s="45" t="s">
        <v>5750</v>
      </c>
      <c r="D891" s="45">
        <f t="shared" si="607"/>
        <v>1328</v>
      </c>
      <c r="E891" s="45">
        <f t="shared" si="607"/>
        <v>51241.499999999993</v>
      </c>
      <c r="F891" s="45" t="s">
        <v>5751</v>
      </c>
      <c r="G891" s="45">
        <v>103081</v>
      </c>
      <c r="H891" s="14"/>
      <c r="I891" s="45">
        <v>1328</v>
      </c>
      <c r="J891" s="46">
        <v>51241.499999999993</v>
      </c>
      <c r="K891" s="457">
        <f t="shared" si="608"/>
        <v>-6</v>
      </c>
      <c r="L891" s="464">
        <f t="shared" si="609"/>
        <v>3.3759017453427159E-2</v>
      </c>
    </row>
    <row r="892" spans="1:12" ht="15" thickBot="1" x14ac:dyDescent="0.35">
      <c r="A892" s="462">
        <v>146</v>
      </c>
      <c r="B892" s="465">
        <v>6754.1</v>
      </c>
      <c r="C892" s="465" t="s">
        <v>5752</v>
      </c>
      <c r="D892" s="465">
        <f t="shared" si="607"/>
        <v>146</v>
      </c>
      <c r="E892" s="465">
        <f t="shared" si="607"/>
        <v>6557.2999999999993</v>
      </c>
      <c r="F892" s="465" t="s">
        <v>5753</v>
      </c>
      <c r="G892" s="465">
        <v>103091</v>
      </c>
      <c r="H892" s="40"/>
      <c r="I892" s="465">
        <v>146</v>
      </c>
      <c r="J892" s="41">
        <v>6557.2999999999993</v>
      </c>
      <c r="K892" s="457">
        <f t="shared" si="608"/>
        <v>0</v>
      </c>
      <c r="L892" s="464">
        <f t="shared" si="609"/>
        <v>2.9137857005374728E-2</v>
      </c>
    </row>
    <row r="893" spans="1:12" x14ac:dyDescent="0.3">
      <c r="A893" s="871">
        <v>1129</v>
      </c>
      <c r="B893" s="873">
        <v>45438.5</v>
      </c>
      <c r="C893" s="873" t="s">
        <v>5754</v>
      </c>
      <c r="D893" s="873">
        <f>+I893+I894</f>
        <v>1112</v>
      </c>
      <c r="E893" s="873">
        <f>+J893+J894</f>
        <v>44927.399999999994</v>
      </c>
      <c r="F893" s="465" t="s">
        <v>5755</v>
      </c>
      <c r="G893" s="465">
        <v>103101</v>
      </c>
      <c r="H893" s="40"/>
      <c r="I893" s="465">
        <v>78</v>
      </c>
      <c r="J893" s="41">
        <v>3355.1</v>
      </c>
      <c r="K893" s="882">
        <f t="shared" si="608"/>
        <v>17</v>
      </c>
      <c r="L893" s="879">
        <f t="shared" si="609"/>
        <v>-3.8676397372589145E-3</v>
      </c>
    </row>
    <row r="894" spans="1:12" ht="15" thickBot="1" x14ac:dyDescent="0.35">
      <c r="A894" s="872"/>
      <c r="B894" s="874"/>
      <c r="C894" s="874"/>
      <c r="D894" s="874"/>
      <c r="E894" s="874"/>
      <c r="F894" s="466" t="s">
        <v>5755</v>
      </c>
      <c r="G894" s="466">
        <v>103101</v>
      </c>
      <c r="H894" s="467"/>
      <c r="I894" s="466">
        <v>1034</v>
      </c>
      <c r="J894" s="44">
        <v>41572.299999999996</v>
      </c>
      <c r="K894" s="884"/>
      <c r="L894" s="880"/>
    </row>
    <row r="895" spans="1:12" ht="15" thickBot="1" x14ac:dyDescent="0.35">
      <c r="A895" s="212">
        <v>525</v>
      </c>
      <c r="B895" s="50">
        <v>22297.5</v>
      </c>
      <c r="C895" s="50" t="s">
        <v>5756</v>
      </c>
      <c r="D895" s="50">
        <f t="shared" ref="D895:E895" si="610">+I895</f>
        <v>525</v>
      </c>
      <c r="E895" s="50">
        <f t="shared" si="610"/>
        <v>21641.200000000001</v>
      </c>
      <c r="F895" s="50" t="s">
        <v>5757</v>
      </c>
      <c r="G895" s="50">
        <v>103111</v>
      </c>
      <c r="I895" s="50">
        <v>525</v>
      </c>
      <c r="J895" s="51">
        <v>21641.200000000001</v>
      </c>
      <c r="K895" s="457">
        <f t="shared" ref="K895:K896" si="611">+A895-D895</f>
        <v>0</v>
      </c>
      <c r="L895" s="464">
        <f t="shared" ref="L895:L896" si="612">((+B895/A895)-(E895/D895))/(B895/A895)</f>
        <v>2.9433793026123915E-2</v>
      </c>
    </row>
    <row r="896" spans="1:12" x14ac:dyDescent="0.3">
      <c r="A896" s="873">
        <v>743</v>
      </c>
      <c r="B896" s="873">
        <v>31490</v>
      </c>
      <c r="C896" s="873" t="s">
        <v>5758</v>
      </c>
      <c r="D896" s="873">
        <f>+I896+I897+I898+402</f>
        <v>745</v>
      </c>
      <c r="E896" s="873">
        <f>+J896+J897+J898+16733.3</f>
        <v>30907.3</v>
      </c>
      <c r="F896" s="465" t="s">
        <v>5759</v>
      </c>
      <c r="G896" s="465">
        <v>103121</v>
      </c>
      <c r="H896" s="465"/>
      <c r="I896" s="465">
        <v>61</v>
      </c>
      <c r="J896" s="41">
        <v>2521.8000000000002</v>
      </c>
      <c r="K896" s="882">
        <f t="shared" si="611"/>
        <v>-2</v>
      </c>
      <c r="L896" s="879">
        <f t="shared" si="612"/>
        <v>2.1139174895194287E-2</v>
      </c>
    </row>
    <row r="897" spans="1:12" x14ac:dyDescent="0.3">
      <c r="A897" s="881"/>
      <c r="B897" s="881"/>
      <c r="C897" s="881"/>
      <c r="D897" s="881"/>
      <c r="E897" s="881"/>
      <c r="F897" s="50" t="s">
        <v>5759</v>
      </c>
      <c r="G897" s="50">
        <v>103121</v>
      </c>
      <c r="H897" s="50"/>
      <c r="I897" s="50">
        <v>82</v>
      </c>
      <c r="J897" s="51">
        <v>3485.9</v>
      </c>
      <c r="K897" s="883"/>
      <c r="L897" s="885"/>
    </row>
    <row r="898" spans="1:12" ht="15" thickBot="1" x14ac:dyDescent="0.35">
      <c r="A898" s="874"/>
      <c r="B898" s="874"/>
      <c r="C898" s="874"/>
      <c r="D898" s="874"/>
      <c r="E898" s="874"/>
      <c r="F898" s="466" t="s">
        <v>5759</v>
      </c>
      <c r="G898" s="466">
        <v>103121</v>
      </c>
      <c r="H898" s="466"/>
      <c r="I898" s="466">
        <v>200</v>
      </c>
      <c r="J898" s="44">
        <v>8166.3</v>
      </c>
      <c r="K898" s="884"/>
      <c r="L898" s="880"/>
    </row>
    <row r="899" spans="1:12" ht="15" thickBot="1" x14ac:dyDescent="0.35">
      <c r="A899" s="175">
        <v>700</v>
      </c>
      <c r="B899" s="8">
        <v>28002</v>
      </c>
      <c r="C899" s="8" t="s">
        <v>5869</v>
      </c>
      <c r="D899" s="45">
        <f t="shared" ref="D899:E899" si="613">+I899</f>
        <v>700</v>
      </c>
      <c r="E899" s="45">
        <f t="shared" si="613"/>
        <v>27737.599999999999</v>
      </c>
      <c r="F899" s="45" t="s">
        <v>5870</v>
      </c>
      <c r="G899" s="45">
        <v>103131</v>
      </c>
      <c r="H899" s="45"/>
      <c r="I899" s="45">
        <v>700</v>
      </c>
      <c r="J899" s="46">
        <v>27737.599999999999</v>
      </c>
      <c r="K899" s="477">
        <f t="shared" ref="K899" si="614">+A899-D899</f>
        <v>0</v>
      </c>
      <c r="L899" s="489">
        <f t="shared" ref="L899" si="615">((+B899/A899)-(E899/D899))/(B899/A899)</f>
        <v>9.4421827012357469E-3</v>
      </c>
    </row>
    <row r="900" spans="1:12" ht="15" thickBot="1" x14ac:dyDescent="0.35">
      <c r="A900" s="212">
        <v>398</v>
      </c>
      <c r="B900" s="50">
        <v>13499.7</v>
      </c>
      <c r="C900" s="459" t="s">
        <v>5760</v>
      </c>
      <c r="D900" s="459">
        <f t="shared" ref="D900:E900" si="616">+I900</f>
        <v>398</v>
      </c>
      <c r="E900" s="459">
        <f t="shared" si="616"/>
        <v>12998.400000000001</v>
      </c>
      <c r="F900" s="50" t="s">
        <v>5761</v>
      </c>
      <c r="G900" s="50">
        <v>103181</v>
      </c>
      <c r="H900" s="50"/>
      <c r="I900" s="50">
        <v>398</v>
      </c>
      <c r="J900" s="51">
        <v>12998.400000000001</v>
      </c>
      <c r="K900" s="457">
        <f t="shared" ref="K900:K902" si="617">+A900-D900</f>
        <v>0</v>
      </c>
      <c r="L900" s="464">
        <f t="shared" ref="L900:L902" si="618">((+B900/A900)-(E900/D900))/(B900/A900)</f>
        <v>3.7134158536856254E-2</v>
      </c>
    </row>
    <row r="901" spans="1:12" ht="15" thickBot="1" x14ac:dyDescent="0.35">
      <c r="A901" s="178">
        <v>30</v>
      </c>
      <c r="B901" s="45">
        <v>1409.75</v>
      </c>
      <c r="C901" s="8" t="s">
        <v>5762</v>
      </c>
      <c r="D901" s="8">
        <f>+I901</f>
        <v>30</v>
      </c>
      <c r="E901" s="8">
        <f>+J901</f>
        <v>1325.9</v>
      </c>
      <c r="F901" s="45" t="s">
        <v>5763</v>
      </c>
      <c r="G901" s="45">
        <v>103201</v>
      </c>
      <c r="H901" s="45"/>
      <c r="I901" s="45">
        <v>30</v>
      </c>
      <c r="J901" s="46">
        <v>1325.9</v>
      </c>
      <c r="K901" s="457">
        <f t="shared" si="617"/>
        <v>0</v>
      </c>
      <c r="L901" s="464">
        <f t="shared" si="618"/>
        <v>5.9478630962936575E-2</v>
      </c>
    </row>
    <row r="902" spans="1:12" x14ac:dyDescent="0.3">
      <c r="A902" s="871">
        <v>1003</v>
      </c>
      <c r="B902" s="873">
        <v>40016</v>
      </c>
      <c r="C902" s="873" t="s">
        <v>5764</v>
      </c>
      <c r="D902" s="873">
        <f>+I902+I903+I904</f>
        <v>1003</v>
      </c>
      <c r="E902" s="873">
        <f>+J902+J903+J904</f>
        <v>39062.100000000006</v>
      </c>
      <c r="F902" s="465" t="s">
        <v>5765</v>
      </c>
      <c r="G902" s="465">
        <v>103211</v>
      </c>
      <c r="H902" s="40"/>
      <c r="I902" s="465">
        <v>367</v>
      </c>
      <c r="J902" s="41">
        <v>13839.400000000001</v>
      </c>
      <c r="K902" s="882">
        <f t="shared" si="617"/>
        <v>0</v>
      </c>
      <c r="L902" s="879">
        <f t="shared" si="618"/>
        <v>2.3837964814074075E-2</v>
      </c>
    </row>
    <row r="903" spans="1:12" x14ac:dyDescent="0.3">
      <c r="A903" s="875"/>
      <c r="B903" s="881"/>
      <c r="C903" s="881"/>
      <c r="D903" s="881"/>
      <c r="E903" s="881"/>
      <c r="F903" s="50" t="s">
        <v>5765</v>
      </c>
      <c r="G903" s="50">
        <v>103211</v>
      </c>
      <c r="I903" s="50">
        <v>616</v>
      </c>
      <c r="J903" s="51">
        <v>24392.9</v>
      </c>
      <c r="K903" s="883"/>
      <c r="L903" s="885"/>
    </row>
    <row r="904" spans="1:12" ht="15" thickBot="1" x14ac:dyDescent="0.35">
      <c r="A904" s="872"/>
      <c r="B904" s="874"/>
      <c r="C904" s="874"/>
      <c r="D904" s="874"/>
      <c r="E904" s="874"/>
      <c r="F904" s="466" t="s">
        <v>5765</v>
      </c>
      <c r="G904" s="466">
        <v>103211</v>
      </c>
      <c r="H904" s="467"/>
      <c r="I904" s="466">
        <v>20</v>
      </c>
      <c r="J904" s="44">
        <v>829.8</v>
      </c>
      <c r="K904" s="884"/>
      <c r="L904" s="880"/>
    </row>
    <row r="905" spans="1:12" ht="15" thickBot="1" x14ac:dyDescent="0.35">
      <c r="A905" s="178">
        <v>345</v>
      </c>
      <c r="B905" s="45">
        <v>15108</v>
      </c>
      <c r="C905" s="8" t="s">
        <v>5766</v>
      </c>
      <c r="D905" s="8">
        <f t="shared" ref="D905:E905" si="619">+I905</f>
        <v>345</v>
      </c>
      <c r="E905" s="8">
        <f t="shared" si="619"/>
        <v>14660.5</v>
      </c>
      <c r="F905" s="45" t="s">
        <v>5767</v>
      </c>
      <c r="G905" s="45">
        <v>103221</v>
      </c>
      <c r="H905" s="14"/>
      <c r="I905" s="45">
        <v>345</v>
      </c>
      <c r="J905" s="46">
        <v>14660.5</v>
      </c>
      <c r="K905" s="457">
        <f t="shared" ref="K905:K908" si="620">+A905-D905</f>
        <v>0</v>
      </c>
      <c r="L905" s="464">
        <f t="shared" ref="L905:L908" si="621">((+B905/A905)-(E905/D905))/(B905/A905)</f>
        <v>2.9620068837701821E-2</v>
      </c>
    </row>
    <row r="906" spans="1:12" x14ac:dyDescent="0.3">
      <c r="A906" s="871">
        <v>1000</v>
      </c>
      <c r="B906" s="873">
        <v>38569.699999999997</v>
      </c>
      <c r="C906" s="873" t="s">
        <v>5871</v>
      </c>
      <c r="D906" s="873">
        <f>+I906+I907</f>
        <v>1000</v>
      </c>
      <c r="E906" s="873">
        <f>+J906+J907</f>
        <v>37501</v>
      </c>
      <c r="F906" s="487" t="s">
        <v>5872</v>
      </c>
      <c r="G906" s="487">
        <v>103241</v>
      </c>
      <c r="H906" s="40"/>
      <c r="I906" s="487">
        <v>500</v>
      </c>
      <c r="J906" s="41">
        <v>18757.599999999999</v>
      </c>
      <c r="K906" s="882">
        <f t="shared" ref="K906" si="622">+A906-D906</f>
        <v>0</v>
      </c>
      <c r="L906" s="879">
        <f t="shared" ref="L906" si="623">((+B906/A906)-(E906/D906))/(B906/A906)</f>
        <v>2.7708278778419325E-2</v>
      </c>
    </row>
    <row r="907" spans="1:12" ht="15" thickBot="1" x14ac:dyDescent="0.35">
      <c r="A907" s="872"/>
      <c r="B907" s="874"/>
      <c r="C907" s="874"/>
      <c r="D907" s="874"/>
      <c r="E907" s="874"/>
      <c r="F907" s="488" t="s">
        <v>5872</v>
      </c>
      <c r="G907" s="488">
        <v>103241</v>
      </c>
      <c r="H907" s="491"/>
      <c r="I907" s="488">
        <v>500</v>
      </c>
      <c r="J907" s="44">
        <v>18743.400000000001</v>
      </c>
      <c r="K907" s="884"/>
      <c r="L907" s="880"/>
    </row>
    <row r="908" spans="1:12" x14ac:dyDescent="0.3">
      <c r="A908" s="871">
        <v>1118</v>
      </c>
      <c r="B908" s="873">
        <v>43205.599999999999</v>
      </c>
      <c r="C908" s="873" t="s">
        <v>5768</v>
      </c>
      <c r="D908" s="873">
        <f>+I908+I909+83</f>
        <v>1118</v>
      </c>
      <c r="E908" s="873">
        <f>+J908+J909+3085.9</f>
        <v>41980.9</v>
      </c>
      <c r="F908" s="465" t="s">
        <v>5769</v>
      </c>
      <c r="G908" s="465">
        <v>103251</v>
      </c>
      <c r="H908" s="40"/>
      <c r="I908" s="465">
        <v>435</v>
      </c>
      <c r="J908" s="41">
        <v>16624.400000000001</v>
      </c>
      <c r="K908" s="882">
        <f t="shared" si="620"/>
        <v>0</v>
      </c>
      <c r="L908" s="879">
        <f t="shared" si="621"/>
        <v>2.8345862573369938E-2</v>
      </c>
    </row>
    <row r="909" spans="1:12" ht="15" thickBot="1" x14ac:dyDescent="0.35">
      <c r="A909" s="872"/>
      <c r="B909" s="874"/>
      <c r="C909" s="874"/>
      <c r="D909" s="874"/>
      <c r="E909" s="874"/>
      <c r="F909" s="466" t="s">
        <v>5769</v>
      </c>
      <c r="G909" s="466">
        <v>103251</v>
      </c>
      <c r="H909" s="467"/>
      <c r="I909" s="466">
        <v>600</v>
      </c>
      <c r="J909" s="44">
        <v>22270.6</v>
      </c>
      <c r="K909" s="884"/>
      <c r="L909" s="880"/>
    </row>
    <row r="910" spans="1:12" ht="15" thickBot="1" x14ac:dyDescent="0.35">
      <c r="A910" s="469">
        <v>660</v>
      </c>
      <c r="B910" s="470">
        <v>26892.400000000001</v>
      </c>
      <c r="C910" s="470" t="s">
        <v>5840</v>
      </c>
      <c r="D910" s="470">
        <v>660</v>
      </c>
      <c r="E910" s="470">
        <v>26295.9</v>
      </c>
      <c r="F910" s="472" t="s">
        <v>5839</v>
      </c>
      <c r="G910" s="472">
        <v>103261</v>
      </c>
      <c r="H910" s="363"/>
      <c r="I910" s="364"/>
      <c r="J910" s="364"/>
      <c r="K910" s="468">
        <f t="shared" ref="K910" si="624">+A910-D910</f>
        <v>0</v>
      </c>
      <c r="L910" s="473">
        <f t="shared" ref="L910" si="625">((+B910/A910)-(E910/D910))/(B910/A910)</f>
        <v>2.2180987937112397E-2</v>
      </c>
    </row>
    <row r="911" spans="1:12" ht="15" thickBot="1" x14ac:dyDescent="0.35">
      <c r="A911" s="178">
        <v>225</v>
      </c>
      <c r="B911" s="178">
        <v>8752.9</v>
      </c>
      <c r="C911" s="8" t="s">
        <v>5770</v>
      </c>
      <c r="D911" s="8">
        <v>225</v>
      </c>
      <c r="E911" s="8">
        <v>8643.9</v>
      </c>
      <c r="F911" s="45" t="s">
        <v>5771</v>
      </c>
      <c r="G911" s="46">
        <v>103301</v>
      </c>
      <c r="H911" s="363"/>
      <c r="I911" s="364"/>
      <c r="J911" s="364"/>
      <c r="K911" s="457">
        <f t="shared" ref="K911:K913" si="626">+A911-D911</f>
        <v>0</v>
      </c>
      <c r="L911" s="464">
        <f t="shared" ref="L911:L913" si="627">((+B911/A911)-(E911/D911))/(B911/A911)</f>
        <v>1.2453015571981797E-2</v>
      </c>
    </row>
    <row r="912" spans="1:12" ht="15" thickBot="1" x14ac:dyDescent="0.35">
      <c r="A912" s="178">
        <v>272</v>
      </c>
      <c r="B912" s="45">
        <v>10925.5</v>
      </c>
      <c r="C912" s="8" t="s">
        <v>5772</v>
      </c>
      <c r="D912" s="8">
        <f>175+97</f>
        <v>272</v>
      </c>
      <c r="E912" s="8">
        <f>6822.6+3907.8</f>
        <v>10730.400000000001</v>
      </c>
      <c r="F912" s="45" t="s">
        <v>5773</v>
      </c>
      <c r="G912" s="46">
        <v>103311</v>
      </c>
      <c r="H912" s="363"/>
      <c r="I912" s="364"/>
      <c r="J912" s="364"/>
      <c r="K912" s="457">
        <f t="shared" si="626"/>
        <v>0</v>
      </c>
      <c r="L912" s="464">
        <f t="shared" si="627"/>
        <v>1.7857306301770945E-2</v>
      </c>
    </row>
    <row r="913" spans="1:12" x14ac:dyDescent="0.3">
      <c r="A913" s="871">
        <v>880</v>
      </c>
      <c r="B913" s="873">
        <v>34702.9</v>
      </c>
      <c r="C913" s="873" t="s">
        <v>5873</v>
      </c>
      <c r="D913" s="873">
        <f>+I913+I914</f>
        <v>879</v>
      </c>
      <c r="E913" s="873">
        <f>+J913+J914</f>
        <v>33430.9</v>
      </c>
      <c r="F913" s="487" t="s">
        <v>5874</v>
      </c>
      <c r="G913" s="487">
        <v>103341</v>
      </c>
      <c r="H913" s="487"/>
      <c r="I913" s="487">
        <v>660</v>
      </c>
      <c r="J913" s="41">
        <v>25139.200000000001</v>
      </c>
      <c r="K913" s="882">
        <f t="shared" si="626"/>
        <v>1</v>
      </c>
      <c r="L913" s="879">
        <f t="shared" si="627"/>
        <v>3.5558040444148398E-2</v>
      </c>
    </row>
    <row r="914" spans="1:12" ht="15" thickBot="1" x14ac:dyDescent="0.35">
      <c r="A914" s="872"/>
      <c r="B914" s="874"/>
      <c r="C914" s="874"/>
      <c r="D914" s="874"/>
      <c r="E914" s="874"/>
      <c r="F914" s="488" t="s">
        <v>5874</v>
      </c>
      <c r="G914" s="488">
        <v>103341</v>
      </c>
      <c r="H914" s="488"/>
      <c r="I914" s="488">
        <v>219</v>
      </c>
      <c r="J914" s="44">
        <v>8291.7000000000007</v>
      </c>
      <c r="K914" s="884"/>
      <c r="L914" s="880"/>
    </row>
    <row r="915" spans="1:12" ht="15" thickBot="1" x14ac:dyDescent="0.35">
      <c r="A915" s="178">
        <v>219</v>
      </c>
      <c r="B915" s="45">
        <v>9131.5</v>
      </c>
      <c r="C915" s="8" t="s">
        <v>5875</v>
      </c>
      <c r="D915" s="45">
        <f>+I915</f>
        <v>139</v>
      </c>
      <c r="E915" s="45">
        <f>+J915</f>
        <v>5563</v>
      </c>
      <c r="F915" s="45" t="s">
        <v>5876</v>
      </c>
      <c r="G915" s="45">
        <v>103381</v>
      </c>
      <c r="H915" s="45"/>
      <c r="I915" s="45">
        <v>139</v>
      </c>
      <c r="J915" s="46">
        <v>5563</v>
      </c>
      <c r="K915" s="477">
        <f t="shared" ref="K915:K917" si="628">+A915-D915</f>
        <v>80</v>
      </c>
      <c r="L915" s="489">
        <f t="shared" ref="L915:L917" si="629">((+B915/A915)-(E915/D915))/(B915/A915)</f>
        <v>4.016573194929246E-2</v>
      </c>
    </row>
    <row r="916" spans="1:12" ht="15" thickBot="1" x14ac:dyDescent="0.35">
      <c r="A916" s="178">
        <v>846</v>
      </c>
      <c r="B916" s="45">
        <v>34185.25</v>
      </c>
      <c r="C916" s="8" t="s">
        <v>5877</v>
      </c>
      <c r="D916" s="45">
        <f>+I916</f>
        <v>846</v>
      </c>
      <c r="E916" s="45">
        <f>+J916</f>
        <v>33776.400000000001</v>
      </c>
      <c r="F916" s="45" t="s">
        <v>5878</v>
      </c>
      <c r="G916" s="45">
        <v>103391</v>
      </c>
      <c r="H916" s="45"/>
      <c r="I916" s="45">
        <v>846</v>
      </c>
      <c r="J916" s="46">
        <v>33776.400000000001</v>
      </c>
      <c r="K916" s="477">
        <f t="shared" si="628"/>
        <v>0</v>
      </c>
      <c r="L916" s="489">
        <f t="shared" si="629"/>
        <v>1.1959836479183248E-2</v>
      </c>
    </row>
    <row r="917" spans="1:12" x14ac:dyDescent="0.3">
      <c r="A917" s="871">
        <v>1500</v>
      </c>
      <c r="B917" s="873">
        <v>52242</v>
      </c>
      <c r="C917" s="873" t="s">
        <v>5879</v>
      </c>
      <c r="D917" s="873">
        <f>+I917+I918+I919</f>
        <v>1500</v>
      </c>
      <c r="E917" s="873">
        <f>+J917+J918+J919</f>
        <v>51200.600000000006</v>
      </c>
      <c r="F917" s="487" t="s">
        <v>5880</v>
      </c>
      <c r="G917" s="487">
        <v>103451</v>
      </c>
      <c r="H917" s="40"/>
      <c r="I917" s="487">
        <v>750</v>
      </c>
      <c r="J917" s="41">
        <v>25316</v>
      </c>
      <c r="K917" s="882">
        <f t="shared" si="628"/>
        <v>0</v>
      </c>
      <c r="L917" s="879">
        <f t="shared" si="629"/>
        <v>1.9934152597526813E-2</v>
      </c>
    </row>
    <row r="918" spans="1:12" x14ac:dyDescent="0.3">
      <c r="A918" s="875"/>
      <c r="B918" s="881"/>
      <c r="C918" s="881"/>
      <c r="D918" s="881"/>
      <c r="E918" s="881"/>
      <c r="F918" s="50" t="s">
        <v>5880</v>
      </c>
      <c r="G918" s="50">
        <v>103451</v>
      </c>
      <c r="I918" s="50">
        <v>450</v>
      </c>
      <c r="J918" s="51">
        <v>15397.300000000001</v>
      </c>
      <c r="K918" s="883"/>
      <c r="L918" s="885"/>
    </row>
    <row r="919" spans="1:12" ht="15" thickBot="1" x14ac:dyDescent="0.35">
      <c r="A919" s="875"/>
      <c r="B919" s="881"/>
      <c r="C919" s="881"/>
      <c r="D919" s="881"/>
      <c r="E919" s="881"/>
      <c r="F919" s="50" t="s">
        <v>5880</v>
      </c>
      <c r="G919" s="50">
        <v>103451</v>
      </c>
      <c r="I919" s="50">
        <v>300</v>
      </c>
      <c r="J919" s="51">
        <v>10487.3</v>
      </c>
      <c r="K919" s="884"/>
      <c r="L919" s="880"/>
    </row>
    <row r="920" spans="1:12" ht="15" thickBot="1" x14ac:dyDescent="0.35">
      <c r="A920" s="178">
        <v>750</v>
      </c>
      <c r="B920" s="45">
        <v>31454.25</v>
      </c>
      <c r="C920" s="8" t="s">
        <v>5881</v>
      </c>
      <c r="D920" s="8">
        <f>+I920</f>
        <v>647</v>
      </c>
      <c r="E920" s="8">
        <f>+J920</f>
        <v>26516.800000000003</v>
      </c>
      <c r="F920" s="45" t="s">
        <v>5882</v>
      </c>
      <c r="G920" s="45">
        <v>103481</v>
      </c>
      <c r="H920" s="14"/>
      <c r="I920" s="45">
        <v>647</v>
      </c>
      <c r="J920" s="46">
        <v>26516.800000000003</v>
      </c>
      <c r="K920" s="477">
        <f t="shared" ref="K920:K922" si="630">+A920-D920</f>
        <v>103</v>
      </c>
      <c r="L920" s="489">
        <f t="shared" ref="L920:L922" si="631">((+B920/A920)-(E920/D920))/(B920/A920)</f>
        <v>2.276556593032204E-2</v>
      </c>
    </row>
    <row r="921" spans="1:12" ht="15" thickBot="1" x14ac:dyDescent="0.35">
      <c r="A921" s="484">
        <v>500</v>
      </c>
      <c r="B921" s="487">
        <v>20618.25</v>
      </c>
      <c r="C921" s="8" t="s">
        <v>5883</v>
      </c>
      <c r="D921" s="8">
        <f>+I921</f>
        <v>500</v>
      </c>
      <c r="E921" s="8">
        <f>+J921</f>
        <v>20035</v>
      </c>
      <c r="F921" s="45" t="s">
        <v>5884</v>
      </c>
      <c r="G921" s="45">
        <v>103491</v>
      </c>
      <c r="H921" s="40"/>
      <c r="I921" s="487">
        <v>500</v>
      </c>
      <c r="J921" s="41">
        <v>20035</v>
      </c>
      <c r="K921" s="477">
        <f t="shared" si="630"/>
        <v>0</v>
      </c>
      <c r="L921" s="489">
        <f t="shared" si="631"/>
        <v>2.828804578468103E-2</v>
      </c>
    </row>
    <row r="922" spans="1:12" x14ac:dyDescent="0.3">
      <c r="A922" s="871">
        <v>1814</v>
      </c>
      <c r="B922" s="873">
        <v>62327</v>
      </c>
      <c r="C922" s="873" t="s">
        <v>5885</v>
      </c>
      <c r="D922" s="873">
        <f>+I922+I923+I924+I925</f>
        <v>1817</v>
      </c>
      <c r="E922" s="873">
        <f>+J922+J923+J924+J925</f>
        <v>61211.000000000007</v>
      </c>
      <c r="F922" s="480" t="s">
        <v>5886</v>
      </c>
      <c r="G922" s="480">
        <v>103541</v>
      </c>
      <c r="H922" s="38"/>
      <c r="I922" s="480">
        <v>600</v>
      </c>
      <c r="J922" s="13">
        <v>20402.2</v>
      </c>
      <c r="K922" s="877">
        <f t="shared" si="630"/>
        <v>-3</v>
      </c>
      <c r="L922" s="879">
        <f t="shared" si="631"/>
        <v>1.9527072400355647E-2</v>
      </c>
    </row>
    <row r="923" spans="1:12" x14ac:dyDescent="0.3">
      <c r="A923" s="875"/>
      <c r="B923" s="881"/>
      <c r="C923" s="881"/>
      <c r="D923" s="881"/>
      <c r="E923" s="881"/>
      <c r="F923" s="50" t="s">
        <v>5886</v>
      </c>
      <c r="G923" s="50">
        <v>103541</v>
      </c>
      <c r="I923" s="50">
        <v>800</v>
      </c>
      <c r="J923" s="51">
        <v>26886.9</v>
      </c>
      <c r="K923" s="886"/>
      <c r="L923" s="885"/>
    </row>
    <row r="924" spans="1:12" x14ac:dyDescent="0.3">
      <c r="A924" s="875"/>
      <c r="B924" s="881"/>
      <c r="C924" s="881"/>
      <c r="D924" s="881"/>
      <c r="E924" s="881"/>
      <c r="F924" s="50" t="s">
        <v>5886</v>
      </c>
      <c r="G924" s="50">
        <v>103541</v>
      </c>
      <c r="I924" s="50">
        <v>103</v>
      </c>
      <c r="J924" s="51">
        <v>3387.3</v>
      </c>
      <c r="K924" s="886"/>
      <c r="L924" s="885"/>
    </row>
    <row r="925" spans="1:12" ht="15" thickBot="1" x14ac:dyDescent="0.35">
      <c r="A925" s="872"/>
      <c r="B925" s="874"/>
      <c r="C925" s="874"/>
      <c r="D925" s="874"/>
      <c r="E925" s="874"/>
      <c r="F925" s="488" t="s">
        <v>5886</v>
      </c>
      <c r="G925" s="488">
        <v>103541</v>
      </c>
      <c r="H925" s="491"/>
      <c r="I925" s="488">
        <v>314</v>
      </c>
      <c r="J925" s="44">
        <v>10534.6</v>
      </c>
      <c r="K925" s="878"/>
      <c r="L925" s="880"/>
    </row>
    <row r="926" spans="1:12" ht="15" thickBot="1" x14ac:dyDescent="0.35">
      <c r="A926" s="479">
        <v>500</v>
      </c>
      <c r="B926" s="481">
        <v>21711.5</v>
      </c>
      <c r="C926" s="481" t="s">
        <v>5887</v>
      </c>
      <c r="D926" s="481">
        <f>+I926</f>
        <v>500</v>
      </c>
      <c r="E926" s="481">
        <f>+J926</f>
        <v>20927.2</v>
      </c>
      <c r="F926" s="488" t="s">
        <v>5888</v>
      </c>
      <c r="G926" s="488">
        <v>103561</v>
      </c>
      <c r="H926" s="491"/>
      <c r="I926" s="488">
        <v>500</v>
      </c>
      <c r="J926" s="44">
        <v>20927.2</v>
      </c>
      <c r="K926" s="477">
        <f t="shared" ref="K926:K927" si="632">+A926-D926</f>
        <v>0</v>
      </c>
      <c r="L926" s="489">
        <f t="shared" ref="L926:L927" si="633">((+B926/A926)-(E926/D926))/(B926/A926)</f>
        <v>3.6123713239527518E-2</v>
      </c>
    </row>
    <row r="927" spans="1:12" ht="15" thickBot="1" x14ac:dyDescent="0.35">
      <c r="A927" s="178">
        <v>267</v>
      </c>
      <c r="B927" s="45">
        <v>10704.75</v>
      </c>
      <c r="C927" s="45" t="s">
        <v>5889</v>
      </c>
      <c r="D927" s="45">
        <f>+I927</f>
        <v>265</v>
      </c>
      <c r="E927" s="45">
        <f>+J927</f>
        <v>10611.099999999999</v>
      </c>
      <c r="F927" s="45" t="s">
        <v>5890</v>
      </c>
      <c r="G927" s="45">
        <v>103571</v>
      </c>
      <c r="H927" s="14"/>
      <c r="I927" s="45">
        <v>265</v>
      </c>
      <c r="J927" s="46">
        <v>10611.099999999999</v>
      </c>
      <c r="K927" s="477">
        <f t="shared" si="632"/>
        <v>2</v>
      </c>
      <c r="L927" s="489">
        <f t="shared" si="633"/>
        <v>1.2673090371187708E-3</v>
      </c>
    </row>
    <row r="928" spans="1:12" x14ac:dyDescent="0.3">
      <c r="A928" s="871">
        <v>1352</v>
      </c>
      <c r="B928" s="873">
        <v>55571</v>
      </c>
      <c r="C928" s="873" t="s">
        <v>5891</v>
      </c>
      <c r="D928" s="873">
        <f>+I928+I929</f>
        <v>1352</v>
      </c>
      <c r="E928" s="873">
        <f>+J928+J929</f>
        <v>54311.399999999994</v>
      </c>
      <c r="F928" s="487" t="s">
        <v>5892</v>
      </c>
      <c r="G928" s="487">
        <v>103611</v>
      </c>
      <c r="H928" s="40"/>
      <c r="I928" s="487">
        <v>1102</v>
      </c>
      <c r="J928" s="41">
        <v>44439.6</v>
      </c>
      <c r="K928" s="882">
        <f t="shared" ref="K928" si="634">+A928-D928</f>
        <v>0</v>
      </c>
      <c r="L928" s="879">
        <f t="shared" ref="L928" si="635">((+B928/A928)-(E928/D928))/(B928/A928)</f>
        <v>2.2666498713357838E-2</v>
      </c>
    </row>
    <row r="929" spans="1:12" ht="15" thickBot="1" x14ac:dyDescent="0.35">
      <c r="A929" s="872"/>
      <c r="B929" s="874"/>
      <c r="C929" s="874"/>
      <c r="D929" s="874"/>
      <c r="E929" s="874"/>
      <c r="F929" s="488" t="s">
        <v>5892</v>
      </c>
      <c r="G929" s="488">
        <v>103611</v>
      </c>
      <c r="H929" s="491"/>
      <c r="I929" s="488">
        <v>250</v>
      </c>
      <c r="J929" s="44">
        <v>9871.7999999999993</v>
      </c>
      <c r="K929" s="884"/>
      <c r="L929" s="880"/>
    </row>
    <row r="930" spans="1:12" ht="15" thickBot="1" x14ac:dyDescent="0.35">
      <c r="A930" s="178">
        <v>901</v>
      </c>
      <c r="B930" s="45">
        <v>31745</v>
      </c>
      <c r="C930" s="45" t="s">
        <v>5893</v>
      </c>
      <c r="D930" s="45">
        <f>+I930</f>
        <v>900</v>
      </c>
      <c r="E930" s="45">
        <f>+J930</f>
        <v>31035.9</v>
      </c>
      <c r="F930" s="45" t="s">
        <v>5894</v>
      </c>
      <c r="G930" s="45">
        <v>103681</v>
      </c>
      <c r="H930" s="14"/>
      <c r="I930" s="45">
        <v>900</v>
      </c>
      <c r="J930" s="46">
        <v>31035.9</v>
      </c>
      <c r="K930" s="477">
        <f t="shared" ref="K930:K932" si="636">+A930-D930</f>
        <v>1</v>
      </c>
      <c r="L930" s="489">
        <f t="shared" ref="L930:L932" si="637">((+B930/A930)-(E930/D930))/(B930/A930)</f>
        <v>2.1251084160235273E-2</v>
      </c>
    </row>
    <row r="931" spans="1:12" ht="15" thickBot="1" x14ac:dyDescent="0.35">
      <c r="A931" s="178">
        <v>60</v>
      </c>
      <c r="B931" s="45">
        <v>3268.5</v>
      </c>
      <c r="C931" s="45" t="s">
        <v>6015</v>
      </c>
      <c r="D931" s="45">
        <f>+I931</f>
        <v>60</v>
      </c>
      <c r="E931" s="45">
        <f>+J931</f>
        <v>3129.8</v>
      </c>
      <c r="F931" s="45" t="s">
        <v>6016</v>
      </c>
      <c r="G931" s="45">
        <v>103691</v>
      </c>
      <c r="H931" s="14"/>
      <c r="I931" s="45">
        <v>60</v>
      </c>
      <c r="J931" s="46">
        <v>3129.8</v>
      </c>
      <c r="K931" s="498">
        <f t="shared" ref="K931" si="638">+A931-D931</f>
        <v>0</v>
      </c>
      <c r="L931" s="501">
        <f t="shared" ref="L931" si="639">((+B931/A931)-(E931/D931))/(B931/A931)</f>
        <v>4.2435367905767185E-2</v>
      </c>
    </row>
    <row r="932" spans="1:12" ht="15" thickBot="1" x14ac:dyDescent="0.35">
      <c r="A932" s="178">
        <v>1000</v>
      </c>
      <c r="B932" s="45">
        <v>40341.5</v>
      </c>
      <c r="C932" s="45" t="s">
        <v>5895</v>
      </c>
      <c r="D932" s="45">
        <v>1002</v>
      </c>
      <c r="E932" s="45">
        <v>39245.599999999999</v>
      </c>
      <c r="F932" s="45" t="s">
        <v>5896</v>
      </c>
      <c r="G932" s="45">
        <v>103701</v>
      </c>
      <c r="H932" s="14"/>
      <c r="I932" s="45">
        <v>200</v>
      </c>
      <c r="J932" s="46">
        <v>7943.7</v>
      </c>
      <c r="K932" s="477">
        <f t="shared" si="636"/>
        <v>-2</v>
      </c>
      <c r="L932" s="489">
        <f t="shared" si="637"/>
        <v>2.9107359194331623E-2</v>
      </c>
    </row>
    <row r="933" spans="1:12" ht="15" thickBot="1" x14ac:dyDescent="0.35">
      <c r="A933" s="178">
        <v>99</v>
      </c>
      <c r="B933" s="45">
        <v>4461</v>
      </c>
      <c r="C933" s="45" t="s">
        <v>6017</v>
      </c>
      <c r="D933" s="45">
        <f>+I933</f>
        <v>99</v>
      </c>
      <c r="E933" s="45">
        <f>+J933</f>
        <v>4335.3999999999996</v>
      </c>
      <c r="F933" s="45" t="s">
        <v>6018</v>
      </c>
      <c r="G933" s="45">
        <v>103721</v>
      </c>
      <c r="H933" s="14"/>
      <c r="I933" s="45">
        <v>99</v>
      </c>
      <c r="J933" s="46">
        <v>4335.3999999999996</v>
      </c>
      <c r="K933" s="498">
        <f t="shared" ref="K933:K935" si="640">+A933-D933</f>
        <v>0</v>
      </c>
      <c r="L933" s="501">
        <f t="shared" ref="L933:L935" si="641">((+B933/A933)-(E933/D933))/(B933/A933)</f>
        <v>2.8155122169917102E-2</v>
      </c>
    </row>
    <row r="934" spans="1:12" ht="15" thickBot="1" x14ac:dyDescent="0.35">
      <c r="A934" s="178">
        <v>513</v>
      </c>
      <c r="B934" s="45">
        <v>20768.5</v>
      </c>
      <c r="C934" s="45" t="s">
        <v>6019</v>
      </c>
      <c r="D934" s="45">
        <f>+I934</f>
        <v>517</v>
      </c>
      <c r="E934" s="45">
        <f>+J934</f>
        <v>20055.599999999999</v>
      </c>
      <c r="F934" s="45" t="s">
        <v>6020</v>
      </c>
      <c r="G934" s="45">
        <v>103761</v>
      </c>
      <c r="H934" s="14"/>
      <c r="I934" s="45">
        <v>517</v>
      </c>
      <c r="J934" s="46">
        <v>20055.599999999999</v>
      </c>
      <c r="K934" s="498">
        <f t="shared" si="640"/>
        <v>-4</v>
      </c>
      <c r="L934" s="501">
        <f t="shared" si="641"/>
        <v>4.1797387978157866E-2</v>
      </c>
    </row>
    <row r="935" spans="1:12" x14ac:dyDescent="0.3">
      <c r="A935" s="871">
        <v>500</v>
      </c>
      <c r="B935" s="873">
        <v>16711.599999999999</v>
      </c>
      <c r="C935" s="873" t="s">
        <v>6021</v>
      </c>
      <c r="D935" s="873">
        <f>+I935+I936</f>
        <v>500</v>
      </c>
      <c r="E935" s="873">
        <f>+J935+J936</f>
        <v>16487</v>
      </c>
      <c r="F935" s="502" t="s">
        <v>6022</v>
      </c>
      <c r="G935" s="502">
        <v>103811</v>
      </c>
      <c r="H935" s="40"/>
      <c r="I935" s="502">
        <v>200</v>
      </c>
      <c r="J935" s="41">
        <v>6632.7</v>
      </c>
      <c r="K935" s="882">
        <f t="shared" si="640"/>
        <v>0</v>
      </c>
      <c r="L935" s="879">
        <f t="shared" si="641"/>
        <v>1.3439766389812995E-2</v>
      </c>
    </row>
    <row r="936" spans="1:12" ht="15" thickBot="1" x14ac:dyDescent="0.35">
      <c r="A936" s="872"/>
      <c r="B936" s="874"/>
      <c r="C936" s="874"/>
      <c r="D936" s="874"/>
      <c r="E936" s="874"/>
      <c r="F936" s="503" t="s">
        <v>6022</v>
      </c>
      <c r="G936" s="503">
        <v>103811</v>
      </c>
      <c r="H936" s="504"/>
      <c r="I936" s="503">
        <v>300</v>
      </c>
      <c r="J936" s="44">
        <v>9854.2999999999993</v>
      </c>
      <c r="K936" s="884"/>
      <c r="L936" s="880"/>
    </row>
    <row r="937" spans="1:12" x14ac:dyDescent="0.3">
      <c r="A937" s="875">
        <v>646</v>
      </c>
      <c r="B937" s="881">
        <v>27403.5</v>
      </c>
      <c r="C937" s="881" t="s">
        <v>6023</v>
      </c>
      <c r="D937" s="881">
        <f>+I937+I938</f>
        <v>646</v>
      </c>
      <c r="E937" s="881">
        <f>+J937+J938</f>
        <v>26858.5</v>
      </c>
      <c r="F937" s="50" t="s">
        <v>6024</v>
      </c>
      <c r="G937" s="50">
        <v>103851</v>
      </c>
      <c r="I937" s="50">
        <v>592</v>
      </c>
      <c r="J937" s="51">
        <v>24658.9</v>
      </c>
      <c r="K937" s="882">
        <f t="shared" ref="K937" si="642">+A937-D937</f>
        <v>0</v>
      </c>
      <c r="L937" s="879">
        <f t="shared" ref="L937" si="643">((+B937/A937)-(E937/D937))/(B937/A937)</f>
        <v>1.9887970514715345E-2</v>
      </c>
    </row>
    <row r="938" spans="1:12" ht="15" thickBot="1" x14ac:dyDescent="0.35">
      <c r="A938" s="872"/>
      <c r="B938" s="874"/>
      <c r="C938" s="874"/>
      <c r="D938" s="874"/>
      <c r="E938" s="874"/>
      <c r="F938" s="503" t="s">
        <v>6024</v>
      </c>
      <c r="G938" s="503">
        <v>103851</v>
      </c>
      <c r="H938" s="504"/>
      <c r="I938" s="503">
        <v>54</v>
      </c>
      <c r="J938" s="44">
        <v>2199.6</v>
      </c>
      <c r="K938" s="884"/>
      <c r="L938" s="880"/>
    </row>
    <row r="939" spans="1:12" ht="15" thickBot="1" x14ac:dyDescent="0.35">
      <c r="A939" s="178">
        <v>341</v>
      </c>
      <c r="B939" s="45">
        <v>17864.25</v>
      </c>
      <c r="C939" s="45" t="s">
        <v>6025</v>
      </c>
      <c r="D939" s="45">
        <f>+I939</f>
        <v>341</v>
      </c>
      <c r="E939" s="45">
        <f>+J939</f>
        <v>17564.599999999999</v>
      </c>
      <c r="F939" s="45" t="s">
        <v>6026</v>
      </c>
      <c r="G939" s="45">
        <v>103921</v>
      </c>
      <c r="H939" s="14"/>
      <c r="I939" s="45">
        <v>341</v>
      </c>
      <c r="J939" s="46">
        <v>17564.599999999999</v>
      </c>
      <c r="K939" s="498">
        <f t="shared" ref="K939:K940" si="644">+A939-D939</f>
        <v>0</v>
      </c>
      <c r="L939" s="501">
        <f t="shared" ref="L939:L940" si="645">((+B939/A939)-(E939/D939))/(B939/A939)</f>
        <v>1.6773724057825054E-2</v>
      </c>
    </row>
    <row r="940" spans="1:12" x14ac:dyDescent="0.3">
      <c r="A940" s="871">
        <v>398</v>
      </c>
      <c r="B940" s="873">
        <v>21950.5</v>
      </c>
      <c r="C940" s="873" t="s">
        <v>6027</v>
      </c>
      <c r="D940" s="873">
        <f>+I940+I941</f>
        <v>398</v>
      </c>
      <c r="E940" s="873">
        <f>+J940+J941</f>
        <v>21650.300000000003</v>
      </c>
      <c r="F940" s="502" t="s">
        <v>6028</v>
      </c>
      <c r="G940" s="502">
        <v>103931</v>
      </c>
      <c r="H940" s="40"/>
      <c r="I940" s="502">
        <v>59</v>
      </c>
      <c r="J940" s="41">
        <v>3203.4</v>
      </c>
      <c r="K940" s="882">
        <f t="shared" si="644"/>
        <v>0</v>
      </c>
      <c r="L940" s="879">
        <f t="shared" si="645"/>
        <v>1.3676226054076045E-2</v>
      </c>
    </row>
    <row r="941" spans="1:12" ht="15" thickBot="1" x14ac:dyDescent="0.35">
      <c r="A941" s="872"/>
      <c r="B941" s="874"/>
      <c r="C941" s="874"/>
      <c r="D941" s="874"/>
      <c r="E941" s="874"/>
      <c r="F941" s="503" t="s">
        <v>6028</v>
      </c>
      <c r="G941" s="503">
        <v>103931</v>
      </c>
      <c r="H941" s="504"/>
      <c r="I941" s="503">
        <v>339</v>
      </c>
      <c r="J941" s="44">
        <v>18446.900000000001</v>
      </c>
      <c r="K941" s="884"/>
      <c r="L941" s="880"/>
    </row>
    <row r="942" spans="1:12" ht="15" thickBot="1" x14ac:dyDescent="0.35">
      <c r="A942" s="512">
        <v>1008</v>
      </c>
      <c r="B942" s="513">
        <v>33839.699999999997</v>
      </c>
      <c r="C942" s="513" t="s">
        <v>6113</v>
      </c>
      <c r="D942" s="513">
        <f>+I942</f>
        <v>1008</v>
      </c>
      <c r="E942" s="513">
        <f>+J942</f>
        <v>33248.399999999994</v>
      </c>
      <c r="F942" s="50" t="s">
        <v>6114</v>
      </c>
      <c r="G942" s="50">
        <v>103941</v>
      </c>
      <c r="I942" s="50">
        <v>1008</v>
      </c>
      <c r="J942" s="51">
        <v>33248.399999999994</v>
      </c>
      <c r="K942" s="507">
        <f t="shared" ref="K942" si="646">+A942-D942</f>
        <v>0</v>
      </c>
      <c r="L942" s="518">
        <f t="shared" ref="L942" si="647">((+B942/A942)-(E942/D942))/(B942/A942)</f>
        <v>1.7473559162758671E-2</v>
      </c>
    </row>
    <row r="943" spans="1:12" x14ac:dyDescent="0.3">
      <c r="A943" s="871">
        <v>1364</v>
      </c>
      <c r="B943" s="873">
        <v>49608.75</v>
      </c>
      <c r="C943" s="873" t="s">
        <v>6029</v>
      </c>
      <c r="D943" s="873">
        <f>+I943+I944</f>
        <v>1363</v>
      </c>
      <c r="E943" s="873">
        <f>+J943+J944</f>
        <v>48102.899999999994</v>
      </c>
      <c r="F943" s="495" t="s">
        <v>6030</v>
      </c>
      <c r="G943" s="495">
        <v>103991</v>
      </c>
      <c r="H943" s="38"/>
      <c r="I943" s="502">
        <v>600</v>
      </c>
      <c r="J943" s="41">
        <v>21377.1</v>
      </c>
      <c r="K943" s="882">
        <f t="shared" ref="K943" si="648">+A943-D943</f>
        <v>1</v>
      </c>
      <c r="L943" s="879">
        <f t="shared" ref="L943" si="649">((+B943/A943)-(E943/D943))/(B943/A943)</f>
        <v>2.964311881337198E-2</v>
      </c>
    </row>
    <row r="944" spans="1:12" ht="15" thickBot="1" x14ac:dyDescent="0.35">
      <c r="A944" s="872"/>
      <c r="B944" s="874"/>
      <c r="C944" s="874"/>
      <c r="D944" s="874"/>
      <c r="E944" s="874"/>
      <c r="F944" s="497" t="s">
        <v>6030</v>
      </c>
      <c r="G944" s="497">
        <v>103991</v>
      </c>
      <c r="H944" s="82"/>
      <c r="I944" s="503">
        <v>763</v>
      </c>
      <c r="J944" s="44">
        <v>26725.799999999996</v>
      </c>
      <c r="K944" s="884"/>
      <c r="L944" s="880"/>
    </row>
    <row r="945" spans="1:12" x14ac:dyDescent="0.3">
      <c r="A945" s="871">
        <v>2500</v>
      </c>
      <c r="B945" s="873">
        <v>97328.8</v>
      </c>
      <c r="C945" s="873" t="s">
        <v>6115</v>
      </c>
      <c r="D945" s="873">
        <f>+I945+I946+I947+I949+I948</f>
        <v>2498</v>
      </c>
      <c r="E945" s="873">
        <f>+J945+J946+J947+J949+J948</f>
        <v>94560.300000000017</v>
      </c>
      <c r="F945" s="510" t="s">
        <v>6116</v>
      </c>
      <c r="G945" s="510">
        <v>104001</v>
      </c>
      <c r="H945" s="38"/>
      <c r="I945" s="516">
        <v>500</v>
      </c>
      <c r="J945" s="41">
        <v>18594.300000000003</v>
      </c>
      <c r="K945" s="882">
        <f t="shared" ref="K945" si="650">+A945-D945</f>
        <v>2</v>
      </c>
      <c r="L945" s="879">
        <f t="shared" ref="L945" si="651">((+B945/A945)-(E945/D945))/(B945/A945)</f>
        <v>2.7666951539054723E-2</v>
      </c>
    </row>
    <row r="946" spans="1:12" x14ac:dyDescent="0.3">
      <c r="A946" s="875"/>
      <c r="B946" s="881"/>
      <c r="C946" s="881"/>
      <c r="D946" s="881"/>
      <c r="E946" s="881"/>
      <c r="F946" s="513" t="s">
        <v>6116</v>
      </c>
      <c r="G946" s="513">
        <v>104001</v>
      </c>
      <c r="H946" s="81"/>
      <c r="I946" s="50">
        <v>998</v>
      </c>
      <c r="J946" s="51">
        <v>37644.5</v>
      </c>
      <c r="K946" s="883"/>
      <c r="L946" s="885"/>
    </row>
    <row r="947" spans="1:12" x14ac:dyDescent="0.3">
      <c r="A947" s="875"/>
      <c r="B947" s="881"/>
      <c r="C947" s="881"/>
      <c r="D947" s="881"/>
      <c r="E947" s="881"/>
      <c r="F947" s="513" t="s">
        <v>6116</v>
      </c>
      <c r="G947" s="513">
        <v>104002</v>
      </c>
      <c r="H947" s="81"/>
      <c r="I947" s="50">
        <v>250</v>
      </c>
      <c r="J947" s="51">
        <v>9534.7999999999993</v>
      </c>
      <c r="K947" s="883"/>
      <c r="L947" s="885"/>
    </row>
    <row r="948" spans="1:12" x14ac:dyDescent="0.3">
      <c r="A948" s="875"/>
      <c r="B948" s="881"/>
      <c r="C948" s="881"/>
      <c r="D948" s="881"/>
      <c r="E948" s="881"/>
      <c r="F948" s="513" t="s">
        <v>6116</v>
      </c>
      <c r="G948" s="513">
        <v>104002</v>
      </c>
      <c r="H948" s="81"/>
      <c r="I948" s="50">
        <v>500</v>
      </c>
      <c r="J948" s="51">
        <v>19156.099999999999</v>
      </c>
      <c r="K948" s="883"/>
      <c r="L948" s="885"/>
    </row>
    <row r="949" spans="1:12" ht="15" thickBot="1" x14ac:dyDescent="0.35">
      <c r="A949" s="872"/>
      <c r="B949" s="874"/>
      <c r="C949" s="874"/>
      <c r="D949" s="874"/>
      <c r="E949" s="874"/>
      <c r="F949" s="511" t="s">
        <v>6116</v>
      </c>
      <c r="G949" s="511">
        <v>104002</v>
      </c>
      <c r="H949" s="82"/>
      <c r="I949" s="517">
        <v>250</v>
      </c>
      <c r="J949" s="44">
        <v>9630.6</v>
      </c>
      <c r="K949" s="884"/>
      <c r="L949" s="880"/>
    </row>
    <row r="950" spans="1:12" x14ac:dyDescent="0.3">
      <c r="A950" s="875">
        <v>440</v>
      </c>
      <c r="B950" s="881">
        <v>17931.3</v>
      </c>
      <c r="C950" s="881" t="s">
        <v>6117</v>
      </c>
      <c r="D950" s="881">
        <f>+I950+I951</f>
        <v>440</v>
      </c>
      <c r="E950" s="881">
        <f>+J950+J951</f>
        <v>16829.599999999999</v>
      </c>
      <c r="F950" s="513" t="s">
        <v>6118</v>
      </c>
      <c r="G950" s="513">
        <v>104011</v>
      </c>
      <c r="H950" s="81"/>
      <c r="I950" s="50">
        <v>400</v>
      </c>
      <c r="J950" s="51">
        <v>15294.099999999999</v>
      </c>
      <c r="K950" s="882">
        <f t="shared" ref="K950" si="652">+A950-D950</f>
        <v>0</v>
      </c>
      <c r="L950" s="879">
        <f t="shared" ref="L950" si="653">((+B950/A950)-(E950/D950))/(B950/A950)</f>
        <v>6.14400517530799E-2</v>
      </c>
    </row>
    <row r="951" spans="1:12" ht="15" thickBot="1" x14ac:dyDescent="0.35">
      <c r="A951" s="872"/>
      <c r="B951" s="874"/>
      <c r="C951" s="874"/>
      <c r="D951" s="874"/>
      <c r="E951" s="874"/>
      <c r="F951" s="511" t="s">
        <v>6118</v>
      </c>
      <c r="G951" s="511">
        <v>104011</v>
      </c>
      <c r="H951" s="82"/>
      <c r="I951" s="517">
        <v>40</v>
      </c>
      <c r="J951" s="44">
        <v>1535.5</v>
      </c>
      <c r="K951" s="884"/>
      <c r="L951" s="880"/>
    </row>
    <row r="952" spans="1:12" ht="15" thickBot="1" x14ac:dyDescent="0.35">
      <c r="A952" s="175">
        <v>500</v>
      </c>
      <c r="B952" s="8">
        <v>19337.900000000001</v>
      </c>
      <c r="C952" s="8" t="s">
        <v>6119</v>
      </c>
      <c r="D952" s="8">
        <f>+I952+120</f>
        <v>500</v>
      </c>
      <c r="E952" s="8">
        <f>+J952+4470</f>
        <v>18707.5</v>
      </c>
      <c r="F952" s="8" t="s">
        <v>6120</v>
      </c>
      <c r="G952" s="8">
        <v>104021</v>
      </c>
      <c r="H952" s="80"/>
      <c r="I952" s="45">
        <v>380</v>
      </c>
      <c r="J952" s="46">
        <v>14237.5</v>
      </c>
      <c r="K952" s="507">
        <f t="shared" ref="K952:K953" si="654">+A952-D952</f>
        <v>0</v>
      </c>
      <c r="L952" s="518">
        <f t="shared" ref="L952:L953" si="655">((+B952/A952)-(E952/D952))/(B952/A952)</f>
        <v>3.259919639671327E-2</v>
      </c>
    </row>
    <row r="953" spans="1:12" x14ac:dyDescent="0.3">
      <c r="A953" s="871">
        <v>1883</v>
      </c>
      <c r="B953" s="873">
        <v>65840.75</v>
      </c>
      <c r="C953" s="873" t="s">
        <v>6121</v>
      </c>
      <c r="D953" s="873">
        <f>+I953+I954+I955</f>
        <v>1883</v>
      </c>
      <c r="E953" s="873">
        <f>+J953+J954+J955</f>
        <v>64194.899999999994</v>
      </c>
      <c r="F953" s="510" t="s">
        <v>6122</v>
      </c>
      <c r="G953" s="510">
        <v>104041</v>
      </c>
      <c r="H953" s="38"/>
      <c r="I953" s="516">
        <v>384</v>
      </c>
      <c r="J953" s="41">
        <v>12893.8</v>
      </c>
      <c r="K953" s="882">
        <f t="shared" si="654"/>
        <v>0</v>
      </c>
      <c r="L953" s="879">
        <f t="shared" si="655"/>
        <v>2.4997436997604115E-2</v>
      </c>
    </row>
    <row r="954" spans="1:12" x14ac:dyDescent="0.3">
      <c r="A954" s="875"/>
      <c r="B954" s="881"/>
      <c r="C954" s="881"/>
      <c r="D954" s="881"/>
      <c r="E954" s="881"/>
      <c r="F954" s="513" t="s">
        <v>6122</v>
      </c>
      <c r="G954" s="513">
        <v>104041</v>
      </c>
      <c r="H954" s="81"/>
      <c r="I954" s="50">
        <v>665</v>
      </c>
      <c r="J954" s="51">
        <v>22497.899999999998</v>
      </c>
      <c r="K954" s="883"/>
      <c r="L954" s="885"/>
    </row>
    <row r="955" spans="1:12" ht="15" thickBot="1" x14ac:dyDescent="0.35">
      <c r="A955" s="872"/>
      <c r="B955" s="874"/>
      <c r="C955" s="874"/>
      <c r="D955" s="874"/>
      <c r="E955" s="874"/>
      <c r="F955" s="511" t="s">
        <v>6122</v>
      </c>
      <c r="G955" s="511">
        <v>104041</v>
      </c>
      <c r="H955" s="82"/>
      <c r="I955" s="517">
        <v>834</v>
      </c>
      <c r="J955" s="44">
        <v>28803.200000000001</v>
      </c>
      <c r="K955" s="884"/>
      <c r="L955" s="880"/>
    </row>
    <row r="956" spans="1:12" x14ac:dyDescent="0.3">
      <c r="A956" s="871">
        <v>440</v>
      </c>
      <c r="B956" s="873">
        <v>18915.25</v>
      </c>
      <c r="C956" s="873" t="s">
        <v>6124</v>
      </c>
      <c r="D956" s="873">
        <f>+I956+I957</f>
        <v>437</v>
      </c>
      <c r="E956" s="873">
        <f>+J956+J957</f>
        <v>18255.199999999997</v>
      </c>
      <c r="F956" s="516" t="s">
        <v>6125</v>
      </c>
      <c r="G956" s="516">
        <v>104101</v>
      </c>
      <c r="H956" s="40"/>
      <c r="I956" s="516">
        <v>217</v>
      </c>
      <c r="J956" s="41">
        <v>9238.6999999999989</v>
      </c>
      <c r="K956" s="882">
        <f t="shared" ref="K956" si="656">+A956-D956</f>
        <v>3</v>
      </c>
      <c r="L956" s="879">
        <f t="shared" ref="L956" si="657">((+B956/A956)-(E956/D956))/(B956/A956)</f>
        <v>2.8269690375203611E-2</v>
      </c>
    </row>
    <row r="957" spans="1:12" ht="15" thickBot="1" x14ac:dyDescent="0.35">
      <c r="A957" s="872"/>
      <c r="B957" s="874"/>
      <c r="C957" s="874"/>
      <c r="D957" s="874"/>
      <c r="E957" s="874"/>
      <c r="F957" s="517" t="s">
        <v>6125</v>
      </c>
      <c r="G957" s="517">
        <v>104101</v>
      </c>
      <c r="H957" s="519"/>
      <c r="I957" s="517">
        <v>220</v>
      </c>
      <c r="J957" s="44">
        <v>9016.5</v>
      </c>
      <c r="K957" s="884"/>
      <c r="L957" s="880"/>
    </row>
    <row r="958" spans="1:12" ht="15" thickBot="1" x14ac:dyDescent="0.35">
      <c r="A958" s="178">
        <v>440</v>
      </c>
      <c r="B958" s="45">
        <v>17866.2</v>
      </c>
      <c r="C958" s="45" t="s">
        <v>6126</v>
      </c>
      <c r="D958" s="45">
        <f>+I958</f>
        <v>439</v>
      </c>
      <c r="E958" s="45">
        <f>+J958</f>
        <v>16930</v>
      </c>
      <c r="F958" s="45" t="s">
        <v>6127</v>
      </c>
      <c r="G958" s="45">
        <v>104111</v>
      </c>
      <c r="H958" s="14"/>
      <c r="I958" s="45">
        <v>439</v>
      </c>
      <c r="J958" s="46">
        <v>16930</v>
      </c>
      <c r="K958" s="507">
        <f t="shared" ref="K958:K959" si="658">+A958-D958</f>
        <v>1</v>
      </c>
      <c r="L958" s="518">
        <f t="shared" ref="L958:L959" si="659">((+B958/A958)-(E958/D958))/(B958/A958)</f>
        <v>5.0242081680864033E-2</v>
      </c>
    </row>
    <row r="959" spans="1:12" ht="15" thickBot="1" x14ac:dyDescent="0.35">
      <c r="A959" s="178">
        <v>1030</v>
      </c>
      <c r="B959" s="45">
        <v>36951.5</v>
      </c>
      <c r="C959" s="45" t="s">
        <v>6128</v>
      </c>
      <c r="D959" s="45">
        <f>+I959+630</f>
        <v>1030</v>
      </c>
      <c r="E959" s="45">
        <f>+J959+22121.9</f>
        <v>35811.599999999999</v>
      </c>
      <c r="F959" s="45" t="s">
        <v>6129</v>
      </c>
      <c r="G959" s="45">
        <v>104121</v>
      </c>
      <c r="H959" s="14"/>
      <c r="I959" s="45">
        <v>400</v>
      </c>
      <c r="J959" s="46">
        <v>13689.699999999999</v>
      </c>
      <c r="K959" s="507">
        <f t="shared" si="658"/>
        <v>0</v>
      </c>
      <c r="L959" s="518">
        <f t="shared" si="659"/>
        <v>3.0848544714016966E-2</v>
      </c>
    </row>
    <row r="960" spans="1:12" ht="15" thickBot="1" x14ac:dyDescent="0.35">
      <c r="A960" s="563">
        <v>810</v>
      </c>
      <c r="B960" s="564">
        <v>28922.799999999999</v>
      </c>
      <c r="C960" s="564" t="s">
        <v>6257</v>
      </c>
      <c r="D960" s="534">
        <f t="shared" ref="D960:E960" si="660">+I960</f>
        <v>811</v>
      </c>
      <c r="E960" s="534">
        <f t="shared" si="660"/>
        <v>28240.499999999996</v>
      </c>
      <c r="F960" s="534" t="s">
        <v>6258</v>
      </c>
      <c r="G960" s="534">
        <v>104131</v>
      </c>
      <c r="H960" s="40"/>
      <c r="I960" s="536">
        <v>811</v>
      </c>
      <c r="J960" s="565">
        <v>28240.499999999996</v>
      </c>
      <c r="K960" s="522">
        <f t="shared" ref="K960:K961" si="661">+A960-D960</f>
        <v>-1</v>
      </c>
      <c r="L960" s="533">
        <f t="shared" ref="L960:L961" si="662">((+B960/A960)-(E960/D960))/(B960/A960)</f>
        <v>2.4794343041044616E-2</v>
      </c>
    </row>
    <row r="961" spans="1:12" x14ac:dyDescent="0.3">
      <c r="A961" s="960">
        <v>880</v>
      </c>
      <c r="B961" s="962">
        <v>35375.699999999997</v>
      </c>
      <c r="C961" s="962" t="s">
        <v>6259</v>
      </c>
      <c r="D961" s="873">
        <f>+I961+I962</f>
        <v>880</v>
      </c>
      <c r="E961" s="873">
        <f>+J961+J962</f>
        <v>33418.699999999997</v>
      </c>
      <c r="F961" s="534" t="s">
        <v>6260</v>
      </c>
      <c r="G961" s="534">
        <v>104261</v>
      </c>
      <c r="H961" s="40"/>
      <c r="I961" s="536">
        <v>400</v>
      </c>
      <c r="J961" s="565">
        <v>15294.2</v>
      </c>
      <c r="K961" s="882">
        <f t="shared" si="661"/>
        <v>0</v>
      </c>
      <c r="L961" s="879">
        <f t="shared" si="662"/>
        <v>5.5320460089835745E-2</v>
      </c>
    </row>
    <row r="962" spans="1:12" ht="15" thickBot="1" x14ac:dyDescent="0.35">
      <c r="A962" s="961"/>
      <c r="B962" s="963"/>
      <c r="C962" s="963"/>
      <c r="D962" s="874"/>
      <c r="E962" s="874"/>
      <c r="F962" s="535" t="s">
        <v>6260</v>
      </c>
      <c r="G962" s="535">
        <v>104261</v>
      </c>
      <c r="H962" s="539"/>
      <c r="I962" s="537">
        <v>480</v>
      </c>
      <c r="J962" s="566">
        <v>18124.5</v>
      </c>
      <c r="K962" s="884"/>
      <c r="L962" s="880"/>
    </row>
    <row r="963" spans="1:12" ht="15" thickBot="1" x14ac:dyDescent="0.35">
      <c r="A963" s="567">
        <v>880</v>
      </c>
      <c r="B963" s="568">
        <v>36375.300000000003</v>
      </c>
      <c r="C963" s="568" t="s">
        <v>6261</v>
      </c>
      <c r="D963" s="45">
        <f t="shared" ref="D963:E964" si="663">+I963</f>
        <v>879</v>
      </c>
      <c r="E963" s="45">
        <f t="shared" si="663"/>
        <v>34681.300000000003</v>
      </c>
      <c r="F963" s="45" t="s">
        <v>6262</v>
      </c>
      <c r="G963" s="45">
        <v>104281</v>
      </c>
      <c r="H963" s="14"/>
      <c r="I963" s="198">
        <v>879</v>
      </c>
      <c r="J963" s="569">
        <v>34681.300000000003</v>
      </c>
      <c r="K963" s="54">
        <f t="shared" ref="K963" si="664">+A963-D963</f>
        <v>1</v>
      </c>
      <c r="L963" s="31">
        <f t="shared" ref="L963" si="665">((+B963/A963)-(E963/D963))/(B963/A963)</f>
        <v>4.5485386955762971E-2</v>
      </c>
    </row>
    <row r="964" spans="1:12" ht="15" thickBot="1" x14ac:dyDescent="0.35">
      <c r="A964" s="567">
        <v>1100</v>
      </c>
      <c r="B964" s="568">
        <v>45499</v>
      </c>
      <c r="C964" s="568" t="s">
        <v>6263</v>
      </c>
      <c r="D964" s="45">
        <f t="shared" si="663"/>
        <v>1100</v>
      </c>
      <c r="E964" s="45">
        <f t="shared" si="663"/>
        <v>43401.7</v>
      </c>
      <c r="F964" s="45" t="s">
        <v>6264</v>
      </c>
      <c r="G964" s="45">
        <v>104321</v>
      </c>
      <c r="H964" s="14"/>
      <c r="I964" s="198">
        <v>1100</v>
      </c>
      <c r="J964" s="569">
        <v>43401.7</v>
      </c>
      <c r="K964" s="54">
        <f t="shared" ref="K964:K965" si="666">+A964-D964</f>
        <v>0</v>
      </c>
      <c r="L964" s="31">
        <f t="shared" ref="L964:L965" si="667">((+B964/A964)-(E964/D964))/(B964/A964)</f>
        <v>4.609551858282606E-2</v>
      </c>
    </row>
    <row r="965" spans="1:12" x14ac:dyDescent="0.3">
      <c r="A965" s="871">
        <v>4510</v>
      </c>
      <c r="B965" s="873">
        <v>171011</v>
      </c>
      <c r="C965" s="873" t="s">
        <v>6265</v>
      </c>
      <c r="D965" s="873">
        <f>+I965+I967+I968+I969+I970+I966</f>
        <v>4500</v>
      </c>
      <c r="E965" s="873">
        <f>+J965+J967+J968+J969+J970+J966</f>
        <v>165836.4</v>
      </c>
      <c r="F965" s="534" t="s">
        <v>6266</v>
      </c>
      <c r="G965" s="534">
        <v>104351</v>
      </c>
      <c r="H965" s="40"/>
      <c r="I965" s="536">
        <v>1428</v>
      </c>
      <c r="J965" s="565">
        <v>53006.999999999993</v>
      </c>
      <c r="K965" s="882">
        <f t="shared" si="666"/>
        <v>10</v>
      </c>
      <c r="L965" s="879">
        <f t="shared" si="667"/>
        <v>2.8103891952369616E-2</v>
      </c>
    </row>
    <row r="966" spans="1:12" x14ac:dyDescent="0.3">
      <c r="A966" s="875"/>
      <c r="B966" s="881"/>
      <c r="C966" s="881"/>
      <c r="D966" s="881"/>
      <c r="E966" s="881"/>
      <c r="F966" s="50" t="s">
        <v>6266</v>
      </c>
      <c r="G966" s="50">
        <v>104352</v>
      </c>
      <c r="I966" s="538">
        <v>1200</v>
      </c>
      <c r="J966" s="570">
        <v>45647.600000000006</v>
      </c>
      <c r="K966" s="883"/>
      <c r="L966" s="885"/>
    </row>
    <row r="967" spans="1:12" x14ac:dyDescent="0.3">
      <c r="A967" s="875"/>
      <c r="B967" s="881"/>
      <c r="C967" s="881"/>
      <c r="D967" s="881"/>
      <c r="E967" s="881"/>
      <c r="F967" s="50" t="s">
        <v>6266</v>
      </c>
      <c r="G967" s="50">
        <v>104351</v>
      </c>
      <c r="I967" s="538">
        <v>72</v>
      </c>
      <c r="J967" s="570">
        <v>2779.9</v>
      </c>
      <c r="K967" s="883"/>
      <c r="L967" s="885"/>
    </row>
    <row r="968" spans="1:12" x14ac:dyDescent="0.3">
      <c r="A968" s="875"/>
      <c r="B968" s="881"/>
      <c r="C968" s="881"/>
      <c r="D968" s="881"/>
      <c r="E968" s="881"/>
      <c r="F968" s="50" t="s">
        <v>6266</v>
      </c>
      <c r="G968" s="50">
        <v>104352</v>
      </c>
      <c r="I968" s="538">
        <v>300</v>
      </c>
      <c r="J968" s="570">
        <v>11299.4</v>
      </c>
      <c r="K968" s="883"/>
      <c r="L968" s="885"/>
    </row>
    <row r="969" spans="1:12" x14ac:dyDescent="0.3">
      <c r="A969" s="875"/>
      <c r="B969" s="881"/>
      <c r="C969" s="881"/>
      <c r="D969" s="881"/>
      <c r="E969" s="881"/>
      <c r="F969" s="50" t="s">
        <v>6266</v>
      </c>
      <c r="G969" s="50">
        <v>104353</v>
      </c>
      <c r="I969" s="538">
        <v>500</v>
      </c>
      <c r="J969" s="570">
        <v>19426.900000000001</v>
      </c>
      <c r="K969" s="883"/>
      <c r="L969" s="885"/>
    </row>
    <row r="970" spans="1:12" ht="15" thickBot="1" x14ac:dyDescent="0.35">
      <c r="A970" s="872"/>
      <c r="B970" s="874"/>
      <c r="C970" s="874"/>
      <c r="D970" s="874"/>
      <c r="E970" s="874"/>
      <c r="F970" s="535" t="s">
        <v>6266</v>
      </c>
      <c r="G970" s="535">
        <v>104354</v>
      </c>
      <c r="H970" s="539"/>
      <c r="I970" s="537">
        <v>1000</v>
      </c>
      <c r="J970" s="566">
        <v>33675.599999999999</v>
      </c>
      <c r="K970" s="884"/>
      <c r="L970" s="880"/>
    </row>
    <row r="971" spans="1:12" ht="15" thickBot="1" x14ac:dyDescent="0.35">
      <c r="A971" s="212">
        <v>322</v>
      </c>
      <c r="B971" s="50">
        <v>12851.9</v>
      </c>
      <c r="C971" s="50" t="s">
        <v>6267</v>
      </c>
      <c r="D971" s="50">
        <f t="shared" ref="D971:E975" si="668">+I971</f>
        <v>322</v>
      </c>
      <c r="E971" s="50">
        <f t="shared" si="668"/>
        <v>12497.7</v>
      </c>
      <c r="F971" s="50" t="s">
        <v>6268</v>
      </c>
      <c r="G971" s="50">
        <v>104361</v>
      </c>
      <c r="I971" s="538">
        <v>322</v>
      </c>
      <c r="J971" s="570">
        <v>12497.7</v>
      </c>
      <c r="K971" s="54">
        <f t="shared" ref="K971:K972" si="669">+A971-D971</f>
        <v>0</v>
      </c>
      <c r="L971" s="31">
        <f t="shared" ref="L971:L972" si="670">((+B971/A971)-(E971/D971))/(B971/A971)</f>
        <v>2.7560127296352925E-2</v>
      </c>
    </row>
    <row r="972" spans="1:12" x14ac:dyDescent="0.3">
      <c r="A972" s="871">
        <v>751</v>
      </c>
      <c r="B972" s="873">
        <v>28630.7</v>
      </c>
      <c r="C972" s="873" t="s">
        <v>6269</v>
      </c>
      <c r="D972" s="873">
        <f>+I972+I973</f>
        <v>672</v>
      </c>
      <c r="E972" s="873">
        <f>+J972+J973</f>
        <v>25022.600000000002</v>
      </c>
      <c r="F972" s="534" t="s">
        <v>6270</v>
      </c>
      <c r="G972" s="534">
        <v>104371</v>
      </c>
      <c r="H972" s="40"/>
      <c r="I972" s="536">
        <v>372</v>
      </c>
      <c r="J972" s="565">
        <v>14029.2</v>
      </c>
      <c r="K972" s="882">
        <f t="shared" si="669"/>
        <v>79</v>
      </c>
      <c r="L972" s="879">
        <f t="shared" si="670"/>
        <v>2.3277637624082061E-2</v>
      </c>
    </row>
    <row r="973" spans="1:12" ht="15" thickBot="1" x14ac:dyDescent="0.35">
      <c r="A973" s="872"/>
      <c r="B973" s="874"/>
      <c r="C973" s="874"/>
      <c r="D973" s="874"/>
      <c r="E973" s="874"/>
      <c r="F973" s="535" t="s">
        <v>6270</v>
      </c>
      <c r="G973" s="535">
        <v>104371</v>
      </c>
      <c r="H973" s="539"/>
      <c r="I973" s="537">
        <v>300</v>
      </c>
      <c r="J973" s="566">
        <v>10993.400000000001</v>
      </c>
      <c r="K973" s="884"/>
      <c r="L973" s="880"/>
    </row>
    <row r="974" spans="1:12" ht="15" thickBot="1" x14ac:dyDescent="0.35">
      <c r="A974" s="531">
        <v>260</v>
      </c>
      <c r="B974" s="535">
        <v>8674.7000000000007</v>
      </c>
      <c r="C974" s="535" t="s">
        <v>6271</v>
      </c>
      <c r="D974" s="535">
        <f t="shared" si="668"/>
        <v>260</v>
      </c>
      <c r="E974" s="535">
        <f t="shared" si="668"/>
        <v>8558.2999999999993</v>
      </c>
      <c r="F974" s="535" t="s">
        <v>6272</v>
      </c>
      <c r="G974" s="535">
        <v>104421</v>
      </c>
      <c r="H974" s="539"/>
      <c r="I974" s="537">
        <v>260</v>
      </c>
      <c r="J974" s="566">
        <v>8558.2999999999993</v>
      </c>
      <c r="K974" s="54">
        <f t="shared" ref="K974:K976" si="671">+A974-D974</f>
        <v>0</v>
      </c>
      <c r="L974" s="31">
        <f t="shared" ref="L974:L976" si="672">((+B974/A974)-(E974/D974))/(B974/A974)</f>
        <v>1.3418331469676381E-2</v>
      </c>
    </row>
    <row r="975" spans="1:12" ht="15" thickBot="1" x14ac:dyDescent="0.35">
      <c r="A975" s="530">
        <v>440</v>
      </c>
      <c r="B975" s="534">
        <v>18564.8</v>
      </c>
      <c r="C975" s="534" t="s">
        <v>6273</v>
      </c>
      <c r="D975" s="534">
        <f t="shared" si="668"/>
        <v>439</v>
      </c>
      <c r="E975" s="534">
        <f t="shared" si="668"/>
        <v>17879</v>
      </c>
      <c r="F975" s="534" t="s">
        <v>6274</v>
      </c>
      <c r="G975" s="534">
        <v>104431</v>
      </c>
      <c r="H975" s="40"/>
      <c r="I975" s="536">
        <v>439</v>
      </c>
      <c r="J975" s="565">
        <v>17879</v>
      </c>
      <c r="K975" s="54">
        <f t="shared" si="671"/>
        <v>1</v>
      </c>
      <c r="L975" s="31">
        <f t="shared" si="672"/>
        <v>3.4747120815702859E-2</v>
      </c>
    </row>
    <row r="976" spans="1:12" x14ac:dyDescent="0.3">
      <c r="A976" s="871">
        <v>1623</v>
      </c>
      <c r="B976" s="873">
        <v>59306.8</v>
      </c>
      <c r="C976" s="873" t="s">
        <v>6275</v>
      </c>
      <c r="D976" s="873">
        <f>+I976+I977</f>
        <v>1615</v>
      </c>
      <c r="E976" s="873">
        <f>+J976+J977</f>
        <v>56733.5</v>
      </c>
      <c r="F976" s="534" t="s">
        <v>6276</v>
      </c>
      <c r="G976" s="534">
        <v>104461</v>
      </c>
      <c r="H976" s="40"/>
      <c r="I976" s="536">
        <v>815</v>
      </c>
      <c r="J976" s="565">
        <v>29368.1</v>
      </c>
      <c r="K976" s="882">
        <f t="shared" si="671"/>
        <v>8</v>
      </c>
      <c r="L976" s="879">
        <f t="shared" si="672"/>
        <v>3.8651000941924592E-2</v>
      </c>
    </row>
    <row r="977" spans="1:12" ht="15" thickBot="1" x14ac:dyDescent="0.35">
      <c r="A977" s="872"/>
      <c r="B977" s="874"/>
      <c r="C977" s="874"/>
      <c r="D977" s="874"/>
      <c r="E977" s="874"/>
      <c r="F977" s="535" t="s">
        <v>6276</v>
      </c>
      <c r="G977" s="535">
        <v>104461</v>
      </c>
      <c r="H977" s="539"/>
      <c r="I977" s="537">
        <v>800</v>
      </c>
      <c r="J977" s="566">
        <v>27365.4</v>
      </c>
      <c r="K977" s="884"/>
      <c r="L977" s="880"/>
    </row>
    <row r="978" spans="1:12" ht="15" thickBot="1" x14ac:dyDescent="0.35">
      <c r="A978" s="531">
        <v>1121</v>
      </c>
      <c r="B978" s="535">
        <v>39614.75</v>
      </c>
      <c r="C978" s="525" t="s">
        <v>6277</v>
      </c>
      <c r="D978" s="525">
        <f t="shared" ref="D978:E978" si="673">+I978</f>
        <v>1121</v>
      </c>
      <c r="E978" s="525">
        <f t="shared" si="673"/>
        <v>38368.1</v>
      </c>
      <c r="F978" s="525" t="s">
        <v>6278</v>
      </c>
      <c r="G978" s="525">
        <v>104471</v>
      </c>
      <c r="H978" s="82"/>
      <c r="I978" s="537">
        <v>1121</v>
      </c>
      <c r="J978" s="566">
        <v>38368.1</v>
      </c>
      <c r="K978" s="54">
        <f t="shared" ref="K978:K979" si="674">+A978-D978</f>
        <v>0</v>
      </c>
      <c r="L978" s="31">
        <f t="shared" ref="L978:L979" si="675">((+B978/A978)-(E978/D978))/(B978/A978)</f>
        <v>3.1469339071936615E-2</v>
      </c>
    </row>
    <row r="979" spans="1:12" ht="15" thickBot="1" x14ac:dyDescent="0.35">
      <c r="A979" s="531">
        <v>1500</v>
      </c>
      <c r="B979" s="535">
        <v>55892.2</v>
      </c>
      <c r="C979" s="525" t="s">
        <v>6279</v>
      </c>
      <c r="D979" s="8">
        <v>1500</v>
      </c>
      <c r="E979" s="8">
        <v>52400.7</v>
      </c>
      <c r="F979" s="525" t="s">
        <v>6280</v>
      </c>
      <c r="G979" s="525">
        <v>104571</v>
      </c>
      <c r="H979" s="82"/>
      <c r="I979" s="537">
        <v>623</v>
      </c>
      <c r="J979" s="566">
        <v>22768.5</v>
      </c>
      <c r="K979" s="54">
        <f t="shared" si="674"/>
        <v>0</v>
      </c>
      <c r="L979" s="31">
        <f t="shared" si="675"/>
        <v>6.246846608292389E-2</v>
      </c>
    </row>
    <row r="980" spans="1:12" ht="15" thickBot="1" x14ac:dyDescent="0.35">
      <c r="A980" s="595">
        <v>837</v>
      </c>
      <c r="B980" s="599">
        <v>29953.5</v>
      </c>
      <c r="C980" s="594" t="s">
        <v>6326</v>
      </c>
      <c r="D980" s="594">
        <f>+I980</f>
        <v>837</v>
      </c>
      <c r="E980" s="594">
        <f>+J980</f>
        <v>29136.2</v>
      </c>
      <c r="F980" s="594" t="s">
        <v>6327</v>
      </c>
      <c r="G980" s="594">
        <v>104611</v>
      </c>
      <c r="H980" s="82"/>
      <c r="I980" s="589">
        <v>837</v>
      </c>
      <c r="J980" s="589">
        <v>29136.2</v>
      </c>
      <c r="K980" s="54">
        <f t="shared" ref="K980:K981" si="676">+A980-D980</f>
        <v>0</v>
      </c>
      <c r="L980" s="31">
        <f t="shared" ref="L980:L981" si="677">((+B980/A980)-(E980/D980))/(B980/A980)</f>
        <v>2.7285626053716445E-2</v>
      </c>
    </row>
    <row r="981" spans="1:12" x14ac:dyDescent="0.3">
      <c r="A981" s="875">
        <v>1500</v>
      </c>
      <c r="B981" s="881">
        <v>58904.800000000003</v>
      </c>
      <c r="C981" s="881" t="s">
        <v>6328</v>
      </c>
      <c r="D981" s="881">
        <f>+I981+I982</f>
        <v>1500</v>
      </c>
      <c r="E981" s="881">
        <f>+J981+J982</f>
        <v>56421.799999999996</v>
      </c>
      <c r="F981" s="593" t="s">
        <v>6329</v>
      </c>
      <c r="G981" s="593">
        <v>104621</v>
      </c>
      <c r="H981" s="81"/>
      <c r="I981" s="588">
        <v>1400</v>
      </c>
      <c r="J981" s="588">
        <v>52572.2</v>
      </c>
      <c r="K981" s="882">
        <f t="shared" si="676"/>
        <v>0</v>
      </c>
      <c r="L981" s="879">
        <f t="shared" si="677"/>
        <v>4.2152761744374101E-2</v>
      </c>
    </row>
    <row r="982" spans="1:12" ht="15" thickBot="1" x14ac:dyDescent="0.35">
      <c r="A982" s="872"/>
      <c r="B982" s="874"/>
      <c r="C982" s="874"/>
      <c r="D982" s="874"/>
      <c r="E982" s="874"/>
      <c r="F982" s="594" t="s">
        <v>6329</v>
      </c>
      <c r="G982" s="594">
        <v>104621</v>
      </c>
      <c r="H982" s="82"/>
      <c r="I982" s="589">
        <v>100</v>
      </c>
      <c r="J982" s="589">
        <v>3849.6</v>
      </c>
      <c r="K982" s="884"/>
      <c r="L982" s="880"/>
    </row>
    <row r="983" spans="1:12" ht="15" thickBot="1" x14ac:dyDescent="0.35">
      <c r="A983" s="595">
        <v>231</v>
      </c>
      <c r="B983" s="599">
        <v>9353</v>
      </c>
      <c r="C983" s="599" t="s">
        <v>6330</v>
      </c>
      <c r="D983" s="599">
        <f>+I983</f>
        <v>229</v>
      </c>
      <c r="E983" s="599">
        <f>+J983</f>
        <v>8356.9</v>
      </c>
      <c r="F983" s="599" t="s">
        <v>6331</v>
      </c>
      <c r="G983" s="599">
        <v>104701</v>
      </c>
      <c r="H983" s="600"/>
      <c r="I983" s="561">
        <v>229</v>
      </c>
      <c r="J983" s="561">
        <v>8356.9</v>
      </c>
      <c r="K983" s="54">
        <f t="shared" ref="K983:K984" si="678">+A983-D983</f>
        <v>2</v>
      </c>
      <c r="L983" s="31">
        <f t="shared" ref="L983:L984" si="679">((+B983/A983)-(E983/D983))/(B983/A983)</f>
        <v>9.8697099732612731E-2</v>
      </c>
    </row>
    <row r="984" spans="1:12" x14ac:dyDescent="0.3">
      <c r="A984" s="875">
        <v>1734</v>
      </c>
      <c r="B984" s="881">
        <v>66965.5</v>
      </c>
      <c r="C984" s="881" t="s">
        <v>6332</v>
      </c>
      <c r="D984" s="881">
        <f>+I984+I985+I986+I987</f>
        <v>1734</v>
      </c>
      <c r="E984" s="881">
        <f>+J984+J985+J986+J987</f>
        <v>64417.599999999999</v>
      </c>
      <c r="F984" s="50" t="s">
        <v>6333</v>
      </c>
      <c r="G984" s="50">
        <v>104721</v>
      </c>
      <c r="I984" s="557">
        <v>21</v>
      </c>
      <c r="J984" s="557">
        <v>705.3</v>
      </c>
      <c r="K984" s="877">
        <f t="shared" si="678"/>
        <v>0</v>
      </c>
      <c r="L984" s="879">
        <f t="shared" si="679"/>
        <v>3.8047950063838945E-2</v>
      </c>
    </row>
    <row r="985" spans="1:12" x14ac:dyDescent="0.3">
      <c r="A985" s="875"/>
      <c r="B985" s="881"/>
      <c r="C985" s="881"/>
      <c r="D985" s="881"/>
      <c r="E985" s="881"/>
      <c r="F985" s="50" t="s">
        <v>6333</v>
      </c>
      <c r="G985" s="50">
        <v>104721</v>
      </c>
      <c r="I985" s="557">
        <v>617</v>
      </c>
      <c r="J985" s="557">
        <v>23593.300000000003</v>
      </c>
      <c r="K985" s="886"/>
      <c r="L985" s="885"/>
    </row>
    <row r="986" spans="1:12" x14ac:dyDescent="0.3">
      <c r="A986" s="875"/>
      <c r="B986" s="881"/>
      <c r="C986" s="881"/>
      <c r="D986" s="881"/>
      <c r="E986" s="881"/>
      <c r="F986" s="50" t="s">
        <v>6333</v>
      </c>
      <c r="G986" s="50">
        <v>104721</v>
      </c>
      <c r="I986" s="557">
        <v>220</v>
      </c>
      <c r="J986" s="557">
        <v>8351.9</v>
      </c>
      <c r="K986" s="886"/>
      <c r="L986" s="885"/>
    </row>
    <row r="987" spans="1:12" ht="15" thickBot="1" x14ac:dyDescent="0.35">
      <c r="A987" s="872"/>
      <c r="B987" s="874"/>
      <c r="C987" s="874"/>
      <c r="D987" s="874"/>
      <c r="E987" s="874"/>
      <c r="F987" s="599" t="s">
        <v>6333</v>
      </c>
      <c r="G987" s="599">
        <v>104721</v>
      </c>
      <c r="H987" s="600"/>
      <c r="I987" s="561">
        <v>876</v>
      </c>
      <c r="J987" s="561">
        <v>31767.1</v>
      </c>
      <c r="K987" s="878"/>
      <c r="L987" s="880"/>
    </row>
    <row r="988" spans="1:12" ht="15" thickBot="1" x14ac:dyDescent="0.35">
      <c r="A988" s="595">
        <v>728</v>
      </c>
      <c r="B988" s="599">
        <v>28030.6</v>
      </c>
      <c r="C988" s="599" t="s">
        <v>6334</v>
      </c>
      <c r="D988" s="599">
        <f>+I988</f>
        <v>728</v>
      </c>
      <c r="E988" s="599">
        <f>+J988</f>
        <v>27030.5</v>
      </c>
      <c r="F988" s="599" t="s">
        <v>6335</v>
      </c>
      <c r="G988" s="599">
        <v>10476</v>
      </c>
      <c r="H988" s="600"/>
      <c r="I988" s="561">
        <v>728</v>
      </c>
      <c r="J988" s="561">
        <v>27030.5</v>
      </c>
      <c r="K988" s="54">
        <f t="shared" ref="K988:K990" si="680">+A988-D988</f>
        <v>0</v>
      </c>
      <c r="L988" s="31">
        <f t="shared" ref="L988:L990" si="681">((+B988/A988)-(E988/D988))/(B988/A988)</f>
        <v>3.5678865240130343E-2</v>
      </c>
    </row>
    <row r="989" spans="1:12" ht="15" thickBot="1" x14ac:dyDescent="0.35">
      <c r="A989" s="212">
        <v>554</v>
      </c>
      <c r="B989" s="50">
        <v>21693.1</v>
      </c>
      <c r="C989" s="50" t="s">
        <v>6336</v>
      </c>
      <c r="D989" s="50">
        <f t="shared" ref="D989:E989" si="682">+I989</f>
        <v>554</v>
      </c>
      <c r="E989" s="50">
        <f t="shared" si="682"/>
        <v>20799.8</v>
      </c>
      <c r="F989" s="50" t="s">
        <v>6337</v>
      </c>
      <c r="G989" s="50" t="s">
        <v>6337</v>
      </c>
      <c r="I989" s="557">
        <v>554</v>
      </c>
      <c r="J989" s="557">
        <v>20799.8</v>
      </c>
      <c r="K989" s="54">
        <f t="shared" si="680"/>
        <v>0</v>
      </c>
      <c r="L989" s="31">
        <f t="shared" si="681"/>
        <v>4.1178992398504546E-2</v>
      </c>
    </row>
    <row r="990" spans="1:12" x14ac:dyDescent="0.3">
      <c r="A990" s="871">
        <v>484</v>
      </c>
      <c r="B990" s="873">
        <v>17609.3</v>
      </c>
      <c r="C990" s="873" t="s">
        <v>6338</v>
      </c>
      <c r="D990" s="873">
        <f>+I990+I991</f>
        <v>484</v>
      </c>
      <c r="E990" s="873">
        <f>+J990+J991</f>
        <v>17049.400000000001</v>
      </c>
      <c r="F990" s="598" t="s">
        <v>6339</v>
      </c>
      <c r="G990" s="598" t="s">
        <v>6339</v>
      </c>
      <c r="H990" s="40"/>
      <c r="I990" s="559">
        <v>100</v>
      </c>
      <c r="J990" s="559">
        <v>3245.5</v>
      </c>
      <c r="K990" s="882">
        <f t="shared" si="680"/>
        <v>0</v>
      </c>
      <c r="L990" s="879">
        <f t="shared" si="681"/>
        <v>3.1795698863668613E-2</v>
      </c>
    </row>
    <row r="991" spans="1:12" ht="15" thickBot="1" x14ac:dyDescent="0.35">
      <c r="A991" s="872"/>
      <c r="B991" s="874"/>
      <c r="C991" s="874"/>
      <c r="D991" s="874"/>
      <c r="E991" s="874"/>
      <c r="F991" s="599" t="s">
        <v>6339</v>
      </c>
      <c r="G991" s="599">
        <v>104781</v>
      </c>
      <c r="H991" s="600"/>
      <c r="I991" s="599">
        <v>384</v>
      </c>
      <c r="J991" s="599">
        <v>13803.9</v>
      </c>
      <c r="K991" s="884"/>
      <c r="L991" s="880"/>
    </row>
    <row r="992" spans="1:12" ht="15" thickBot="1" x14ac:dyDescent="0.35">
      <c r="A992" s="178">
        <v>3009</v>
      </c>
      <c r="B992" s="45">
        <v>112860.6</v>
      </c>
      <c r="C992" s="45" t="s">
        <v>6340</v>
      </c>
      <c r="D992" s="45">
        <v>3010</v>
      </c>
      <c r="E992" s="45">
        <v>108758.7</v>
      </c>
      <c r="F992" s="45" t="s">
        <v>6341</v>
      </c>
      <c r="G992" s="45">
        <v>104901</v>
      </c>
      <c r="H992" s="14"/>
      <c r="I992" s="45">
        <v>816</v>
      </c>
      <c r="J992" s="45">
        <v>31354</v>
      </c>
      <c r="K992" s="54">
        <f t="shared" ref="K992:K993" si="683">+A992-D992</f>
        <v>-1</v>
      </c>
      <c r="L992" s="31">
        <f t="shared" ref="L992:L993" si="684">((+B992/A992)-(E992/D992))/(B992/A992)</f>
        <v>3.6664987236216647E-2</v>
      </c>
    </row>
    <row r="993" spans="1:12" x14ac:dyDescent="0.3">
      <c r="A993" s="871">
        <v>434</v>
      </c>
      <c r="B993" s="873">
        <v>17416.3</v>
      </c>
      <c r="C993" s="873" t="s">
        <v>6494</v>
      </c>
      <c r="D993" s="873">
        <f>+I993+I994</f>
        <v>434</v>
      </c>
      <c r="E993" s="873">
        <f>+J993+J994</f>
        <v>17205.800000000003</v>
      </c>
      <c r="F993" s="602" t="s">
        <v>6495</v>
      </c>
      <c r="G993" s="602">
        <v>104911</v>
      </c>
      <c r="H993" s="38"/>
      <c r="I993" s="602">
        <v>220</v>
      </c>
      <c r="J993" s="602">
        <v>8858.2000000000007</v>
      </c>
      <c r="K993" s="882">
        <f t="shared" si="683"/>
        <v>0</v>
      </c>
      <c r="L993" s="879">
        <f t="shared" si="684"/>
        <v>1.2086378851994805E-2</v>
      </c>
    </row>
    <row r="994" spans="1:12" ht="15" thickBot="1" x14ac:dyDescent="0.35">
      <c r="A994" s="872"/>
      <c r="B994" s="874"/>
      <c r="C994" s="874"/>
      <c r="D994" s="874"/>
      <c r="E994" s="874"/>
      <c r="F994" s="603" t="s">
        <v>6495</v>
      </c>
      <c r="G994" s="603">
        <v>104911</v>
      </c>
      <c r="H994" s="82"/>
      <c r="I994" s="603">
        <v>214</v>
      </c>
      <c r="J994" s="603">
        <v>8347.6</v>
      </c>
      <c r="K994" s="884"/>
      <c r="L994" s="880"/>
    </row>
    <row r="995" spans="1:12" x14ac:dyDescent="0.3">
      <c r="A995" s="875">
        <v>2201</v>
      </c>
      <c r="B995" s="881">
        <v>88417.81</v>
      </c>
      <c r="C995" s="881" t="s">
        <v>6496</v>
      </c>
      <c r="D995" s="881">
        <f>+I995+I996+I997+I998</f>
        <v>2201</v>
      </c>
      <c r="E995" s="881">
        <f>+J995+J996+J997+J998</f>
        <v>84868</v>
      </c>
      <c r="F995" s="50" t="s">
        <v>6497</v>
      </c>
      <c r="G995" s="50">
        <v>104921</v>
      </c>
      <c r="I995" s="50">
        <v>780</v>
      </c>
      <c r="J995" s="50">
        <v>29685.899999999998</v>
      </c>
      <c r="K995" s="877">
        <f t="shared" ref="K995" si="685">+A995-D995</f>
        <v>0</v>
      </c>
      <c r="L995" s="879">
        <f t="shared" ref="L995" si="686">((+B995/A995)-(E995/D995))/(B995/A995)</f>
        <v>4.0148133051474584E-2</v>
      </c>
    </row>
    <row r="996" spans="1:12" x14ac:dyDescent="0.3">
      <c r="A996" s="875"/>
      <c r="B996" s="881"/>
      <c r="C996" s="881"/>
      <c r="D996" s="881"/>
      <c r="E996" s="881"/>
      <c r="F996" s="50" t="s">
        <v>6497</v>
      </c>
      <c r="G996" s="50">
        <v>104921</v>
      </c>
      <c r="I996" s="50">
        <v>100</v>
      </c>
      <c r="J996" s="50">
        <v>3919.9</v>
      </c>
      <c r="K996" s="886"/>
      <c r="L996" s="885"/>
    </row>
    <row r="997" spans="1:12" x14ac:dyDescent="0.3">
      <c r="A997" s="875"/>
      <c r="B997" s="881"/>
      <c r="C997" s="881"/>
      <c r="D997" s="881"/>
      <c r="E997" s="881"/>
      <c r="F997" s="50" t="s">
        <v>6497</v>
      </c>
      <c r="G997" s="50">
        <v>104922</v>
      </c>
      <c r="I997" s="50">
        <v>901</v>
      </c>
      <c r="J997" s="50">
        <v>34655.9</v>
      </c>
      <c r="K997" s="886"/>
      <c r="L997" s="885"/>
    </row>
    <row r="998" spans="1:12" ht="15" thickBot="1" x14ac:dyDescent="0.35">
      <c r="A998" s="875"/>
      <c r="B998" s="881"/>
      <c r="C998" s="881"/>
      <c r="D998" s="881"/>
      <c r="E998" s="881"/>
      <c r="F998" s="50" t="s">
        <v>6497</v>
      </c>
      <c r="G998" s="50">
        <v>104922</v>
      </c>
      <c r="I998" s="50">
        <v>420</v>
      </c>
      <c r="J998" s="50">
        <v>16606.3</v>
      </c>
      <c r="K998" s="878"/>
      <c r="L998" s="880"/>
    </row>
    <row r="999" spans="1:12" x14ac:dyDescent="0.3">
      <c r="A999" s="871">
        <v>880</v>
      </c>
      <c r="B999" s="873">
        <v>35586.699999999997</v>
      </c>
      <c r="C999" s="873" t="s">
        <v>6498</v>
      </c>
      <c r="D999" s="873">
        <f>+I999+I1000</f>
        <v>880</v>
      </c>
      <c r="E999" s="873">
        <f>+J999+J1000</f>
        <v>33957.5</v>
      </c>
      <c r="F999" s="614" t="s">
        <v>6499</v>
      </c>
      <c r="G999" s="614">
        <v>104931</v>
      </c>
      <c r="H999" s="40"/>
      <c r="I999" s="614">
        <v>500</v>
      </c>
      <c r="J999" s="614">
        <v>19276.900000000001</v>
      </c>
      <c r="K999" s="882">
        <f t="shared" ref="K999" si="687">+A999-D999</f>
        <v>0</v>
      </c>
      <c r="L999" s="879">
        <f t="shared" ref="L999" si="688">((+B999/A999)-(E999/D999))/(B999/A999)</f>
        <v>4.578114857516994E-2</v>
      </c>
    </row>
    <row r="1000" spans="1:12" ht="15" thickBot="1" x14ac:dyDescent="0.35">
      <c r="A1000" s="872"/>
      <c r="B1000" s="874"/>
      <c r="C1000" s="874"/>
      <c r="D1000" s="874"/>
      <c r="E1000" s="874"/>
      <c r="F1000" s="615" t="s">
        <v>6499</v>
      </c>
      <c r="G1000" s="615">
        <v>104931</v>
      </c>
      <c r="H1000" s="620"/>
      <c r="I1000" s="615">
        <v>380</v>
      </c>
      <c r="J1000" s="615">
        <v>14680.6</v>
      </c>
      <c r="K1000" s="884"/>
      <c r="L1000" s="880"/>
    </row>
    <row r="1001" spans="1:12" x14ac:dyDescent="0.3">
      <c r="A1001" s="875">
        <v>1524</v>
      </c>
      <c r="B1001" s="881">
        <v>58958.6</v>
      </c>
      <c r="C1001" s="881" t="s">
        <v>6500</v>
      </c>
      <c r="D1001" s="881">
        <f>+I1001+I1002+I1003</f>
        <v>1524</v>
      </c>
      <c r="E1001" s="881">
        <f>+J1001+J1002+J1003</f>
        <v>56699.399999999994</v>
      </c>
      <c r="F1001" s="50" t="s">
        <v>6501</v>
      </c>
      <c r="G1001" s="50">
        <v>104971</v>
      </c>
      <c r="I1001" s="50">
        <v>480</v>
      </c>
      <c r="J1001" s="50">
        <v>18557</v>
      </c>
      <c r="K1001" s="882">
        <f t="shared" ref="K1001" si="689">+A1001-D1001</f>
        <v>0</v>
      </c>
      <c r="L1001" s="879">
        <f t="shared" ref="L1001" si="690">((+B1001/A1001)-(E1001/D1001))/(B1001/A1001)</f>
        <v>3.8318413259473556E-2</v>
      </c>
    </row>
    <row r="1002" spans="1:12" x14ac:dyDescent="0.3">
      <c r="A1002" s="875"/>
      <c r="B1002" s="881"/>
      <c r="C1002" s="881"/>
      <c r="D1002" s="881"/>
      <c r="E1002" s="881"/>
      <c r="F1002" s="50" t="s">
        <v>6501</v>
      </c>
      <c r="G1002" s="50">
        <v>104971</v>
      </c>
      <c r="I1002" s="50">
        <v>600</v>
      </c>
      <c r="J1002" s="50">
        <v>22854.1</v>
      </c>
      <c r="K1002" s="883"/>
      <c r="L1002" s="885"/>
    </row>
    <row r="1003" spans="1:12" ht="15" thickBot="1" x14ac:dyDescent="0.35">
      <c r="A1003" s="872"/>
      <c r="B1003" s="874"/>
      <c r="C1003" s="874"/>
      <c r="D1003" s="874"/>
      <c r="E1003" s="874"/>
      <c r="F1003" s="615" t="s">
        <v>6501</v>
      </c>
      <c r="G1003" s="615">
        <v>104971</v>
      </c>
      <c r="H1003" s="620"/>
      <c r="I1003" s="615">
        <v>444</v>
      </c>
      <c r="J1003" s="615">
        <v>15288.3</v>
      </c>
      <c r="K1003" s="884"/>
      <c r="L1003" s="880"/>
    </row>
    <row r="1004" spans="1:12" x14ac:dyDescent="0.3">
      <c r="A1004" s="871">
        <v>638</v>
      </c>
      <c r="B1004" s="873">
        <v>25233.200000000001</v>
      </c>
      <c r="C1004" s="873" t="s">
        <v>6502</v>
      </c>
      <c r="D1004" s="873">
        <f>+I1004+I1005</f>
        <v>637</v>
      </c>
      <c r="E1004" s="873">
        <f>+J1004+J1005</f>
        <v>24223.8</v>
      </c>
      <c r="F1004" s="614" t="s">
        <v>6503</v>
      </c>
      <c r="G1004" s="614">
        <v>105041</v>
      </c>
      <c r="H1004" s="40"/>
      <c r="I1004" s="614">
        <v>417</v>
      </c>
      <c r="J1004" s="614">
        <v>15913.1</v>
      </c>
      <c r="K1004" s="882">
        <f t="shared" ref="K1004" si="691">+A1004-D1004</f>
        <v>1</v>
      </c>
      <c r="L1004" s="879">
        <f t="shared" ref="L1004" si="692">((+B1004/A1004)-(E1004/D1004))/(B1004/A1004)</f>
        <v>3.849579349883947E-2</v>
      </c>
    </row>
    <row r="1005" spans="1:12" ht="15" thickBot="1" x14ac:dyDescent="0.35">
      <c r="A1005" s="872"/>
      <c r="B1005" s="874"/>
      <c r="C1005" s="874"/>
      <c r="D1005" s="874"/>
      <c r="E1005" s="874"/>
      <c r="F1005" s="615" t="s">
        <v>6503</v>
      </c>
      <c r="G1005" s="615">
        <v>105041</v>
      </c>
      <c r="H1005" s="620"/>
      <c r="I1005" s="615">
        <v>220</v>
      </c>
      <c r="J1005" s="615">
        <v>8310.6999999999989</v>
      </c>
      <c r="K1005" s="884"/>
      <c r="L1005" s="880"/>
    </row>
    <row r="1006" spans="1:12" ht="15" thickBot="1" x14ac:dyDescent="0.35">
      <c r="A1006" s="175">
        <v>371</v>
      </c>
      <c r="B1006" s="8">
        <v>15460.25</v>
      </c>
      <c r="C1006" s="8" t="s">
        <v>6504</v>
      </c>
      <c r="D1006" s="8">
        <f>+I1006</f>
        <v>372</v>
      </c>
      <c r="E1006" s="8">
        <f>+J1006</f>
        <v>15517.800000000001</v>
      </c>
      <c r="F1006" s="45" t="s">
        <v>6505</v>
      </c>
      <c r="G1006" s="45">
        <v>105051</v>
      </c>
      <c r="H1006" s="14"/>
      <c r="I1006" s="45">
        <v>372</v>
      </c>
      <c r="J1006" s="45">
        <v>15517.800000000001</v>
      </c>
      <c r="K1006" s="54">
        <f t="shared" ref="K1006:K1009" si="693">+A1006-D1006</f>
        <v>-1</v>
      </c>
      <c r="L1006" s="31">
        <f t="shared" ref="L1006:L1009" si="694">((+B1006/A1006)-(E1006/D1006))/(B1006/A1006)</f>
        <v>-1.0242708798996712E-3</v>
      </c>
    </row>
    <row r="1007" spans="1:12" ht="15" thickBot="1" x14ac:dyDescent="0.35">
      <c r="A1007" s="175">
        <v>771</v>
      </c>
      <c r="B1007" s="8">
        <v>32067.599999999999</v>
      </c>
      <c r="C1007" s="8" t="s">
        <v>6506</v>
      </c>
      <c r="D1007" s="8">
        <f t="shared" ref="D1007:E1007" si="695">+I1007</f>
        <v>770</v>
      </c>
      <c r="E1007" s="8">
        <f t="shared" si="695"/>
        <v>31380.399999999998</v>
      </c>
      <c r="F1007" s="45" t="s">
        <v>6507</v>
      </c>
      <c r="G1007" s="45">
        <v>105061</v>
      </c>
      <c r="H1007" s="14"/>
      <c r="I1007" s="45">
        <v>770</v>
      </c>
      <c r="J1007" s="45">
        <v>31380.399999999998</v>
      </c>
      <c r="K1007" s="54">
        <f t="shared" si="693"/>
        <v>1</v>
      </c>
      <c r="L1007" s="31">
        <f t="shared" si="694"/>
        <v>2.0158859215103065E-2</v>
      </c>
    </row>
    <row r="1008" spans="1:12" ht="15" thickBot="1" x14ac:dyDescent="0.35">
      <c r="A1008" s="609">
        <v>440</v>
      </c>
      <c r="B1008" s="603">
        <v>18001.2</v>
      </c>
      <c r="C1008" s="603" t="s">
        <v>6508</v>
      </c>
      <c r="D1008" s="8">
        <f>+I1008+110</f>
        <v>440</v>
      </c>
      <c r="E1008" s="8">
        <f>+J1008+4299.9</f>
        <v>17315.599999999999</v>
      </c>
      <c r="F1008" s="615" t="s">
        <v>6587</v>
      </c>
      <c r="G1008" s="615">
        <v>105091</v>
      </c>
      <c r="H1008" s="620"/>
      <c r="I1008" s="615">
        <v>330</v>
      </c>
      <c r="J1008" s="615">
        <v>13015.7</v>
      </c>
      <c r="K1008" s="54">
        <f t="shared" si="693"/>
        <v>0</v>
      </c>
      <c r="L1008" s="31">
        <f t="shared" si="694"/>
        <v>3.8086349798902387E-2</v>
      </c>
    </row>
    <row r="1009" spans="1:12" x14ac:dyDescent="0.3">
      <c r="A1009" s="901">
        <v>1000</v>
      </c>
      <c r="B1009" s="873">
        <v>39602.9</v>
      </c>
      <c r="C1009" s="873" t="s">
        <v>6588</v>
      </c>
      <c r="D1009" s="873">
        <f>+I1009+I1010+I1011</f>
        <v>1000</v>
      </c>
      <c r="E1009" s="873">
        <f>+J1009+J1010+J1011</f>
        <v>38340</v>
      </c>
      <c r="F1009" s="652" t="s">
        <v>6589</v>
      </c>
      <c r="G1009" s="652">
        <v>105101</v>
      </c>
      <c r="H1009" s="40"/>
      <c r="I1009" s="652">
        <v>390</v>
      </c>
      <c r="J1009" s="652">
        <v>14780.2</v>
      </c>
      <c r="K1009" s="882">
        <f t="shared" si="693"/>
        <v>0</v>
      </c>
      <c r="L1009" s="879">
        <f t="shared" si="694"/>
        <v>3.1889078830085543E-2</v>
      </c>
    </row>
    <row r="1010" spans="1:12" x14ac:dyDescent="0.3">
      <c r="A1010" s="887"/>
      <c r="B1010" s="881"/>
      <c r="C1010" s="881"/>
      <c r="D1010" s="881"/>
      <c r="E1010" s="881"/>
      <c r="F1010" s="50" t="s">
        <v>6589</v>
      </c>
      <c r="G1010" s="50">
        <v>105101</v>
      </c>
      <c r="I1010" s="50">
        <v>400</v>
      </c>
      <c r="J1010" s="50">
        <v>15438.2</v>
      </c>
      <c r="K1010" s="883"/>
      <c r="L1010" s="885"/>
    </row>
    <row r="1011" spans="1:12" ht="15" thickBot="1" x14ac:dyDescent="0.35">
      <c r="A1011" s="888"/>
      <c r="B1011" s="874"/>
      <c r="C1011" s="874"/>
      <c r="D1011" s="874"/>
      <c r="E1011" s="874"/>
      <c r="F1011" s="653" t="s">
        <v>6589</v>
      </c>
      <c r="G1011" s="653">
        <v>105101</v>
      </c>
      <c r="H1011" s="654"/>
      <c r="I1011" s="653">
        <v>210</v>
      </c>
      <c r="J1011" s="653">
        <v>8121.6</v>
      </c>
      <c r="K1011" s="884"/>
      <c r="L1011" s="880"/>
    </row>
    <row r="1012" spans="1:12" ht="15" thickBot="1" x14ac:dyDescent="0.35">
      <c r="A1012" s="709">
        <v>2750</v>
      </c>
      <c r="B1012" s="710">
        <v>109404.4</v>
      </c>
      <c r="C1012" s="710" t="s">
        <v>6816</v>
      </c>
      <c r="D1012" s="710">
        <v>2749</v>
      </c>
      <c r="E1012" s="710">
        <v>106698.6</v>
      </c>
      <c r="F1012" s="711" t="s">
        <v>6817</v>
      </c>
      <c r="G1012" s="711">
        <v>105171</v>
      </c>
      <c r="H1012" s="712"/>
      <c r="I1012" s="711"/>
      <c r="J1012" s="711"/>
      <c r="K1012" s="707">
        <f t="shared" ref="K1012" si="696">+A1012-D1012</f>
        <v>1</v>
      </c>
      <c r="L1012" s="713">
        <f t="shared" ref="L1012" si="697">((+B1012/A1012)-(E1012/D1012))/(B1012/A1012)</f>
        <v>2.4377322987491554E-2</v>
      </c>
    </row>
    <row r="1013" spans="1:12" ht="15" thickBot="1" x14ac:dyDescent="0.35">
      <c r="A1013" s="178">
        <v>750</v>
      </c>
      <c r="B1013" s="45">
        <v>25114.2</v>
      </c>
      <c r="C1013" s="45" t="s">
        <v>6590</v>
      </c>
      <c r="D1013" s="8">
        <v>750</v>
      </c>
      <c r="E1013" s="8">
        <v>24521.8</v>
      </c>
      <c r="F1013" s="45" t="s">
        <v>6591</v>
      </c>
      <c r="G1013" s="45">
        <v>105231</v>
      </c>
      <c r="H1013" s="14"/>
      <c r="I1013" s="45">
        <v>300</v>
      </c>
      <c r="J1013" s="45">
        <v>9785.4</v>
      </c>
      <c r="K1013" s="54">
        <f t="shared" ref="K1013:K1014" si="698">+A1013-D1013</f>
        <v>0</v>
      </c>
      <c r="L1013" s="31">
        <f t="shared" ref="L1013:L1014" si="699">((+B1013/A1013)-(E1013/D1013))/(B1013/A1013)</f>
        <v>2.3588248879120234E-2</v>
      </c>
    </row>
    <row r="1014" spans="1:12" x14ac:dyDescent="0.3">
      <c r="A1014" s="871">
        <v>1000</v>
      </c>
      <c r="B1014" s="873">
        <v>39724.199999999997</v>
      </c>
      <c r="C1014" s="873" t="s">
        <v>6666</v>
      </c>
      <c r="D1014" s="873">
        <f>+I1014+I1015+I1016+I1017</f>
        <v>995</v>
      </c>
      <c r="E1014" s="873">
        <f>+J1014+J1015+J1016+J1017</f>
        <v>38259.600000000006</v>
      </c>
      <c r="F1014" s="671" t="s">
        <v>6667</v>
      </c>
      <c r="G1014" s="671">
        <v>105301</v>
      </c>
      <c r="H1014" s="40"/>
      <c r="I1014" s="630">
        <v>100</v>
      </c>
      <c r="J1014" s="671">
        <v>3825.6</v>
      </c>
      <c r="K1014" s="877">
        <f t="shared" si="698"/>
        <v>5</v>
      </c>
      <c r="L1014" s="879">
        <f t="shared" si="699"/>
        <v>3.2029360025314001E-2</v>
      </c>
    </row>
    <row r="1015" spans="1:12" x14ac:dyDescent="0.3">
      <c r="A1015" s="875"/>
      <c r="B1015" s="881"/>
      <c r="C1015" s="881"/>
      <c r="D1015" s="881"/>
      <c r="E1015" s="881"/>
      <c r="F1015" s="50" t="s">
        <v>6667</v>
      </c>
      <c r="G1015" s="50">
        <v>105301</v>
      </c>
      <c r="I1015" s="632">
        <v>550</v>
      </c>
      <c r="J1015" s="50">
        <v>21341.200000000004</v>
      </c>
      <c r="K1015" s="886"/>
      <c r="L1015" s="885"/>
    </row>
    <row r="1016" spans="1:12" x14ac:dyDescent="0.3">
      <c r="A1016" s="875"/>
      <c r="B1016" s="881"/>
      <c r="C1016" s="881"/>
      <c r="D1016" s="881"/>
      <c r="E1016" s="881"/>
      <c r="F1016" s="50" t="s">
        <v>6667</v>
      </c>
      <c r="G1016" s="50">
        <v>105301</v>
      </c>
      <c r="I1016" s="632">
        <v>100</v>
      </c>
      <c r="J1016" s="50">
        <v>3871.7</v>
      </c>
      <c r="K1016" s="886"/>
      <c r="L1016" s="885"/>
    </row>
    <row r="1017" spans="1:12" ht="15" thickBot="1" x14ac:dyDescent="0.35">
      <c r="A1017" s="872"/>
      <c r="B1017" s="874"/>
      <c r="C1017" s="874"/>
      <c r="D1017" s="874"/>
      <c r="E1017" s="874"/>
      <c r="F1017" s="672" t="s">
        <v>6667</v>
      </c>
      <c r="G1017" s="672">
        <v>105301</v>
      </c>
      <c r="H1017" s="674"/>
      <c r="I1017" s="631">
        <v>245</v>
      </c>
      <c r="J1017" s="672">
        <v>9221.1</v>
      </c>
      <c r="K1017" s="878"/>
      <c r="L1017" s="880"/>
    </row>
    <row r="1018" spans="1:12" ht="15" thickBot="1" x14ac:dyDescent="0.35">
      <c r="A1018" s="178">
        <v>201</v>
      </c>
      <c r="B1018" s="45">
        <v>8433.75</v>
      </c>
      <c r="C1018" s="45" t="s">
        <v>6668</v>
      </c>
      <c r="D1018" s="8">
        <f>+I1018</f>
        <v>201</v>
      </c>
      <c r="E1018" s="8">
        <f>+J1018</f>
        <v>8474.1</v>
      </c>
      <c r="F1018" s="45" t="s">
        <v>6669</v>
      </c>
      <c r="G1018" s="45">
        <v>105351</v>
      </c>
      <c r="H1018" s="14"/>
      <c r="I1018" s="629">
        <v>201</v>
      </c>
      <c r="J1018" s="45">
        <v>8474.1</v>
      </c>
      <c r="K1018" s="54">
        <f t="shared" ref="K1018:K1019" si="700">+A1018-D1018</f>
        <v>0</v>
      </c>
      <c r="L1018" s="31">
        <f t="shared" ref="L1018:L1019" si="701">((+B1018/A1018)-(E1018/D1018))/(B1018/A1018)</f>
        <v>-4.7843485993776412E-3</v>
      </c>
    </row>
    <row r="1019" spans="1:12" x14ac:dyDescent="0.3">
      <c r="A1019" s="871">
        <v>750</v>
      </c>
      <c r="B1019" s="873">
        <v>30544.400000000001</v>
      </c>
      <c r="C1019" s="873" t="s">
        <v>6670</v>
      </c>
      <c r="D1019" s="873">
        <f>+I1019+I1021+I1020</f>
        <v>740</v>
      </c>
      <c r="E1019" s="873">
        <f>+J1019+J1021+J1020</f>
        <v>29362.699999999997</v>
      </c>
      <c r="F1019" s="671" t="s">
        <v>6671</v>
      </c>
      <c r="G1019" s="671">
        <v>105361</v>
      </c>
      <c r="H1019" s="40"/>
      <c r="I1019" s="630">
        <v>450</v>
      </c>
      <c r="J1019" s="671">
        <v>17943.099999999999</v>
      </c>
      <c r="K1019" s="882">
        <f t="shared" si="700"/>
        <v>10</v>
      </c>
      <c r="L1019" s="879">
        <f t="shared" si="701"/>
        <v>2.5697239322322964E-2</v>
      </c>
    </row>
    <row r="1020" spans="1:12" x14ac:dyDescent="0.3">
      <c r="A1020" s="875"/>
      <c r="B1020" s="881"/>
      <c r="C1020" s="881"/>
      <c r="D1020" s="881"/>
      <c r="E1020" s="881"/>
      <c r="F1020" s="50" t="s">
        <v>6671</v>
      </c>
      <c r="G1020" s="50">
        <v>105361</v>
      </c>
      <c r="I1020" s="632">
        <v>50</v>
      </c>
      <c r="J1020" s="50">
        <v>1997.1</v>
      </c>
      <c r="K1020" s="883"/>
      <c r="L1020" s="885"/>
    </row>
    <row r="1021" spans="1:12" ht="15" thickBot="1" x14ac:dyDescent="0.35">
      <c r="A1021" s="872"/>
      <c r="B1021" s="874"/>
      <c r="C1021" s="874"/>
      <c r="D1021" s="874"/>
      <c r="E1021" s="874"/>
      <c r="F1021" s="672" t="s">
        <v>6671</v>
      </c>
      <c r="G1021" s="672">
        <v>105361</v>
      </c>
      <c r="H1021" s="674"/>
      <c r="I1021" s="631">
        <v>240</v>
      </c>
      <c r="J1021" s="672">
        <v>9422.5</v>
      </c>
      <c r="K1021" s="884"/>
      <c r="L1021" s="880"/>
    </row>
    <row r="1022" spans="1:12" x14ac:dyDescent="0.3">
      <c r="A1022" s="871">
        <v>811</v>
      </c>
      <c r="B1022" s="873">
        <v>30759</v>
      </c>
      <c r="C1022" s="873" t="s">
        <v>6672</v>
      </c>
      <c r="D1022" s="873">
        <f>+I1022+I1023+I1024+I1026+I1025</f>
        <v>812</v>
      </c>
      <c r="E1022" s="873">
        <f>+J1022+J1023+J1024+J1026+J1025</f>
        <v>30627.699999999997</v>
      </c>
      <c r="F1022" s="671" t="s">
        <v>6673</v>
      </c>
      <c r="G1022" s="671">
        <v>105411</v>
      </c>
      <c r="H1022" s="40"/>
      <c r="I1022" s="630">
        <v>94</v>
      </c>
      <c r="J1022" s="671">
        <v>3518.6</v>
      </c>
      <c r="K1022" s="877">
        <f t="shared" ref="K1022" si="702">+A1022-D1022</f>
        <v>-1</v>
      </c>
      <c r="L1022" s="879">
        <f t="shared" ref="L1022" si="703">((+B1022/A1022)-(E1022/D1022))/(B1022/A1022)</f>
        <v>5.4949394442126206E-3</v>
      </c>
    </row>
    <row r="1023" spans="1:12" x14ac:dyDescent="0.3">
      <c r="A1023" s="875"/>
      <c r="B1023" s="881"/>
      <c r="C1023" s="881"/>
      <c r="D1023" s="881"/>
      <c r="E1023" s="881"/>
      <c r="F1023" s="50" t="s">
        <v>6673</v>
      </c>
      <c r="G1023" s="50">
        <v>105411</v>
      </c>
      <c r="I1023" s="632">
        <v>122</v>
      </c>
      <c r="J1023" s="50">
        <v>4449.2</v>
      </c>
      <c r="K1023" s="886"/>
      <c r="L1023" s="885"/>
    </row>
    <row r="1024" spans="1:12" x14ac:dyDescent="0.3">
      <c r="A1024" s="875"/>
      <c r="B1024" s="881"/>
      <c r="C1024" s="881"/>
      <c r="D1024" s="881"/>
      <c r="E1024" s="881"/>
      <c r="F1024" s="50" t="s">
        <v>6673</v>
      </c>
      <c r="G1024" s="50">
        <v>105411</v>
      </c>
      <c r="I1024" s="632">
        <v>202</v>
      </c>
      <c r="J1024" s="50">
        <v>7437.2</v>
      </c>
      <c r="K1024" s="886"/>
      <c r="L1024" s="885"/>
    </row>
    <row r="1025" spans="1:12" x14ac:dyDescent="0.3">
      <c r="A1025" s="875"/>
      <c r="B1025" s="881"/>
      <c r="C1025" s="881"/>
      <c r="D1025" s="881"/>
      <c r="E1025" s="881"/>
      <c r="F1025" s="50" t="s">
        <v>6673</v>
      </c>
      <c r="G1025" s="50">
        <v>105411</v>
      </c>
      <c r="I1025" s="632">
        <v>200</v>
      </c>
      <c r="J1025" s="50">
        <v>8308.6</v>
      </c>
      <c r="K1025" s="886"/>
      <c r="L1025" s="885"/>
    </row>
    <row r="1026" spans="1:12" ht="15" thickBot="1" x14ac:dyDescent="0.35">
      <c r="A1026" s="872"/>
      <c r="B1026" s="874"/>
      <c r="C1026" s="874"/>
      <c r="D1026" s="874"/>
      <c r="E1026" s="874"/>
      <c r="F1026" s="672" t="s">
        <v>6673</v>
      </c>
      <c r="G1026" s="672">
        <v>105411</v>
      </c>
      <c r="H1026" s="674"/>
      <c r="I1026" s="631">
        <v>194</v>
      </c>
      <c r="J1026" s="672">
        <v>6914.1</v>
      </c>
      <c r="K1026" s="878"/>
      <c r="L1026" s="880"/>
    </row>
    <row r="1027" spans="1:12" x14ac:dyDescent="0.3">
      <c r="A1027" s="871">
        <v>871</v>
      </c>
      <c r="B1027" s="873">
        <v>32463.3</v>
      </c>
      <c r="C1027" s="873" t="s">
        <v>6674</v>
      </c>
      <c r="D1027" s="873">
        <f>+I1027+I1028+I1029+I1030+I1031</f>
        <v>871</v>
      </c>
      <c r="E1027" s="873">
        <f>+J1027+J1028+J1029+J1030+J1031</f>
        <v>31891.3</v>
      </c>
      <c r="F1027" s="50" t="s">
        <v>6675</v>
      </c>
      <c r="G1027" s="50">
        <v>105421</v>
      </c>
      <c r="I1027" s="676">
        <v>200</v>
      </c>
      <c r="J1027" s="50">
        <v>7687.8</v>
      </c>
      <c r="K1027" s="877">
        <f t="shared" ref="K1027" si="704">+A1027-D1027</f>
        <v>0</v>
      </c>
      <c r="L1027" s="879">
        <f t="shared" ref="L1027" si="705">((+B1027/A1027)-(E1027/D1027))/(B1027/A1027)</f>
        <v>1.7619896929763696E-2</v>
      </c>
    </row>
    <row r="1028" spans="1:12" x14ac:dyDescent="0.3">
      <c r="A1028" s="875"/>
      <c r="B1028" s="881"/>
      <c r="C1028" s="881"/>
      <c r="D1028" s="881"/>
      <c r="E1028" s="881"/>
      <c r="F1028" s="50" t="s">
        <v>6675</v>
      </c>
      <c r="G1028" s="50">
        <v>105421</v>
      </c>
      <c r="I1028" s="676">
        <v>176</v>
      </c>
      <c r="J1028" s="50">
        <v>6485.4000000000005</v>
      </c>
      <c r="K1028" s="886"/>
      <c r="L1028" s="885"/>
    </row>
    <row r="1029" spans="1:12" x14ac:dyDescent="0.3">
      <c r="A1029" s="875"/>
      <c r="B1029" s="881"/>
      <c r="C1029" s="881"/>
      <c r="D1029" s="881"/>
      <c r="E1029" s="881"/>
      <c r="F1029" s="50" t="s">
        <v>6675</v>
      </c>
      <c r="G1029" s="50">
        <v>105421</v>
      </c>
      <c r="I1029" s="676">
        <v>250</v>
      </c>
      <c r="J1029" s="50">
        <v>8270.2999999999993</v>
      </c>
      <c r="K1029" s="886"/>
      <c r="L1029" s="885"/>
    </row>
    <row r="1030" spans="1:12" x14ac:dyDescent="0.3">
      <c r="A1030" s="875"/>
      <c r="B1030" s="881"/>
      <c r="C1030" s="881"/>
      <c r="D1030" s="881"/>
      <c r="E1030" s="881"/>
      <c r="F1030" s="50" t="s">
        <v>6675</v>
      </c>
      <c r="G1030" s="50">
        <v>105421</v>
      </c>
      <c r="I1030" s="676">
        <v>50</v>
      </c>
      <c r="J1030" s="50">
        <v>1928</v>
      </c>
      <c r="K1030" s="886"/>
      <c r="L1030" s="885"/>
    </row>
    <row r="1031" spans="1:12" ht="15" thickBot="1" x14ac:dyDescent="0.35">
      <c r="A1031" s="872"/>
      <c r="B1031" s="874"/>
      <c r="C1031" s="874"/>
      <c r="D1031" s="874"/>
      <c r="E1031" s="874"/>
      <c r="F1031" s="50" t="s">
        <v>6675</v>
      </c>
      <c r="G1031" s="50">
        <v>105421</v>
      </c>
      <c r="I1031" s="676">
        <v>195</v>
      </c>
      <c r="J1031" s="50">
        <v>7519.8</v>
      </c>
      <c r="K1031" s="878"/>
      <c r="L1031" s="880"/>
    </row>
    <row r="1032" spans="1:12" x14ac:dyDescent="0.3">
      <c r="A1032" s="871">
        <v>1250</v>
      </c>
      <c r="B1032" s="873">
        <v>48783.7</v>
      </c>
      <c r="C1032" s="873" t="s">
        <v>6676</v>
      </c>
      <c r="D1032" s="873">
        <f>+I1032+I1033+I1034</f>
        <v>1250</v>
      </c>
      <c r="E1032" s="873">
        <f>+J1032+J1033+J1034</f>
        <v>47922.3</v>
      </c>
      <c r="F1032" s="671" t="s">
        <v>6677</v>
      </c>
      <c r="G1032" s="671">
        <v>105491</v>
      </c>
      <c r="H1032" s="40"/>
      <c r="I1032" s="630">
        <v>200</v>
      </c>
      <c r="J1032" s="671">
        <v>7788.5</v>
      </c>
      <c r="K1032" s="882">
        <f t="shared" ref="K1032" si="706">+A1032-D1032</f>
        <v>0</v>
      </c>
      <c r="L1032" s="879">
        <f t="shared" ref="L1032" si="707">((+B1032/A1032)-(E1032/D1032))/(B1032/A1032)</f>
        <v>1.7657537251171897E-2</v>
      </c>
    </row>
    <row r="1033" spans="1:12" x14ac:dyDescent="0.3">
      <c r="A1033" s="875"/>
      <c r="B1033" s="881"/>
      <c r="C1033" s="881"/>
      <c r="D1033" s="881"/>
      <c r="E1033" s="881"/>
      <c r="F1033" s="50" t="s">
        <v>6677</v>
      </c>
      <c r="G1033" s="50">
        <v>105491</v>
      </c>
      <c r="I1033" s="632">
        <v>600</v>
      </c>
      <c r="J1033" s="50">
        <v>22972.9</v>
      </c>
      <c r="K1033" s="883"/>
      <c r="L1033" s="885"/>
    </row>
    <row r="1034" spans="1:12" ht="15" thickBot="1" x14ac:dyDescent="0.35">
      <c r="A1034" s="872"/>
      <c r="B1034" s="874"/>
      <c r="C1034" s="874"/>
      <c r="D1034" s="874"/>
      <c r="E1034" s="874"/>
      <c r="F1034" s="672" t="s">
        <v>6677</v>
      </c>
      <c r="G1034" s="672">
        <v>105491</v>
      </c>
      <c r="H1034" s="674"/>
      <c r="I1034" s="678">
        <v>450</v>
      </c>
      <c r="J1034" s="672">
        <v>17160.899999999998</v>
      </c>
      <c r="K1034" s="884"/>
      <c r="L1034" s="880"/>
    </row>
    <row r="1035" spans="1:12" ht="15" thickBot="1" x14ac:dyDescent="0.35">
      <c r="A1035" s="175">
        <v>200</v>
      </c>
      <c r="B1035" s="8">
        <v>8204.1</v>
      </c>
      <c r="C1035" s="8" t="s">
        <v>6678</v>
      </c>
      <c r="D1035" s="8">
        <f>+I1035</f>
        <v>200</v>
      </c>
      <c r="E1035" s="8">
        <f>+J1035</f>
        <v>8291.5</v>
      </c>
      <c r="F1035" s="45" t="s">
        <v>6679</v>
      </c>
      <c r="G1035" s="45">
        <v>105561</v>
      </c>
      <c r="H1035" s="14"/>
      <c r="I1035" s="679">
        <v>200</v>
      </c>
      <c r="J1035" s="45">
        <v>8291.5</v>
      </c>
      <c r="K1035" s="54">
        <f t="shared" ref="K1035:K1036" si="708">+A1035-D1035</f>
        <v>0</v>
      </c>
      <c r="L1035" s="31">
        <f t="shared" ref="L1035:L1036" si="709">((+B1035/A1035)-(E1035/D1035))/(B1035/A1035)</f>
        <v>-1.0653209980375781E-2</v>
      </c>
    </row>
    <row r="1036" spans="1:12" x14ac:dyDescent="0.3">
      <c r="A1036" s="871">
        <v>998</v>
      </c>
      <c r="B1036" s="873">
        <v>40938.9</v>
      </c>
      <c r="C1036" s="873" t="s">
        <v>6680</v>
      </c>
      <c r="D1036" s="873">
        <f>+I1036+I1037</f>
        <v>998</v>
      </c>
      <c r="E1036" s="873">
        <f>+J1036+J1037</f>
        <v>40160.699999999997</v>
      </c>
      <c r="F1036" s="671" t="s">
        <v>6681</v>
      </c>
      <c r="G1036" s="671">
        <v>105571</v>
      </c>
      <c r="H1036" s="40"/>
      <c r="I1036" s="677">
        <v>558</v>
      </c>
      <c r="J1036" s="671">
        <v>22176.899999999998</v>
      </c>
      <c r="K1036" s="882">
        <f t="shared" si="708"/>
        <v>0</v>
      </c>
      <c r="L1036" s="879">
        <f t="shared" si="709"/>
        <v>1.9008815576383446E-2</v>
      </c>
    </row>
    <row r="1037" spans="1:12" ht="15" thickBot="1" x14ac:dyDescent="0.35">
      <c r="A1037" s="872"/>
      <c r="B1037" s="874"/>
      <c r="C1037" s="874"/>
      <c r="D1037" s="874"/>
      <c r="E1037" s="874"/>
      <c r="F1037" s="672" t="s">
        <v>6681</v>
      </c>
      <c r="G1037" s="672">
        <v>105571</v>
      </c>
      <c r="H1037" s="674"/>
      <c r="I1037" s="678">
        <v>440</v>
      </c>
      <c r="J1037" s="672">
        <v>17983.8</v>
      </c>
      <c r="K1037" s="884"/>
      <c r="L1037" s="880"/>
    </row>
    <row r="1038" spans="1:12" x14ac:dyDescent="0.3">
      <c r="A1038" s="871">
        <v>1736</v>
      </c>
      <c r="B1038" s="873">
        <v>61138.3</v>
      </c>
      <c r="C1038" s="873" t="s">
        <v>6682</v>
      </c>
      <c r="D1038" s="873">
        <f>+I1038+I1039+I1040+I1041</f>
        <v>1736</v>
      </c>
      <c r="E1038" s="873">
        <f>+J1038+J1039+J1040+J1041</f>
        <v>59703.9</v>
      </c>
      <c r="F1038" s="671" t="s">
        <v>6683</v>
      </c>
      <c r="G1038" s="671">
        <v>105601</v>
      </c>
      <c r="H1038" s="40"/>
      <c r="I1038" s="677">
        <v>200</v>
      </c>
      <c r="J1038" s="671">
        <v>7841.4</v>
      </c>
      <c r="K1038" s="877">
        <f t="shared" ref="K1038" si="710">+A1038-D1038</f>
        <v>0</v>
      </c>
      <c r="L1038" s="879">
        <f t="shared" ref="L1038" si="711">((+B1038/A1038)-(E1038/D1038))/(B1038/A1038)</f>
        <v>2.3461561737895899E-2</v>
      </c>
    </row>
    <row r="1039" spans="1:12" x14ac:dyDescent="0.3">
      <c r="A1039" s="875"/>
      <c r="B1039" s="881"/>
      <c r="C1039" s="881"/>
      <c r="D1039" s="881"/>
      <c r="E1039" s="881"/>
      <c r="F1039" s="50" t="s">
        <v>6683</v>
      </c>
      <c r="G1039" s="50">
        <v>105601</v>
      </c>
      <c r="I1039" s="676">
        <v>600</v>
      </c>
      <c r="J1039" s="50">
        <v>21167.8</v>
      </c>
      <c r="K1039" s="886"/>
      <c r="L1039" s="885"/>
    </row>
    <row r="1040" spans="1:12" x14ac:dyDescent="0.3">
      <c r="A1040" s="875"/>
      <c r="B1040" s="881"/>
      <c r="C1040" s="881"/>
      <c r="D1040" s="881"/>
      <c r="E1040" s="881"/>
      <c r="F1040" s="50" t="s">
        <v>6683</v>
      </c>
      <c r="G1040" s="50">
        <v>105601</v>
      </c>
      <c r="I1040" s="676">
        <v>300</v>
      </c>
      <c r="J1040" s="50">
        <v>9877.4</v>
      </c>
      <c r="K1040" s="886"/>
      <c r="L1040" s="885"/>
    </row>
    <row r="1041" spans="1:12" ht="15" thickBot="1" x14ac:dyDescent="0.35">
      <c r="A1041" s="872"/>
      <c r="B1041" s="874"/>
      <c r="C1041" s="874"/>
      <c r="D1041" s="874"/>
      <c r="E1041" s="874"/>
      <c r="F1041" s="672" t="s">
        <v>6683</v>
      </c>
      <c r="G1041" s="672">
        <v>105602</v>
      </c>
      <c r="H1041" s="674"/>
      <c r="I1041" s="678">
        <v>636</v>
      </c>
      <c r="J1041" s="672">
        <v>20817.300000000003</v>
      </c>
      <c r="K1041" s="878"/>
      <c r="L1041" s="880"/>
    </row>
    <row r="1042" spans="1:12" x14ac:dyDescent="0.3">
      <c r="A1042" s="938">
        <v>1500</v>
      </c>
      <c r="B1042" s="955">
        <v>55749.3</v>
      </c>
      <c r="C1042" s="955" t="s">
        <v>6684</v>
      </c>
      <c r="D1042" s="873">
        <f>+I1042+I1043</f>
        <v>1500</v>
      </c>
      <c r="E1042" s="873">
        <f>+J1042+J1043</f>
        <v>54796.7</v>
      </c>
      <c r="F1042" s="671" t="s">
        <v>6685</v>
      </c>
      <c r="G1042" s="671">
        <v>105621</v>
      </c>
      <c r="H1042" s="40"/>
      <c r="I1042" s="677">
        <v>350</v>
      </c>
      <c r="J1042" s="671">
        <v>13474.199999999999</v>
      </c>
      <c r="K1042" s="882">
        <f t="shared" ref="K1042" si="712">+A1042-D1042</f>
        <v>0</v>
      </c>
      <c r="L1042" s="879">
        <f t="shared" ref="L1042" si="713">((+B1042/A1042)-(E1042/D1042))/(B1042/A1042)</f>
        <v>1.7087210063624313E-2</v>
      </c>
    </row>
    <row r="1043" spans="1:12" ht="15" thickBot="1" x14ac:dyDescent="0.35">
      <c r="A1043" s="939"/>
      <c r="B1043" s="956"/>
      <c r="C1043" s="956"/>
      <c r="D1043" s="874"/>
      <c r="E1043" s="874"/>
      <c r="F1043" s="672" t="s">
        <v>6685</v>
      </c>
      <c r="G1043" s="672">
        <v>105621</v>
      </c>
      <c r="H1043" s="674"/>
      <c r="I1043" s="678">
        <v>1150</v>
      </c>
      <c r="J1043" s="672">
        <v>41322.5</v>
      </c>
      <c r="K1043" s="884"/>
      <c r="L1043" s="880"/>
    </row>
    <row r="1044" spans="1:12" x14ac:dyDescent="0.3">
      <c r="A1044" s="938">
        <v>867</v>
      </c>
      <c r="B1044" s="955">
        <v>30674.5</v>
      </c>
      <c r="C1044" s="873" t="s">
        <v>6686</v>
      </c>
      <c r="D1044" s="873">
        <f>+I1044+I1045</f>
        <v>867</v>
      </c>
      <c r="E1044" s="873">
        <f>+J1044+J1045</f>
        <v>30124.1</v>
      </c>
      <c r="F1044" s="671" t="s">
        <v>6687</v>
      </c>
      <c r="G1044" s="671">
        <v>105631</v>
      </c>
      <c r="H1044" s="40"/>
      <c r="I1044" s="677">
        <v>450</v>
      </c>
      <c r="J1044" s="671">
        <v>15771.900000000001</v>
      </c>
      <c r="K1044" s="882">
        <f t="shared" ref="K1044" si="714">+A1044-D1044</f>
        <v>0</v>
      </c>
      <c r="L1044" s="879">
        <f t="shared" ref="L1044" si="715">((+B1044/A1044)-(E1044/D1044))/(B1044/A1044)</f>
        <v>1.7943242758643181E-2</v>
      </c>
    </row>
    <row r="1045" spans="1:12" ht="15" thickBot="1" x14ac:dyDescent="0.35">
      <c r="A1045" s="939"/>
      <c r="B1045" s="956"/>
      <c r="C1045" s="874"/>
      <c r="D1045" s="874"/>
      <c r="E1045" s="874"/>
      <c r="F1045" s="672" t="s">
        <v>6687</v>
      </c>
      <c r="G1045" s="672">
        <v>105631</v>
      </c>
      <c r="H1045" s="674"/>
      <c r="I1045" s="678">
        <v>417</v>
      </c>
      <c r="J1045" s="672">
        <v>14352.199999999999</v>
      </c>
      <c r="K1045" s="884"/>
      <c r="L1045" s="880"/>
    </row>
    <row r="1046" spans="1:12" ht="15" thickBot="1" x14ac:dyDescent="0.35">
      <c r="A1046" s="178">
        <v>2588</v>
      </c>
      <c r="B1046" s="45">
        <v>92287.25</v>
      </c>
      <c r="C1046" s="8" t="s">
        <v>6688</v>
      </c>
      <c r="D1046" s="8">
        <v>2588</v>
      </c>
      <c r="E1046" s="8">
        <v>90794</v>
      </c>
      <c r="F1046" s="45" t="s">
        <v>6689</v>
      </c>
      <c r="G1046" s="45">
        <v>105691</v>
      </c>
      <c r="H1046" s="14"/>
      <c r="I1046" s="679">
        <v>1117</v>
      </c>
      <c r="J1046" s="45">
        <v>40176.399999999994</v>
      </c>
      <c r="K1046" s="54">
        <f t="shared" ref="K1046" si="716">+A1046-D1046</f>
        <v>0</v>
      </c>
      <c r="L1046" s="31">
        <f t="shared" ref="L1046" si="717">((+B1046/A1046)-(E1046/D1046))/(B1046/A1046)</f>
        <v>1.6180458297326953E-2</v>
      </c>
    </row>
    <row r="1047" spans="1:12" ht="15" thickBot="1" x14ac:dyDescent="0.35">
      <c r="A1047" s="178">
        <v>507</v>
      </c>
      <c r="B1047" s="45">
        <v>19644.25</v>
      </c>
      <c r="C1047" s="8" t="s">
        <v>6834</v>
      </c>
      <c r="D1047" s="8">
        <f>+I1047</f>
        <v>507</v>
      </c>
      <c r="E1047" s="8">
        <f>+J1047</f>
        <v>19419.3</v>
      </c>
      <c r="F1047" s="45" t="s">
        <v>6835</v>
      </c>
      <c r="G1047" s="45">
        <v>105711</v>
      </c>
      <c r="H1047" s="14"/>
      <c r="I1047" s="554">
        <v>507</v>
      </c>
      <c r="J1047" s="45">
        <v>19419.3</v>
      </c>
      <c r="K1047" s="54">
        <f t="shared" ref="K1047:K1049" si="718">+A1047-D1047</f>
        <v>0</v>
      </c>
      <c r="L1047" s="31">
        <f t="shared" ref="L1047:L1049" si="719">((+B1047/A1047)-(E1047/D1047))/(B1047/A1047)</f>
        <v>1.1451188006668635E-2</v>
      </c>
    </row>
    <row r="1048" spans="1:12" ht="15" thickBot="1" x14ac:dyDescent="0.35">
      <c r="A1048" s="178">
        <v>164</v>
      </c>
      <c r="B1048" s="45">
        <v>6098.1</v>
      </c>
      <c r="C1048" s="8" t="s">
        <v>6836</v>
      </c>
      <c r="D1048" s="8">
        <f>+I1048</f>
        <v>164</v>
      </c>
      <c r="E1048" s="8">
        <f>+J1048</f>
        <v>5977.9000000000005</v>
      </c>
      <c r="F1048" s="45" t="s">
        <v>6837</v>
      </c>
      <c r="G1048" s="45">
        <v>105791</v>
      </c>
      <c r="H1048" s="14"/>
      <c r="I1048" s="554">
        <v>164</v>
      </c>
      <c r="J1048" s="45">
        <v>5977.9000000000005</v>
      </c>
      <c r="K1048" s="54">
        <f t="shared" si="718"/>
        <v>0</v>
      </c>
      <c r="L1048" s="31">
        <f t="shared" si="719"/>
        <v>1.9711057542513274E-2</v>
      </c>
    </row>
    <row r="1049" spans="1:12" x14ac:dyDescent="0.3">
      <c r="A1049" s="871">
        <v>1935</v>
      </c>
      <c r="B1049" s="873">
        <v>72136</v>
      </c>
      <c r="C1049" s="873" t="s">
        <v>6838</v>
      </c>
      <c r="D1049" s="873">
        <f>+I1049+I1050+I1051</f>
        <v>1934</v>
      </c>
      <c r="E1049" s="873">
        <f>+J1049+J1050+J1051</f>
        <v>70411</v>
      </c>
      <c r="F1049" s="697" t="s">
        <v>6839</v>
      </c>
      <c r="G1049" s="697">
        <v>105802</v>
      </c>
      <c r="H1049" s="40"/>
      <c r="I1049" s="552">
        <v>823</v>
      </c>
      <c r="J1049" s="697">
        <v>30317.100000000002</v>
      </c>
      <c r="K1049" s="882">
        <f t="shared" si="718"/>
        <v>1</v>
      </c>
      <c r="L1049" s="879">
        <f t="shared" si="719"/>
        <v>2.3408465556098341E-2</v>
      </c>
    </row>
    <row r="1050" spans="1:12" x14ac:dyDescent="0.3">
      <c r="A1050" s="875"/>
      <c r="B1050" s="881"/>
      <c r="C1050" s="881"/>
      <c r="D1050" s="881"/>
      <c r="E1050" s="881"/>
      <c r="F1050" s="50" t="s">
        <v>6839</v>
      </c>
      <c r="G1050" s="50">
        <v>105801</v>
      </c>
      <c r="I1050" s="551">
        <v>271</v>
      </c>
      <c r="J1050" s="50">
        <v>9989.7000000000007</v>
      </c>
      <c r="K1050" s="883"/>
      <c r="L1050" s="885"/>
    </row>
    <row r="1051" spans="1:12" ht="15" thickBot="1" x14ac:dyDescent="0.35">
      <c r="A1051" s="872"/>
      <c r="B1051" s="874"/>
      <c r="C1051" s="874"/>
      <c r="D1051" s="874"/>
      <c r="E1051" s="874"/>
      <c r="F1051" s="698" t="s">
        <v>6839</v>
      </c>
      <c r="G1051" s="698">
        <v>105801</v>
      </c>
      <c r="H1051" s="700"/>
      <c r="I1051" s="553">
        <v>840</v>
      </c>
      <c r="J1051" s="698">
        <v>30104.199999999997</v>
      </c>
      <c r="K1051" s="884"/>
      <c r="L1051" s="880"/>
    </row>
    <row r="1052" spans="1:12" x14ac:dyDescent="0.3">
      <c r="A1052" s="871">
        <v>1002</v>
      </c>
      <c r="B1052" s="873">
        <v>36737.9</v>
      </c>
      <c r="C1052" s="873" t="s">
        <v>6840</v>
      </c>
      <c r="D1052" s="873">
        <f>+I1052+I1053</f>
        <v>1002</v>
      </c>
      <c r="E1052" s="873">
        <f>+J1052+J1053</f>
        <v>35926.6</v>
      </c>
      <c r="F1052" s="697" t="s">
        <v>6841</v>
      </c>
      <c r="G1052" s="697">
        <v>105841</v>
      </c>
      <c r="H1052" s="40"/>
      <c r="I1052" s="552">
        <v>350</v>
      </c>
      <c r="J1052" s="697">
        <v>12608.6</v>
      </c>
      <c r="K1052" s="882">
        <f t="shared" ref="K1052" si="720">+A1052-D1052</f>
        <v>0</v>
      </c>
      <c r="L1052" s="879">
        <f t="shared" ref="L1052" si="721">((+B1052/A1052)-(E1052/D1052))/(B1052/A1052)</f>
        <v>2.2083461493444079E-2</v>
      </c>
    </row>
    <row r="1053" spans="1:12" ht="15" thickBot="1" x14ac:dyDescent="0.35">
      <c r="A1053" s="872"/>
      <c r="B1053" s="874"/>
      <c r="C1053" s="874"/>
      <c r="D1053" s="874"/>
      <c r="E1053" s="874"/>
      <c r="F1053" s="698" t="s">
        <v>6841</v>
      </c>
      <c r="G1053" s="698">
        <v>105841</v>
      </c>
      <c r="H1053" s="700"/>
      <c r="I1053" s="553">
        <v>652</v>
      </c>
      <c r="J1053" s="698">
        <v>23318</v>
      </c>
      <c r="K1053" s="884"/>
      <c r="L1053" s="880"/>
    </row>
    <row r="1054" spans="1:12" x14ac:dyDescent="0.3">
      <c r="A1054" s="871">
        <v>949</v>
      </c>
      <c r="B1054" s="873">
        <v>36930.25</v>
      </c>
      <c r="C1054" s="873" t="s">
        <v>6842</v>
      </c>
      <c r="D1054" s="873">
        <f>+I1054+I1055+I1056</f>
        <v>949</v>
      </c>
      <c r="E1054" s="873">
        <f>+J1054+J1055+J1056</f>
        <v>36430.299999999996</v>
      </c>
      <c r="F1054" s="697" t="s">
        <v>6843</v>
      </c>
      <c r="G1054" s="697">
        <v>105851</v>
      </c>
      <c r="H1054" s="40"/>
      <c r="I1054" s="552">
        <v>93</v>
      </c>
      <c r="J1054" s="697">
        <v>3539.1</v>
      </c>
      <c r="K1054" s="882">
        <f t="shared" ref="K1054" si="722">+A1054-D1054</f>
        <v>0</v>
      </c>
      <c r="L1054" s="879">
        <f t="shared" ref="L1054" si="723">((+B1054/A1054)-(E1054/D1054))/(B1054/A1054)</f>
        <v>1.3537682523135025E-2</v>
      </c>
    </row>
    <row r="1055" spans="1:12" x14ac:dyDescent="0.3">
      <c r="A1055" s="875"/>
      <c r="B1055" s="881"/>
      <c r="C1055" s="881"/>
      <c r="D1055" s="881"/>
      <c r="E1055" s="881"/>
      <c r="F1055" s="50" t="s">
        <v>6843</v>
      </c>
      <c r="G1055" s="50">
        <v>105851</v>
      </c>
      <c r="I1055" s="551">
        <v>100</v>
      </c>
      <c r="J1055" s="50">
        <v>3763.8</v>
      </c>
      <c r="K1055" s="883"/>
      <c r="L1055" s="885"/>
    </row>
    <row r="1056" spans="1:12" ht="15" thickBot="1" x14ac:dyDescent="0.35">
      <c r="A1056" s="872"/>
      <c r="B1056" s="874"/>
      <c r="C1056" s="874"/>
      <c r="D1056" s="874"/>
      <c r="E1056" s="874"/>
      <c r="F1056" s="698" t="s">
        <v>6843</v>
      </c>
      <c r="G1056" s="698">
        <v>105851</v>
      </c>
      <c r="H1056" s="700"/>
      <c r="I1056" s="553">
        <v>756</v>
      </c>
      <c r="J1056" s="698">
        <v>29127.399999999994</v>
      </c>
      <c r="K1056" s="884"/>
      <c r="L1056" s="880"/>
    </row>
    <row r="1057" spans="1:12" ht="15" thickBot="1" x14ac:dyDescent="0.35">
      <c r="A1057" s="695">
        <v>1540</v>
      </c>
      <c r="B1057" s="697">
        <v>62704</v>
      </c>
      <c r="C1057" s="691" t="s">
        <v>6844</v>
      </c>
      <c r="D1057" s="691">
        <f>+I1057</f>
        <v>1540</v>
      </c>
      <c r="E1057" s="691">
        <f>+J1057</f>
        <v>60404</v>
      </c>
      <c r="F1057" s="697" t="s">
        <v>6845</v>
      </c>
      <c r="G1057" s="697">
        <v>105911</v>
      </c>
      <c r="H1057" s="40"/>
      <c r="I1057" s="552">
        <v>1540</v>
      </c>
      <c r="J1057" s="697">
        <v>60404</v>
      </c>
      <c r="K1057" s="54">
        <f t="shared" ref="K1057:K1058" si="724">+A1057-D1057</f>
        <v>0</v>
      </c>
      <c r="L1057" s="31">
        <f t="shared" ref="L1057:L1058" si="725">((+B1057/A1057)-(E1057/D1057))/(B1057/A1057)</f>
        <v>3.6680275580505253E-2</v>
      </c>
    </row>
    <row r="1058" spans="1:12" x14ac:dyDescent="0.3">
      <c r="A1058" s="871">
        <v>2200</v>
      </c>
      <c r="B1058" s="873">
        <v>89339.9</v>
      </c>
      <c r="C1058" s="873" t="s">
        <v>6846</v>
      </c>
      <c r="D1058" s="873">
        <f>+I1058+I1059+I1060</f>
        <v>2178</v>
      </c>
      <c r="E1058" s="873">
        <f>+J1058+J1059+J1060</f>
        <v>84769.1</v>
      </c>
      <c r="F1058" s="697" t="s">
        <v>6847</v>
      </c>
      <c r="G1058" s="697">
        <v>105921</v>
      </c>
      <c r="H1058" s="40"/>
      <c r="I1058" s="552">
        <v>440</v>
      </c>
      <c r="J1058" s="697">
        <v>17078.2</v>
      </c>
      <c r="K1058" s="882">
        <f t="shared" si="724"/>
        <v>22</v>
      </c>
      <c r="L1058" s="879">
        <f t="shared" si="725"/>
        <v>4.1577687736906538E-2</v>
      </c>
    </row>
    <row r="1059" spans="1:12" x14ac:dyDescent="0.3">
      <c r="A1059" s="875"/>
      <c r="B1059" s="881"/>
      <c r="C1059" s="881"/>
      <c r="D1059" s="881"/>
      <c r="E1059" s="881"/>
      <c r="F1059" s="50" t="s">
        <v>6847</v>
      </c>
      <c r="G1059" s="50">
        <v>105921</v>
      </c>
      <c r="I1059" s="551">
        <v>880</v>
      </c>
      <c r="J1059" s="50">
        <v>32706.700000000004</v>
      </c>
      <c r="K1059" s="883"/>
      <c r="L1059" s="885"/>
    </row>
    <row r="1060" spans="1:12" ht="15" thickBot="1" x14ac:dyDescent="0.35">
      <c r="A1060" s="872"/>
      <c r="B1060" s="874"/>
      <c r="C1060" s="874"/>
      <c r="D1060" s="874"/>
      <c r="E1060" s="874"/>
      <c r="F1060" s="698" t="s">
        <v>6847</v>
      </c>
      <c r="G1060" s="698">
        <v>105921</v>
      </c>
      <c r="H1060" s="700"/>
      <c r="I1060" s="553">
        <v>858</v>
      </c>
      <c r="J1060" s="698">
        <v>34984.200000000004</v>
      </c>
      <c r="K1060" s="884"/>
      <c r="L1060" s="880"/>
    </row>
    <row r="1061" spans="1:12" ht="15" thickBot="1" x14ac:dyDescent="0.35">
      <c r="A1061" s="696">
        <v>557</v>
      </c>
      <c r="B1061" s="698">
        <v>19939.25</v>
      </c>
      <c r="C1061" s="693" t="s">
        <v>6848</v>
      </c>
      <c r="D1061" s="693">
        <f t="shared" ref="D1061:E1063" si="726">+I1061</f>
        <v>557</v>
      </c>
      <c r="E1061" s="693">
        <f t="shared" si="726"/>
        <v>19326.7</v>
      </c>
      <c r="F1061" s="698" t="s">
        <v>6849</v>
      </c>
      <c r="G1061" s="698">
        <v>105951</v>
      </c>
      <c r="H1061" s="700"/>
      <c r="I1061" s="553">
        <v>557</v>
      </c>
      <c r="J1061" s="698">
        <v>19326.7</v>
      </c>
      <c r="K1061" s="54">
        <f t="shared" ref="K1061:K1063" si="727">+A1061-D1061</f>
        <v>0</v>
      </c>
      <c r="L1061" s="31">
        <f t="shared" ref="L1061:L1063" si="728">((+B1061/A1061)-(E1061/D1061))/(B1061/A1061)</f>
        <v>3.0720814473964714E-2</v>
      </c>
    </row>
    <row r="1062" spans="1:12" ht="15" thickBot="1" x14ac:dyDescent="0.35">
      <c r="A1062" s="178">
        <v>1200</v>
      </c>
      <c r="B1062" s="45">
        <v>49616.2</v>
      </c>
      <c r="C1062" s="8" t="s">
        <v>6850</v>
      </c>
      <c r="D1062" s="8">
        <v>1200</v>
      </c>
      <c r="E1062" s="8">
        <v>49924.4</v>
      </c>
      <c r="F1062" s="45" t="s">
        <v>6851</v>
      </c>
      <c r="G1062" s="45">
        <v>105991</v>
      </c>
      <c r="H1062" s="14"/>
      <c r="I1062" s="554">
        <v>500</v>
      </c>
      <c r="J1062" s="45">
        <v>20665.199999999997</v>
      </c>
      <c r="K1062" s="54">
        <f t="shared" si="727"/>
        <v>0</v>
      </c>
      <c r="L1062" s="31">
        <f t="shared" si="728"/>
        <v>-6.2116808622991668E-3</v>
      </c>
    </row>
    <row r="1063" spans="1:12" ht="15" thickBot="1" x14ac:dyDescent="0.35">
      <c r="A1063" s="178">
        <v>769</v>
      </c>
      <c r="B1063" s="45">
        <v>31442.799999999999</v>
      </c>
      <c r="C1063" s="8" t="s">
        <v>6852</v>
      </c>
      <c r="D1063" s="8">
        <f t="shared" si="726"/>
        <v>769</v>
      </c>
      <c r="E1063" s="8">
        <f t="shared" si="726"/>
        <v>30022.399999999998</v>
      </c>
      <c r="F1063" s="45" t="s">
        <v>6853</v>
      </c>
      <c r="G1063" s="45">
        <v>106001</v>
      </c>
      <c r="H1063" s="14"/>
      <c r="I1063" s="554">
        <v>769</v>
      </c>
      <c r="J1063" s="45">
        <v>30022.399999999998</v>
      </c>
      <c r="K1063" s="54">
        <f t="shared" si="727"/>
        <v>0</v>
      </c>
      <c r="L1063" s="31">
        <f t="shared" si="728"/>
        <v>4.5174093910211537E-2</v>
      </c>
    </row>
    <row r="1064" spans="1:12" ht="15" thickBot="1" x14ac:dyDescent="0.35">
      <c r="A1064" s="178">
        <v>1333</v>
      </c>
      <c r="B1064" s="45">
        <v>49433.75</v>
      </c>
      <c r="C1064" s="8" t="s">
        <v>6933</v>
      </c>
      <c r="D1064" s="8">
        <v>1333</v>
      </c>
      <c r="E1064" s="8">
        <v>48642.400000000001</v>
      </c>
      <c r="F1064" s="45" t="s">
        <v>6935</v>
      </c>
      <c r="G1064" s="45">
        <v>106031</v>
      </c>
      <c r="H1064" s="14"/>
      <c r="I1064" s="554">
        <v>769</v>
      </c>
      <c r="J1064" s="45">
        <v>30022.399999999998</v>
      </c>
      <c r="K1064" s="54">
        <f t="shared" ref="K1064:K1066" si="729">+A1064-D1064</f>
        <v>0</v>
      </c>
      <c r="L1064" s="31">
        <f t="shared" ref="L1064:L1066" si="730">((+B1064/A1064)-(E1064/D1064))/(B1064/A1064)</f>
        <v>1.6008293928743089E-2</v>
      </c>
    </row>
    <row r="1065" spans="1:12" ht="15" thickBot="1" x14ac:dyDescent="0.35">
      <c r="A1065" s="178">
        <v>1552</v>
      </c>
      <c r="B1065" s="45">
        <v>61397</v>
      </c>
      <c r="C1065" s="8" t="s">
        <v>6934</v>
      </c>
      <c r="D1065" s="8">
        <v>1552</v>
      </c>
      <c r="E1065" s="8">
        <v>60560.7</v>
      </c>
      <c r="F1065" s="45" t="s">
        <v>6936</v>
      </c>
      <c r="G1065" s="45">
        <v>106081</v>
      </c>
      <c r="H1065" s="14"/>
      <c r="I1065" s="554">
        <v>769</v>
      </c>
      <c r="J1065" s="45">
        <v>30022.399999999998</v>
      </c>
      <c r="K1065" s="54">
        <f t="shared" si="729"/>
        <v>0</v>
      </c>
      <c r="L1065" s="31">
        <f t="shared" si="730"/>
        <v>1.3621186702933361E-2</v>
      </c>
    </row>
    <row r="1066" spans="1:12" x14ac:dyDescent="0.3">
      <c r="A1066" s="938">
        <v>690</v>
      </c>
      <c r="B1066" s="955">
        <v>28775.75</v>
      </c>
      <c r="C1066" s="957" t="s">
        <v>6967</v>
      </c>
      <c r="D1066" s="873">
        <f>+I1067+I1066</f>
        <v>689</v>
      </c>
      <c r="E1066" s="873">
        <f>+J1067+J1066</f>
        <v>28556</v>
      </c>
      <c r="F1066" s="748" t="s">
        <v>6968</v>
      </c>
      <c r="G1066" s="748">
        <v>106101</v>
      </c>
      <c r="H1066" s="40"/>
      <c r="I1066" s="762">
        <v>200</v>
      </c>
      <c r="J1066" s="748">
        <v>8171.4</v>
      </c>
      <c r="K1066" s="882">
        <f t="shared" si="729"/>
        <v>1</v>
      </c>
      <c r="L1066" s="879">
        <f t="shared" si="730"/>
        <v>6.1963433344178398E-3</v>
      </c>
    </row>
    <row r="1067" spans="1:12" ht="15" thickBot="1" x14ac:dyDescent="0.35">
      <c r="A1067" s="939"/>
      <c r="B1067" s="956"/>
      <c r="C1067" s="958"/>
      <c r="D1067" s="874"/>
      <c r="E1067" s="874"/>
      <c r="F1067" s="749" t="s">
        <v>6968</v>
      </c>
      <c r="G1067" s="749">
        <v>106101</v>
      </c>
      <c r="H1067" s="754"/>
      <c r="I1067" s="763">
        <v>489</v>
      </c>
      <c r="J1067" s="749">
        <v>20384.599999999999</v>
      </c>
      <c r="K1067" s="884"/>
      <c r="L1067" s="880"/>
    </row>
    <row r="1068" spans="1:12" x14ac:dyDescent="0.3">
      <c r="A1068" s="875">
        <v>1418</v>
      </c>
      <c r="B1068" s="881">
        <v>57914.7</v>
      </c>
      <c r="C1068" s="959" t="s">
        <v>6969</v>
      </c>
      <c r="D1068" s="881">
        <f>+I1068+I1069</f>
        <v>1418</v>
      </c>
      <c r="E1068" s="881">
        <f>+J1068+J1069</f>
        <v>57816</v>
      </c>
      <c r="F1068" s="50" t="s">
        <v>6970</v>
      </c>
      <c r="G1068" s="50">
        <v>106111</v>
      </c>
      <c r="I1068" s="764">
        <v>800</v>
      </c>
      <c r="J1068" s="50">
        <v>32627.3</v>
      </c>
      <c r="K1068" s="882">
        <f t="shared" ref="K1068" si="731">+A1068-D1068</f>
        <v>0</v>
      </c>
      <c r="L1068" s="879">
        <f t="shared" ref="L1068" si="732">((+B1068/A1068)-(E1068/D1068))/(B1068/A1068)</f>
        <v>1.7042305321446406E-3</v>
      </c>
    </row>
    <row r="1069" spans="1:12" ht="15" thickBot="1" x14ac:dyDescent="0.35">
      <c r="A1069" s="872"/>
      <c r="B1069" s="874"/>
      <c r="C1069" s="958"/>
      <c r="D1069" s="874"/>
      <c r="E1069" s="874"/>
      <c r="F1069" s="749" t="s">
        <v>6970</v>
      </c>
      <c r="G1069" s="749">
        <v>106111</v>
      </c>
      <c r="H1069" s="754"/>
      <c r="I1069" s="763">
        <v>618</v>
      </c>
      <c r="J1069" s="749">
        <v>25188.699999999997</v>
      </c>
      <c r="K1069" s="884"/>
      <c r="L1069" s="880"/>
    </row>
    <row r="1070" spans="1:12" ht="15" thickBot="1" x14ac:dyDescent="0.35">
      <c r="A1070" s="178">
        <v>170</v>
      </c>
      <c r="B1070" s="45">
        <v>7134.5</v>
      </c>
      <c r="C1070" s="765" t="s">
        <v>6971</v>
      </c>
      <c r="D1070" s="8">
        <f>+I1070</f>
        <v>170</v>
      </c>
      <c r="E1070" s="8">
        <f>+J1070</f>
        <v>6862.9</v>
      </c>
      <c r="F1070" s="45" t="s">
        <v>6972</v>
      </c>
      <c r="G1070" s="45">
        <v>106131</v>
      </c>
      <c r="H1070" s="14"/>
      <c r="I1070" s="766">
        <v>170</v>
      </c>
      <c r="J1070" s="45">
        <v>6862.9</v>
      </c>
      <c r="K1070" s="54">
        <f t="shared" ref="K1070:K1072" si="733">+A1070-D1070</f>
        <v>0</v>
      </c>
      <c r="L1070" s="31">
        <f t="shared" ref="L1070:L1072" si="734">((+B1070/A1070)-(E1070/D1070))/(B1070/A1070)</f>
        <v>3.8068540192024755E-2</v>
      </c>
    </row>
    <row r="1071" spans="1:12" ht="15" thickBot="1" x14ac:dyDescent="0.35">
      <c r="A1071" s="178">
        <v>179</v>
      </c>
      <c r="B1071" s="45">
        <v>7947</v>
      </c>
      <c r="C1071" s="765" t="s">
        <v>6973</v>
      </c>
      <c r="D1071" s="8">
        <f t="shared" ref="D1071:E1072" si="735">+I1071</f>
        <v>179</v>
      </c>
      <c r="E1071" s="8">
        <f t="shared" si="735"/>
        <v>7913.9</v>
      </c>
      <c r="F1071" s="45" t="s">
        <v>6974</v>
      </c>
      <c r="G1071" s="45">
        <v>106191</v>
      </c>
      <c r="H1071" s="14"/>
      <c r="I1071" s="45">
        <v>179</v>
      </c>
      <c r="J1071" s="45">
        <v>7913.9</v>
      </c>
      <c r="K1071" s="54">
        <f t="shared" si="733"/>
        <v>0</v>
      </c>
      <c r="L1071" s="31">
        <f t="shared" si="734"/>
        <v>4.1650937460678437E-3</v>
      </c>
    </row>
    <row r="1072" spans="1:12" ht="15" thickBot="1" x14ac:dyDescent="0.35">
      <c r="A1072" s="744">
        <v>853</v>
      </c>
      <c r="B1072" s="749">
        <v>35669.5</v>
      </c>
      <c r="C1072" s="767" t="s">
        <v>6975</v>
      </c>
      <c r="D1072" s="8">
        <f t="shared" si="735"/>
        <v>854</v>
      </c>
      <c r="E1072" s="8">
        <f t="shared" si="735"/>
        <v>35289.5</v>
      </c>
      <c r="F1072" s="749" t="s">
        <v>6976</v>
      </c>
      <c r="G1072" s="749">
        <v>106201</v>
      </c>
      <c r="H1072" s="754"/>
      <c r="I1072" s="749">
        <v>854</v>
      </c>
      <c r="J1072" s="749">
        <v>35289.5</v>
      </c>
      <c r="K1072" s="54">
        <f t="shared" si="733"/>
        <v>-1</v>
      </c>
      <c r="L1072" s="31">
        <f t="shared" si="734"/>
        <v>1.1811844840314998E-2</v>
      </c>
    </row>
    <row r="1073" spans="1:12" x14ac:dyDescent="0.3">
      <c r="A1073" s="871">
        <v>391</v>
      </c>
      <c r="B1073" s="873">
        <v>17537.75</v>
      </c>
      <c r="C1073" s="957" t="s">
        <v>6977</v>
      </c>
      <c r="D1073" s="873">
        <f>+I1073+I1074</f>
        <v>391</v>
      </c>
      <c r="E1073" s="873">
        <f>+J1073+J1074</f>
        <v>17540.8</v>
      </c>
      <c r="F1073" s="734" t="s">
        <v>6978</v>
      </c>
      <c r="G1073" s="734">
        <v>106211</v>
      </c>
      <c r="H1073" s="40"/>
      <c r="I1073" s="762">
        <v>191</v>
      </c>
      <c r="J1073" s="748">
        <v>8509.5</v>
      </c>
      <c r="K1073" s="882">
        <f t="shared" ref="K1073" si="736">+A1073-D1073</f>
        <v>0</v>
      </c>
      <c r="L1073" s="879">
        <f t="shared" ref="L1073" si="737">((+B1073/A1073)-(E1073/D1073))/(B1073/A1073)</f>
        <v>-1.7391056435409164E-4</v>
      </c>
    </row>
    <row r="1074" spans="1:12" ht="15" thickBot="1" x14ac:dyDescent="0.35">
      <c r="A1074" s="872"/>
      <c r="B1074" s="874"/>
      <c r="C1074" s="958"/>
      <c r="D1074" s="874"/>
      <c r="E1074" s="874"/>
      <c r="F1074" s="736" t="s">
        <v>6978</v>
      </c>
      <c r="G1074" s="736">
        <v>106211</v>
      </c>
      <c r="H1074" s="754"/>
      <c r="I1074" s="763">
        <v>200</v>
      </c>
      <c r="J1074" s="768">
        <v>9031.2999999999993</v>
      </c>
      <c r="K1074" s="884"/>
      <c r="L1074" s="880"/>
    </row>
    <row r="1075" spans="1:12" x14ac:dyDescent="0.3">
      <c r="A1075" s="871">
        <v>2009</v>
      </c>
      <c r="B1075" s="873">
        <v>75859.199999999997</v>
      </c>
      <c r="C1075" s="957" t="s">
        <v>6979</v>
      </c>
      <c r="D1075" s="873">
        <f>+I1075+I1076+I1077</f>
        <v>2008</v>
      </c>
      <c r="E1075" s="873">
        <f>+J1075+J1076+J1077</f>
        <v>74397.7</v>
      </c>
      <c r="F1075" s="748" t="s">
        <v>6980</v>
      </c>
      <c r="G1075" s="748">
        <v>106251</v>
      </c>
      <c r="H1075" s="40"/>
      <c r="I1075" s="762">
        <v>500</v>
      </c>
      <c r="J1075" s="748">
        <v>18216.099999999999</v>
      </c>
      <c r="K1075" s="882">
        <f t="shared" ref="K1075" si="738">+A1075-D1075</f>
        <v>1</v>
      </c>
      <c r="L1075" s="879">
        <f t="shared" ref="L1075" si="739">((+B1075/A1075)-(E1075/D1075))/(B1075/A1075)</f>
        <v>1.8777542507561879E-2</v>
      </c>
    </row>
    <row r="1076" spans="1:12" x14ac:dyDescent="0.3">
      <c r="A1076" s="875"/>
      <c r="B1076" s="881"/>
      <c r="C1076" s="959"/>
      <c r="D1076" s="881"/>
      <c r="E1076" s="881"/>
      <c r="F1076" s="50" t="s">
        <v>6980</v>
      </c>
      <c r="G1076" s="50">
        <v>106251</v>
      </c>
      <c r="I1076" s="764">
        <v>509</v>
      </c>
      <c r="J1076" s="50">
        <v>19298.8</v>
      </c>
      <c r="K1076" s="883"/>
      <c r="L1076" s="885"/>
    </row>
    <row r="1077" spans="1:12" ht="15" thickBot="1" x14ac:dyDescent="0.35">
      <c r="A1077" s="872"/>
      <c r="B1077" s="874"/>
      <c r="C1077" s="958"/>
      <c r="D1077" s="874"/>
      <c r="E1077" s="874"/>
      <c r="F1077" s="749" t="s">
        <v>6980</v>
      </c>
      <c r="G1077" s="749">
        <v>106252</v>
      </c>
      <c r="H1077" s="754"/>
      <c r="I1077" s="763">
        <v>999</v>
      </c>
      <c r="J1077" s="749">
        <v>36882.800000000003</v>
      </c>
      <c r="K1077" s="884"/>
      <c r="L1077" s="880"/>
    </row>
    <row r="1078" spans="1:12" ht="15" thickBot="1" x14ac:dyDescent="0.35">
      <c r="A1078" s="178">
        <v>220</v>
      </c>
      <c r="B1078" s="45">
        <v>9228.6</v>
      </c>
      <c r="C1078" s="8" t="s">
        <v>6981</v>
      </c>
      <c r="D1078" s="8">
        <f>+I1078</f>
        <v>220</v>
      </c>
      <c r="E1078" s="8">
        <f>+J1078</f>
        <v>9117.9</v>
      </c>
      <c r="F1078" s="45" t="s">
        <v>6982</v>
      </c>
      <c r="G1078" s="45">
        <v>106261</v>
      </c>
      <c r="H1078" s="14"/>
      <c r="I1078" s="766">
        <v>220</v>
      </c>
      <c r="J1078" s="45">
        <v>9117.9</v>
      </c>
      <c r="K1078" s="54">
        <f t="shared" ref="K1078:K1079" si="740">+A1078-D1078</f>
        <v>0</v>
      </c>
      <c r="L1078" s="31">
        <f t="shared" ref="L1078:L1079" si="741">((+B1078/A1078)-(E1078/D1078))/(B1078/A1078)</f>
        <v>1.1995318899941586E-2</v>
      </c>
    </row>
    <row r="1079" spans="1:12" x14ac:dyDescent="0.3">
      <c r="A1079" s="871">
        <v>3610</v>
      </c>
      <c r="B1079" s="873">
        <v>150309</v>
      </c>
      <c r="C1079" s="873" t="s">
        <v>6983</v>
      </c>
      <c r="D1079" s="873">
        <f>SUM(I1079:I1085)</f>
        <v>3610</v>
      </c>
      <c r="E1079" s="873">
        <f>SUM(J1079:J1085)</f>
        <v>152982.29999999999</v>
      </c>
      <c r="F1079" s="748" t="s">
        <v>6984</v>
      </c>
      <c r="G1079" s="748">
        <v>106291</v>
      </c>
      <c r="H1079" s="40"/>
      <c r="I1079" s="762">
        <v>685</v>
      </c>
      <c r="J1079" s="748">
        <v>29201.9</v>
      </c>
      <c r="K1079" s="877">
        <f t="shared" si="740"/>
        <v>0</v>
      </c>
      <c r="L1079" s="879">
        <f t="shared" si="741"/>
        <v>-1.7785362153962838E-2</v>
      </c>
    </row>
    <row r="1080" spans="1:12" x14ac:dyDescent="0.3">
      <c r="A1080" s="875"/>
      <c r="B1080" s="881"/>
      <c r="C1080" s="881"/>
      <c r="D1080" s="881"/>
      <c r="E1080" s="881"/>
      <c r="F1080" s="50" t="s">
        <v>6984</v>
      </c>
      <c r="G1080" s="50">
        <v>106292</v>
      </c>
      <c r="I1080" s="764">
        <v>1000</v>
      </c>
      <c r="J1080" s="50">
        <v>42459.1</v>
      </c>
      <c r="K1080" s="886"/>
      <c r="L1080" s="885"/>
    </row>
    <row r="1081" spans="1:12" x14ac:dyDescent="0.3">
      <c r="A1081" s="875"/>
      <c r="B1081" s="881"/>
      <c r="C1081" s="881"/>
      <c r="D1081" s="881"/>
      <c r="E1081" s="881"/>
      <c r="F1081" s="50" t="s">
        <v>6984</v>
      </c>
      <c r="G1081" s="50">
        <v>106292</v>
      </c>
      <c r="I1081" s="764">
        <v>125</v>
      </c>
      <c r="J1081" s="50">
        <v>5337</v>
      </c>
      <c r="K1081" s="886"/>
      <c r="L1081" s="885"/>
    </row>
    <row r="1082" spans="1:12" x14ac:dyDescent="0.3">
      <c r="A1082" s="875"/>
      <c r="B1082" s="881"/>
      <c r="C1082" s="881"/>
      <c r="D1082" s="881"/>
      <c r="E1082" s="881"/>
      <c r="F1082" s="50" t="s">
        <v>6984</v>
      </c>
      <c r="G1082" s="50">
        <v>106293</v>
      </c>
      <c r="I1082" s="764">
        <v>550</v>
      </c>
      <c r="J1082" s="50">
        <v>23188.799999999999</v>
      </c>
      <c r="K1082" s="886"/>
      <c r="L1082" s="885"/>
    </row>
    <row r="1083" spans="1:12" x14ac:dyDescent="0.3">
      <c r="A1083" s="875"/>
      <c r="B1083" s="881"/>
      <c r="C1083" s="881"/>
      <c r="D1083" s="881"/>
      <c r="E1083" s="881"/>
      <c r="F1083" s="50" t="s">
        <v>6984</v>
      </c>
      <c r="G1083" s="50">
        <v>106293</v>
      </c>
      <c r="I1083" s="764">
        <v>400</v>
      </c>
      <c r="J1083" s="50">
        <v>16602.2</v>
      </c>
      <c r="K1083" s="886"/>
      <c r="L1083" s="885"/>
    </row>
    <row r="1084" spans="1:12" x14ac:dyDescent="0.3">
      <c r="A1084" s="875"/>
      <c r="B1084" s="881"/>
      <c r="C1084" s="881"/>
      <c r="D1084" s="881"/>
      <c r="E1084" s="881"/>
      <c r="F1084" s="50" t="s">
        <v>6984</v>
      </c>
      <c r="G1084" s="50">
        <v>106293</v>
      </c>
      <c r="I1084" s="764">
        <v>175</v>
      </c>
      <c r="J1084" s="50">
        <v>7098</v>
      </c>
      <c r="K1084" s="886"/>
      <c r="L1084" s="885"/>
    </row>
    <row r="1085" spans="1:12" ht="15" thickBot="1" x14ac:dyDescent="0.35">
      <c r="A1085" s="872"/>
      <c r="B1085" s="874"/>
      <c r="C1085" s="874"/>
      <c r="D1085" s="874"/>
      <c r="E1085" s="874"/>
      <c r="F1085" s="749" t="s">
        <v>6984</v>
      </c>
      <c r="G1085" s="749">
        <v>106291</v>
      </c>
      <c r="H1085" s="754"/>
      <c r="I1085" s="763">
        <v>675</v>
      </c>
      <c r="J1085" s="749">
        <v>29095.300000000003</v>
      </c>
      <c r="K1085" s="878"/>
      <c r="L1085" s="880"/>
    </row>
    <row r="1086" spans="1:12" ht="15" thickBot="1" x14ac:dyDescent="0.35">
      <c r="A1086" s="8">
        <v>440</v>
      </c>
      <c r="B1086" s="8">
        <v>18424.599999999999</v>
      </c>
      <c r="C1086" s="8" t="s">
        <v>6985</v>
      </c>
      <c r="D1086" s="8">
        <f t="shared" ref="D1086:E1094" si="742">+I1086</f>
        <v>440</v>
      </c>
      <c r="E1086" s="8">
        <f t="shared" si="742"/>
        <v>17964</v>
      </c>
      <c r="F1086" s="45" t="s">
        <v>6986</v>
      </c>
      <c r="G1086" s="45">
        <v>106311</v>
      </c>
      <c r="H1086" s="14"/>
      <c r="I1086" s="766">
        <v>440</v>
      </c>
      <c r="J1086" s="45">
        <v>17964</v>
      </c>
      <c r="K1086" s="54">
        <f t="shared" ref="K1086:K1095" si="743">+A1086-D1086</f>
        <v>0</v>
      </c>
      <c r="L1086" s="31">
        <f t="shared" ref="L1086:L1095" si="744">((+B1086/A1086)-(E1086/D1086))/(B1086/A1086)</f>
        <v>2.4999185871063524E-2</v>
      </c>
    </row>
    <row r="1087" spans="1:12" ht="15" thickBot="1" x14ac:dyDescent="0.35">
      <c r="A1087" s="8">
        <v>905</v>
      </c>
      <c r="B1087" s="8">
        <v>37747.25</v>
      </c>
      <c r="C1087" s="8" t="s">
        <v>6987</v>
      </c>
      <c r="D1087" s="8">
        <f t="shared" si="742"/>
        <v>905</v>
      </c>
      <c r="E1087" s="8">
        <f t="shared" si="742"/>
        <v>37990.200000000004</v>
      </c>
      <c r="F1087" s="45" t="s">
        <v>6988</v>
      </c>
      <c r="G1087" s="45">
        <v>106351</v>
      </c>
      <c r="H1087" s="14"/>
      <c r="I1087" s="766">
        <v>905</v>
      </c>
      <c r="J1087" s="45">
        <v>37990.200000000004</v>
      </c>
      <c r="K1087" s="54">
        <f t="shared" si="743"/>
        <v>0</v>
      </c>
      <c r="L1087" s="31">
        <f t="shared" si="744"/>
        <v>-6.4362304538742665E-3</v>
      </c>
    </row>
    <row r="1088" spans="1:12" ht="15" thickBot="1" x14ac:dyDescent="0.35">
      <c r="A1088" s="8">
        <v>80</v>
      </c>
      <c r="B1088" s="8">
        <v>3615.25</v>
      </c>
      <c r="C1088" s="8" t="s">
        <v>6989</v>
      </c>
      <c r="D1088" s="8">
        <f t="shared" si="742"/>
        <v>80</v>
      </c>
      <c r="E1088" s="8">
        <f t="shared" si="742"/>
        <v>3559.1</v>
      </c>
      <c r="F1088" s="45" t="s">
        <v>7171</v>
      </c>
      <c r="G1088" s="45">
        <v>106461</v>
      </c>
      <c r="H1088" s="14"/>
      <c r="I1088" s="766">
        <v>80</v>
      </c>
      <c r="J1088" s="45">
        <v>3559.1</v>
      </c>
      <c r="K1088" s="54">
        <f t="shared" si="743"/>
        <v>0</v>
      </c>
      <c r="L1088" s="31">
        <f t="shared" si="744"/>
        <v>1.553142936173158E-2</v>
      </c>
    </row>
    <row r="1089" spans="1:12" ht="15" thickBot="1" x14ac:dyDescent="0.35">
      <c r="A1089" s="8">
        <v>80</v>
      </c>
      <c r="B1089" s="8">
        <v>3336.25</v>
      </c>
      <c r="C1089" s="8" t="s">
        <v>6990</v>
      </c>
      <c r="D1089" s="8">
        <f t="shared" si="742"/>
        <v>80</v>
      </c>
      <c r="E1089" s="8">
        <f t="shared" si="742"/>
        <v>3295.3</v>
      </c>
      <c r="F1089" s="45" t="s">
        <v>6991</v>
      </c>
      <c r="G1089" s="45">
        <v>106471</v>
      </c>
      <c r="H1089" s="14"/>
      <c r="I1089" s="766">
        <v>80</v>
      </c>
      <c r="J1089" s="45">
        <v>3295.3</v>
      </c>
      <c r="K1089" s="54">
        <f t="shared" si="743"/>
        <v>0</v>
      </c>
      <c r="L1089" s="31">
        <f t="shared" si="744"/>
        <v>1.227426002248024E-2</v>
      </c>
    </row>
    <row r="1090" spans="1:12" ht="15" thickBot="1" x14ac:dyDescent="0.35">
      <c r="A1090" s="8">
        <v>212</v>
      </c>
      <c r="B1090" s="8">
        <v>8931.4</v>
      </c>
      <c r="C1090" s="8" t="s">
        <v>6992</v>
      </c>
      <c r="D1090" s="8">
        <f t="shared" si="742"/>
        <v>212</v>
      </c>
      <c r="E1090" s="8">
        <f t="shared" si="742"/>
        <v>9064.8000000000011</v>
      </c>
      <c r="F1090" s="45" t="s">
        <v>6993</v>
      </c>
      <c r="G1090" s="45">
        <v>106481</v>
      </c>
      <c r="H1090" s="14"/>
      <c r="I1090" s="766">
        <v>212</v>
      </c>
      <c r="J1090" s="45">
        <v>9064.8000000000011</v>
      </c>
      <c r="K1090" s="54">
        <f t="shared" si="743"/>
        <v>0</v>
      </c>
      <c r="L1090" s="31">
        <f t="shared" si="744"/>
        <v>-1.4936068253577435E-2</v>
      </c>
    </row>
    <row r="1091" spans="1:12" ht="15" thickBot="1" x14ac:dyDescent="0.35">
      <c r="A1091" s="8">
        <v>292</v>
      </c>
      <c r="B1091" s="8">
        <v>11405.7</v>
      </c>
      <c r="C1091" s="8" t="s">
        <v>6994</v>
      </c>
      <c r="D1091" s="8">
        <f t="shared" si="742"/>
        <v>292</v>
      </c>
      <c r="E1091" s="8">
        <f t="shared" si="742"/>
        <v>11412.900000000001</v>
      </c>
      <c r="F1091" s="45" t="s">
        <v>6995</v>
      </c>
      <c r="G1091" s="45">
        <v>106491</v>
      </c>
      <c r="H1091" s="14"/>
      <c r="I1091" s="766">
        <v>292</v>
      </c>
      <c r="J1091" s="45">
        <v>11412.900000000001</v>
      </c>
      <c r="K1091" s="54">
        <f t="shared" si="743"/>
        <v>0</v>
      </c>
      <c r="L1091" s="31">
        <f t="shared" si="744"/>
        <v>-6.3126331571065702E-4</v>
      </c>
    </row>
    <row r="1092" spans="1:12" ht="15" thickBot="1" x14ac:dyDescent="0.35">
      <c r="A1092" s="8">
        <v>933</v>
      </c>
      <c r="B1092" s="8">
        <v>40938.5</v>
      </c>
      <c r="C1092" s="8" t="s">
        <v>6996</v>
      </c>
      <c r="D1092" s="8">
        <f t="shared" si="742"/>
        <v>933</v>
      </c>
      <c r="E1092" s="8">
        <f t="shared" si="742"/>
        <v>40934.400000000001</v>
      </c>
      <c r="F1092" s="45" t="s">
        <v>6997</v>
      </c>
      <c r="G1092" s="45">
        <v>106501</v>
      </c>
      <c r="H1092" s="14"/>
      <c r="I1092" s="769">
        <v>933</v>
      </c>
      <c r="J1092" s="45">
        <v>40934.400000000001</v>
      </c>
      <c r="K1092" s="54">
        <f t="shared" si="743"/>
        <v>0</v>
      </c>
      <c r="L1092" s="31">
        <f t="shared" si="744"/>
        <v>1.001502253380362E-4</v>
      </c>
    </row>
    <row r="1093" spans="1:12" ht="15" thickBot="1" x14ac:dyDescent="0.35">
      <c r="A1093" s="8">
        <v>522</v>
      </c>
      <c r="B1093" s="8">
        <v>19865.5</v>
      </c>
      <c r="C1093" s="8" t="s">
        <v>6998</v>
      </c>
      <c r="D1093" s="8">
        <f t="shared" si="742"/>
        <v>522</v>
      </c>
      <c r="E1093" s="8">
        <f t="shared" si="742"/>
        <v>19279.099999999999</v>
      </c>
      <c r="F1093" s="45" t="s">
        <v>6999</v>
      </c>
      <c r="G1093" s="45">
        <v>106511</v>
      </c>
      <c r="H1093" s="14"/>
      <c r="I1093" s="769">
        <v>522</v>
      </c>
      <c r="J1093" s="45">
        <v>19279.099999999999</v>
      </c>
      <c r="K1093" s="54">
        <f t="shared" si="743"/>
        <v>0</v>
      </c>
      <c r="L1093" s="31">
        <f t="shared" si="744"/>
        <v>2.9518511993154157E-2</v>
      </c>
    </row>
    <row r="1094" spans="1:12" ht="15" thickBot="1" x14ac:dyDescent="0.35">
      <c r="A1094" s="734">
        <v>1169</v>
      </c>
      <c r="B1094" s="734">
        <v>40837</v>
      </c>
      <c r="C1094" s="734" t="s">
        <v>7000</v>
      </c>
      <c r="D1094" s="734">
        <f t="shared" si="742"/>
        <v>1170</v>
      </c>
      <c r="E1094" s="734">
        <f t="shared" si="742"/>
        <v>40616.699999999997</v>
      </c>
      <c r="F1094" s="748" t="s">
        <v>7001</v>
      </c>
      <c r="G1094" s="748">
        <v>106521</v>
      </c>
      <c r="H1094" s="40"/>
      <c r="I1094" s="758">
        <v>1170</v>
      </c>
      <c r="J1094" s="748">
        <v>40616.699999999997</v>
      </c>
      <c r="K1094" s="54">
        <f t="shared" si="743"/>
        <v>-1</v>
      </c>
      <c r="L1094" s="31">
        <f t="shared" si="744"/>
        <v>6.2447076965774515E-3</v>
      </c>
    </row>
    <row r="1095" spans="1:12" x14ac:dyDescent="0.3">
      <c r="A1095" s="871">
        <v>1638</v>
      </c>
      <c r="B1095" s="873">
        <v>70247</v>
      </c>
      <c r="C1095" s="873" t="s">
        <v>7002</v>
      </c>
      <c r="D1095" s="873">
        <f>+I1095+I1096+I1097</f>
        <v>1631</v>
      </c>
      <c r="E1095" s="873">
        <f>+J1095+J1096+J1097</f>
        <v>70043.600000000006</v>
      </c>
      <c r="F1095" s="748" t="s">
        <v>7003</v>
      </c>
      <c r="G1095" s="748">
        <v>106551</v>
      </c>
      <c r="H1095" s="40"/>
      <c r="I1095" s="770">
        <v>431</v>
      </c>
      <c r="J1095" s="748">
        <v>18227.599999999999</v>
      </c>
      <c r="K1095" s="882">
        <f t="shared" si="743"/>
        <v>7</v>
      </c>
      <c r="L1095" s="879">
        <f t="shared" si="744"/>
        <v>-1.383921149841017E-3</v>
      </c>
    </row>
    <row r="1096" spans="1:12" x14ac:dyDescent="0.3">
      <c r="A1096" s="875"/>
      <c r="B1096" s="881"/>
      <c r="C1096" s="881"/>
      <c r="D1096" s="881"/>
      <c r="E1096" s="881"/>
      <c r="F1096" s="50" t="s">
        <v>7003</v>
      </c>
      <c r="G1096" s="50">
        <v>106551</v>
      </c>
      <c r="I1096" s="771">
        <v>610</v>
      </c>
      <c r="J1096" s="50">
        <v>26492.6</v>
      </c>
      <c r="K1096" s="883"/>
      <c r="L1096" s="885"/>
    </row>
    <row r="1097" spans="1:12" ht="15" thickBot="1" x14ac:dyDescent="0.35">
      <c r="A1097" s="872"/>
      <c r="B1097" s="874"/>
      <c r="C1097" s="874"/>
      <c r="D1097" s="874"/>
      <c r="E1097" s="874"/>
      <c r="F1097" s="749" t="s">
        <v>7003</v>
      </c>
      <c r="G1097" s="749">
        <v>106552</v>
      </c>
      <c r="H1097" s="754"/>
      <c r="I1097" s="772">
        <v>590</v>
      </c>
      <c r="J1097" s="749">
        <v>25323.4</v>
      </c>
      <c r="K1097" s="884"/>
      <c r="L1097" s="880"/>
    </row>
    <row r="1098" spans="1:12" x14ac:dyDescent="0.3">
      <c r="A1098" s="871">
        <v>2052</v>
      </c>
      <c r="B1098" s="873">
        <v>92653.5</v>
      </c>
      <c r="C1098" s="873" t="s">
        <v>7004</v>
      </c>
      <c r="D1098" s="873">
        <v>2052</v>
      </c>
      <c r="E1098" s="873">
        <v>87919.9</v>
      </c>
      <c r="F1098" s="748" t="s">
        <v>7005</v>
      </c>
      <c r="G1098" s="748">
        <v>106561</v>
      </c>
      <c r="H1098" s="40"/>
      <c r="I1098" s="770">
        <v>201</v>
      </c>
      <c r="J1098" s="748">
        <v>8535.7000000000007</v>
      </c>
      <c r="K1098" s="882">
        <f t="shared" ref="K1098" si="745">+A1098-D1098</f>
        <v>0</v>
      </c>
      <c r="L1098" s="879">
        <f t="shared" ref="L1098" si="746">((+B1098/A1098)-(E1098/D1098))/(B1098/A1098)</f>
        <v>5.1089273475907644E-2</v>
      </c>
    </row>
    <row r="1099" spans="1:12" ht="15" thickBot="1" x14ac:dyDescent="0.35">
      <c r="A1099" s="872"/>
      <c r="B1099" s="874"/>
      <c r="C1099" s="874"/>
      <c r="D1099" s="874"/>
      <c r="E1099" s="874"/>
      <c r="F1099" s="749" t="s">
        <v>7005</v>
      </c>
      <c r="G1099" s="749">
        <v>106561</v>
      </c>
      <c r="H1099" s="754"/>
      <c r="I1099" s="772">
        <v>1053</v>
      </c>
      <c r="J1099" s="749">
        <v>48813.4</v>
      </c>
      <c r="K1099" s="884"/>
      <c r="L1099" s="880"/>
    </row>
    <row r="1100" spans="1:12" ht="15" thickBot="1" x14ac:dyDescent="0.35">
      <c r="A1100" s="175">
        <v>198</v>
      </c>
      <c r="B1100" s="8">
        <v>9841.5</v>
      </c>
      <c r="C1100" s="8" t="s">
        <v>7197</v>
      </c>
      <c r="D1100" s="8">
        <f>+I1100</f>
        <v>198</v>
      </c>
      <c r="E1100" s="8">
        <f>+J1100</f>
        <v>9930.6</v>
      </c>
      <c r="F1100" s="45" t="s">
        <v>7198</v>
      </c>
      <c r="G1100" s="45">
        <v>106571</v>
      </c>
      <c r="H1100" s="14"/>
      <c r="I1100" s="773">
        <v>198</v>
      </c>
      <c r="J1100" s="45">
        <v>9930.6</v>
      </c>
      <c r="K1100" s="54">
        <f t="shared" ref="K1100" si="747">+A1100-D1100</f>
        <v>0</v>
      </c>
      <c r="L1100" s="31">
        <f t="shared" ref="L1100" si="748">((+B1100/A1100)-(E1100/D1100))/(B1100/A1100)</f>
        <v>-9.0534979423868879E-3</v>
      </c>
    </row>
    <row r="1101" spans="1:12" ht="15" thickBot="1" x14ac:dyDescent="0.35">
      <c r="A1101" s="178">
        <v>220</v>
      </c>
      <c r="B1101" s="45">
        <v>8320.9</v>
      </c>
      <c r="C1101" s="8" t="s">
        <v>7006</v>
      </c>
      <c r="D1101" s="8">
        <f>+I1101</f>
        <v>222</v>
      </c>
      <c r="E1101" s="8">
        <f>+J1101</f>
        <v>8234.4</v>
      </c>
      <c r="F1101" s="45" t="s">
        <v>7007</v>
      </c>
      <c r="G1101" s="45">
        <v>106601</v>
      </c>
      <c r="H1101" s="14"/>
      <c r="I1101" s="773">
        <v>222</v>
      </c>
      <c r="J1101" s="45">
        <v>8234.4</v>
      </c>
      <c r="K1101" s="54">
        <f t="shared" ref="K1101:K1103" si="749">+A1101-D1101</f>
        <v>-2</v>
      </c>
      <c r="L1101" s="31">
        <f t="shared" ref="L1101:L1103" si="750">((+B1101/A1101)-(E1101/D1101))/(B1101/A1101)</f>
        <v>1.9310865865926004E-2</v>
      </c>
    </row>
    <row r="1102" spans="1:12" ht="15" thickBot="1" x14ac:dyDescent="0.35">
      <c r="A1102" s="178">
        <v>1250</v>
      </c>
      <c r="B1102" s="45">
        <v>47708.9</v>
      </c>
      <c r="C1102" s="8" t="s">
        <v>7008</v>
      </c>
      <c r="D1102" s="8">
        <v>1250</v>
      </c>
      <c r="E1102" s="8">
        <v>46999.9</v>
      </c>
      <c r="F1102" s="45" t="s">
        <v>7009</v>
      </c>
      <c r="G1102" s="45">
        <v>106611</v>
      </c>
      <c r="H1102" s="14"/>
      <c r="I1102" s="773">
        <v>500</v>
      </c>
      <c r="J1102" s="45">
        <v>17980.099999999999</v>
      </c>
      <c r="K1102" s="54">
        <f t="shared" si="749"/>
        <v>0</v>
      </c>
      <c r="L1102" s="31">
        <f t="shared" si="750"/>
        <v>1.4860958856733221E-2</v>
      </c>
    </row>
    <row r="1103" spans="1:12" x14ac:dyDescent="0.3">
      <c r="A1103" s="875">
        <v>2786</v>
      </c>
      <c r="B1103" s="881">
        <v>101543.75</v>
      </c>
      <c r="C1103" s="881" t="s">
        <v>7199</v>
      </c>
      <c r="D1103" s="881">
        <f>+I1103+I1104+I1105</f>
        <v>2786</v>
      </c>
      <c r="E1103" s="881">
        <f>+J1103+J1104+J1105</f>
        <v>101322.5</v>
      </c>
      <c r="F1103" s="50" t="s">
        <v>7200</v>
      </c>
      <c r="G1103" s="50">
        <v>106631</v>
      </c>
      <c r="I1103" s="771">
        <v>400</v>
      </c>
      <c r="J1103" s="50">
        <v>13918.699999999999</v>
      </c>
      <c r="K1103" s="882">
        <f t="shared" si="749"/>
        <v>0</v>
      </c>
      <c r="L1103" s="879">
        <f t="shared" si="750"/>
        <v>2.1788637902381298E-3</v>
      </c>
    </row>
    <row r="1104" spans="1:12" x14ac:dyDescent="0.3">
      <c r="A1104" s="875"/>
      <c r="B1104" s="881"/>
      <c r="C1104" s="881"/>
      <c r="D1104" s="881"/>
      <c r="E1104" s="881"/>
      <c r="F1104" s="50" t="s">
        <v>7200</v>
      </c>
      <c r="G1104" s="50">
        <v>106631</v>
      </c>
      <c r="I1104" s="771">
        <v>1407</v>
      </c>
      <c r="J1104" s="50">
        <v>52325.7</v>
      </c>
      <c r="K1104" s="883"/>
      <c r="L1104" s="885"/>
    </row>
    <row r="1105" spans="1:12" ht="15" thickBot="1" x14ac:dyDescent="0.35">
      <c r="A1105" s="875"/>
      <c r="B1105" s="881"/>
      <c r="C1105" s="881"/>
      <c r="D1105" s="881"/>
      <c r="E1105" s="881"/>
      <c r="F1105" s="50" t="s">
        <v>7200</v>
      </c>
      <c r="G1105" s="50">
        <v>106632</v>
      </c>
      <c r="I1105" s="771">
        <v>979</v>
      </c>
      <c r="J1105" s="50">
        <v>35078.1</v>
      </c>
      <c r="K1105" s="884"/>
      <c r="L1105" s="880"/>
    </row>
    <row r="1106" spans="1:12" x14ac:dyDescent="0.3">
      <c r="A1106" s="927">
        <v>1265</v>
      </c>
      <c r="B1106" s="953">
        <v>54462.25</v>
      </c>
      <c r="C1106" s="953" t="s">
        <v>7201</v>
      </c>
      <c r="D1106" s="953">
        <f>+I1106+I1107</f>
        <v>1265</v>
      </c>
      <c r="E1106" s="953">
        <v>54096.800000000003</v>
      </c>
      <c r="F1106" s="505" t="s">
        <v>7202</v>
      </c>
      <c r="G1106" s="505">
        <v>106671</v>
      </c>
      <c r="H1106" s="845"/>
      <c r="I1106" s="846">
        <v>196</v>
      </c>
      <c r="J1106" s="505">
        <v>8579.6</v>
      </c>
      <c r="K1106" s="948">
        <f t="shared" ref="K1106" si="751">+A1106-D1106</f>
        <v>0</v>
      </c>
      <c r="L1106" s="950">
        <f t="shared" ref="L1106" si="752">((+B1106/A1106)-(E1106/D1106))/(B1106/A1106)</f>
        <v>6.710152445042133E-3</v>
      </c>
    </row>
    <row r="1107" spans="1:12" ht="15" thickBot="1" x14ac:dyDescent="0.35">
      <c r="A1107" s="952"/>
      <c r="B1107" s="954"/>
      <c r="C1107" s="954"/>
      <c r="D1107" s="954"/>
      <c r="E1107" s="954"/>
      <c r="F1107" s="347" t="s">
        <v>7202</v>
      </c>
      <c r="G1107" s="347">
        <v>106671</v>
      </c>
      <c r="H1107" s="847"/>
      <c r="I1107" s="848">
        <v>1069</v>
      </c>
      <c r="J1107" s="347">
        <v>45517.2</v>
      </c>
      <c r="K1107" s="949"/>
      <c r="L1107" s="951"/>
    </row>
    <row r="1108" spans="1:12" x14ac:dyDescent="0.3">
      <c r="A1108" s="871">
        <v>3130</v>
      </c>
      <c r="B1108" s="873">
        <v>126815.75</v>
      </c>
      <c r="C1108" s="873" t="s">
        <v>7203</v>
      </c>
      <c r="D1108" s="873">
        <v>3129</v>
      </c>
      <c r="E1108" s="873">
        <v>127218.5</v>
      </c>
      <c r="F1108" s="815" t="s">
        <v>7204</v>
      </c>
      <c r="G1108" s="815">
        <v>106711</v>
      </c>
      <c r="H1108" s="40"/>
      <c r="I1108" s="824">
        <v>1400</v>
      </c>
      <c r="J1108" s="815">
        <v>57910.1</v>
      </c>
      <c r="K1108" s="882">
        <f t="shared" ref="K1108" si="753">+A1108-D1108</f>
        <v>1</v>
      </c>
      <c r="L1108" s="879">
        <f t="shared" ref="L1108" si="754">((+B1108/A1108)-(E1108/D1108))/(B1108/A1108)</f>
        <v>-3.4964732528590279E-3</v>
      </c>
    </row>
    <row r="1109" spans="1:12" x14ac:dyDescent="0.3">
      <c r="A1109" s="875"/>
      <c r="B1109" s="881"/>
      <c r="C1109" s="881"/>
      <c r="D1109" s="881"/>
      <c r="E1109" s="881"/>
      <c r="F1109" s="50" t="s">
        <v>7204</v>
      </c>
      <c r="G1109" s="50">
        <v>106712</v>
      </c>
      <c r="I1109" s="823">
        <v>956</v>
      </c>
      <c r="J1109" s="50">
        <v>38569.299999999996</v>
      </c>
      <c r="K1109" s="883"/>
      <c r="L1109" s="885"/>
    </row>
    <row r="1110" spans="1:12" ht="15" thickBot="1" x14ac:dyDescent="0.35">
      <c r="A1110" s="872"/>
      <c r="B1110" s="874"/>
      <c r="C1110" s="874"/>
      <c r="D1110" s="874"/>
      <c r="E1110" s="874"/>
      <c r="F1110" s="816" t="s">
        <v>7204</v>
      </c>
      <c r="G1110" s="816">
        <v>106713</v>
      </c>
      <c r="H1110" s="817"/>
      <c r="I1110" s="825">
        <v>586</v>
      </c>
      <c r="J1110" s="816">
        <v>23169.699999999997</v>
      </c>
      <c r="K1110" s="884"/>
      <c r="L1110" s="880"/>
    </row>
    <row r="1111" spans="1:12" ht="15" thickBot="1" x14ac:dyDescent="0.35">
      <c r="A1111" s="814">
        <v>497</v>
      </c>
      <c r="B1111" s="816">
        <v>18888.099999999999</v>
      </c>
      <c r="C1111" s="812" t="s">
        <v>7205</v>
      </c>
      <c r="D1111" s="812">
        <f>+I1111</f>
        <v>497</v>
      </c>
      <c r="E1111" s="812">
        <f>+J1111</f>
        <v>18463.5</v>
      </c>
      <c r="F1111" s="816" t="s">
        <v>7206</v>
      </c>
      <c r="G1111" s="816">
        <v>106731</v>
      </c>
      <c r="H1111" s="817"/>
      <c r="I1111" s="825">
        <v>497</v>
      </c>
      <c r="J1111" s="816">
        <v>18463.5</v>
      </c>
      <c r="K1111" s="54">
        <f t="shared" ref="K1111:K1113" si="755">+A1111-D1111</f>
        <v>0</v>
      </c>
      <c r="L1111" s="31">
        <f t="shared" ref="L1111:L1113" si="756">((+B1111/A1111)-(E1111/D1111))/(B1111/A1111)</f>
        <v>2.2479762390076204E-2</v>
      </c>
    </row>
    <row r="1112" spans="1:12" ht="15" thickBot="1" x14ac:dyDescent="0.35">
      <c r="A1112" s="813">
        <v>619</v>
      </c>
      <c r="B1112" s="815">
        <v>23729.200000000001</v>
      </c>
      <c r="C1112" s="809" t="s">
        <v>7207</v>
      </c>
      <c r="D1112" s="809">
        <f t="shared" ref="D1112:E1112" si="757">+I1112</f>
        <v>601</v>
      </c>
      <c r="E1112" s="809">
        <f t="shared" si="757"/>
        <v>22621.200000000004</v>
      </c>
      <c r="F1112" s="809" t="s">
        <v>7208</v>
      </c>
      <c r="G1112" s="809">
        <v>106751</v>
      </c>
      <c r="H1112" s="40"/>
      <c r="I1112" s="770">
        <v>601</v>
      </c>
      <c r="J1112" s="815">
        <v>22621.200000000004</v>
      </c>
      <c r="K1112" s="54">
        <f t="shared" si="755"/>
        <v>18</v>
      </c>
      <c r="L1112" s="31">
        <f t="shared" si="756"/>
        <v>1.8141917048893338E-2</v>
      </c>
    </row>
    <row r="1113" spans="1:12" x14ac:dyDescent="0.3">
      <c r="A1113" s="871">
        <v>930</v>
      </c>
      <c r="B1113" s="873">
        <v>35689</v>
      </c>
      <c r="C1113" s="873" t="s">
        <v>7209</v>
      </c>
      <c r="D1113" s="873">
        <f>+I1113+I1114</f>
        <v>930</v>
      </c>
      <c r="E1113" s="873">
        <f>+J1113+J1114</f>
        <v>34925.5</v>
      </c>
      <c r="F1113" s="809" t="s">
        <v>7210</v>
      </c>
      <c r="G1113" s="809">
        <v>106801</v>
      </c>
      <c r="H1113" s="40"/>
      <c r="I1113" s="824">
        <v>730</v>
      </c>
      <c r="J1113" s="815">
        <v>27590.3</v>
      </c>
      <c r="K1113" s="882">
        <f t="shared" si="755"/>
        <v>0</v>
      </c>
      <c r="L1113" s="879">
        <f t="shared" si="756"/>
        <v>2.1393146347614096E-2</v>
      </c>
    </row>
    <row r="1114" spans="1:12" ht="15" thickBot="1" x14ac:dyDescent="0.35">
      <c r="A1114" s="872"/>
      <c r="B1114" s="874"/>
      <c r="C1114" s="874"/>
      <c r="D1114" s="874"/>
      <c r="E1114" s="874"/>
      <c r="F1114" s="812" t="s">
        <v>7210</v>
      </c>
      <c r="G1114" s="812">
        <v>106801</v>
      </c>
      <c r="H1114" s="817"/>
      <c r="I1114" s="825">
        <v>200</v>
      </c>
      <c r="J1114" s="816">
        <v>7335.2</v>
      </c>
      <c r="K1114" s="884"/>
      <c r="L1114" s="880"/>
    </row>
    <row r="1115" spans="1:12" ht="15" thickBot="1" x14ac:dyDescent="0.35">
      <c r="A1115" s="178">
        <v>750</v>
      </c>
      <c r="B1115" s="45">
        <v>27665.200000000001</v>
      </c>
      <c r="C1115" s="8" t="s">
        <v>7211</v>
      </c>
      <c r="D1115" s="8">
        <f t="shared" ref="D1115:E1116" si="758">+I1115</f>
        <v>750</v>
      </c>
      <c r="E1115" s="8">
        <f t="shared" si="758"/>
        <v>27089.3</v>
      </c>
      <c r="F1115" s="45" t="s">
        <v>7212</v>
      </c>
      <c r="G1115" s="45">
        <v>106811</v>
      </c>
      <c r="H1115" s="14"/>
      <c r="I1115" s="826">
        <v>750</v>
      </c>
      <c r="J1115" s="45">
        <v>27089.3</v>
      </c>
      <c r="K1115" s="54">
        <f t="shared" ref="K1115:K1116" si="759">+A1115-D1115</f>
        <v>0</v>
      </c>
      <c r="L1115" s="31">
        <f t="shared" ref="L1115:L1116" si="760">((+B1115/A1115)-(E1115/D1115))/(B1115/A1115)</f>
        <v>2.0816766190014793E-2</v>
      </c>
    </row>
    <row r="1116" spans="1:12" ht="15" thickBot="1" x14ac:dyDescent="0.35">
      <c r="A1116" s="813">
        <v>188</v>
      </c>
      <c r="B1116" s="815">
        <v>8129</v>
      </c>
      <c r="C1116" s="809" t="s">
        <v>7213</v>
      </c>
      <c r="D1116" s="809">
        <f t="shared" si="758"/>
        <v>178</v>
      </c>
      <c r="E1116" s="809">
        <f t="shared" si="758"/>
        <v>7510.2</v>
      </c>
      <c r="F1116" s="815" t="s">
        <v>7214</v>
      </c>
      <c r="G1116" s="815">
        <v>106831</v>
      </c>
      <c r="H1116" s="40"/>
      <c r="I1116" s="824">
        <v>178</v>
      </c>
      <c r="J1116" s="815">
        <v>7510.2</v>
      </c>
      <c r="K1116" s="54">
        <f t="shared" si="759"/>
        <v>10</v>
      </c>
      <c r="L1116" s="31">
        <f t="shared" si="760"/>
        <v>2.42192953235815E-2</v>
      </c>
    </row>
    <row r="1117" spans="1:12" x14ac:dyDescent="0.3">
      <c r="A1117" s="871">
        <v>1069</v>
      </c>
      <c r="B1117" s="873">
        <v>49338.25</v>
      </c>
      <c r="C1117" s="873" t="s">
        <v>7215</v>
      </c>
      <c r="D1117" s="873">
        <f>+I1117+I1118+I1119</f>
        <v>1045</v>
      </c>
      <c r="E1117" s="873">
        <f>+J1117+J1118+J1119</f>
        <v>47686.2</v>
      </c>
      <c r="F1117" s="815" t="s">
        <v>7216</v>
      </c>
      <c r="G1117" s="815">
        <v>106871</v>
      </c>
      <c r="H1117" s="40"/>
      <c r="I1117" s="824">
        <v>179</v>
      </c>
      <c r="J1117" s="815">
        <v>7952.2</v>
      </c>
      <c r="K1117" s="882">
        <f t="shared" ref="K1117" si="761">+A1117-D1117</f>
        <v>24</v>
      </c>
      <c r="L1117" s="879">
        <f t="shared" ref="L1117" si="762">((+B1117/A1117)-(E1117/D1117))/(B1117/A1117)</f>
        <v>1.128666998636044E-2</v>
      </c>
    </row>
    <row r="1118" spans="1:12" x14ac:dyDescent="0.3">
      <c r="A1118" s="875"/>
      <c r="B1118" s="881"/>
      <c r="C1118" s="881"/>
      <c r="D1118" s="881"/>
      <c r="E1118" s="881"/>
      <c r="F1118" s="50" t="s">
        <v>7216</v>
      </c>
      <c r="G1118" s="50">
        <v>106871</v>
      </c>
      <c r="I1118" s="823">
        <v>534</v>
      </c>
      <c r="J1118" s="50">
        <v>25414.5</v>
      </c>
      <c r="K1118" s="883"/>
      <c r="L1118" s="885"/>
    </row>
    <row r="1119" spans="1:12" ht="15" thickBot="1" x14ac:dyDescent="0.35">
      <c r="A1119" s="872"/>
      <c r="B1119" s="874"/>
      <c r="C1119" s="874"/>
      <c r="D1119" s="874"/>
      <c r="E1119" s="874"/>
      <c r="F1119" s="816" t="s">
        <v>7216</v>
      </c>
      <c r="G1119" s="816">
        <v>106871</v>
      </c>
      <c r="H1119" s="817"/>
      <c r="I1119" s="825">
        <v>332</v>
      </c>
      <c r="J1119" s="816">
        <v>14319.5</v>
      </c>
      <c r="K1119" s="884"/>
      <c r="L1119" s="880"/>
    </row>
    <row r="1120" spans="1:12" ht="15" thickBot="1" x14ac:dyDescent="0.35">
      <c r="A1120" s="814">
        <v>250</v>
      </c>
      <c r="B1120" s="816">
        <v>10175.799999999999</v>
      </c>
      <c r="C1120" s="812" t="s">
        <v>7217</v>
      </c>
      <c r="D1120" s="812">
        <f t="shared" ref="D1120:E1124" si="763">+I1120</f>
        <v>250</v>
      </c>
      <c r="E1120" s="812">
        <f t="shared" si="763"/>
        <v>10125.9</v>
      </c>
      <c r="F1120" s="816" t="s">
        <v>7218</v>
      </c>
      <c r="G1120" s="816">
        <v>106881</v>
      </c>
      <c r="H1120" s="817"/>
      <c r="I1120" s="825">
        <v>250</v>
      </c>
      <c r="J1120" s="816">
        <v>10125.9</v>
      </c>
      <c r="K1120" s="54">
        <f t="shared" ref="K1120:K1124" si="764">+A1120-D1120</f>
        <v>0</v>
      </c>
      <c r="L1120" s="31">
        <f t="shared" ref="L1120:L1124" si="765">((+B1120/A1120)-(E1120/D1120))/(B1120/A1120)</f>
        <v>4.9037913481003136E-3</v>
      </c>
    </row>
    <row r="1121" spans="1:12" ht="15" thickBot="1" x14ac:dyDescent="0.35">
      <c r="A1121" s="814">
        <v>501</v>
      </c>
      <c r="B1121" s="816">
        <v>16660.900000000001</v>
      </c>
      <c r="C1121" s="812" t="s">
        <v>7219</v>
      </c>
      <c r="D1121" s="8">
        <f t="shared" si="763"/>
        <v>501</v>
      </c>
      <c r="E1121" s="8">
        <f t="shared" si="763"/>
        <v>16313.400000000001</v>
      </c>
      <c r="F1121" s="816" t="s">
        <v>7220</v>
      </c>
      <c r="G1121" s="816">
        <v>106891</v>
      </c>
      <c r="H1121" s="817"/>
      <c r="I1121" s="825">
        <v>501</v>
      </c>
      <c r="J1121" s="816">
        <v>16313.400000000001</v>
      </c>
      <c r="K1121" s="54">
        <f t="shared" si="764"/>
        <v>0</v>
      </c>
      <c r="L1121" s="31">
        <f t="shared" si="765"/>
        <v>2.0857216596942518E-2</v>
      </c>
    </row>
    <row r="1122" spans="1:12" ht="15" thickBot="1" x14ac:dyDescent="0.35">
      <c r="A1122" s="178">
        <v>607</v>
      </c>
      <c r="B1122" s="45">
        <v>26243.5</v>
      </c>
      <c r="C1122" s="8" t="s">
        <v>7221</v>
      </c>
      <c r="D1122" s="8">
        <f t="shared" si="763"/>
        <v>607</v>
      </c>
      <c r="E1122" s="8">
        <f t="shared" si="763"/>
        <v>26360.6</v>
      </c>
      <c r="F1122" s="45" t="s">
        <v>7222</v>
      </c>
      <c r="G1122" s="45">
        <v>106901</v>
      </c>
      <c r="H1122" s="14"/>
      <c r="I1122" s="826">
        <v>607</v>
      </c>
      <c r="J1122" s="45">
        <v>26360.6</v>
      </c>
      <c r="K1122" s="54">
        <f t="shared" si="764"/>
        <v>0</v>
      </c>
      <c r="L1122" s="31">
        <f t="shared" si="765"/>
        <v>-4.4620572713242072E-3</v>
      </c>
    </row>
    <row r="1123" spans="1:12" ht="15" thickBot="1" x14ac:dyDescent="0.35">
      <c r="A1123" s="178">
        <v>124</v>
      </c>
      <c r="B1123" s="45">
        <v>5362.1</v>
      </c>
      <c r="C1123" s="8" t="s">
        <v>7223</v>
      </c>
      <c r="D1123" s="8">
        <f t="shared" si="763"/>
        <v>124</v>
      </c>
      <c r="E1123" s="8">
        <f t="shared" si="763"/>
        <v>5148.3</v>
      </c>
      <c r="F1123" s="45" t="s">
        <v>7224</v>
      </c>
      <c r="G1123" s="45">
        <v>106911</v>
      </c>
      <c r="H1123" s="14"/>
      <c r="I1123" s="826">
        <v>124</v>
      </c>
      <c r="J1123" s="45">
        <v>5148.3</v>
      </c>
      <c r="K1123" s="54">
        <f t="shared" si="764"/>
        <v>0</v>
      </c>
      <c r="L1123" s="31">
        <f t="shared" si="765"/>
        <v>3.9872438037336005E-2</v>
      </c>
    </row>
    <row r="1124" spans="1:12" ht="15" thickBot="1" x14ac:dyDescent="0.35">
      <c r="A1124" s="814">
        <v>355</v>
      </c>
      <c r="B1124" s="816">
        <v>15980.25</v>
      </c>
      <c r="C1124" s="8" t="s">
        <v>7225</v>
      </c>
      <c r="D1124" s="8">
        <f t="shared" si="763"/>
        <v>355</v>
      </c>
      <c r="E1124" s="8">
        <f t="shared" si="763"/>
        <v>15895.7</v>
      </c>
      <c r="F1124" s="816" t="s">
        <v>7226</v>
      </c>
      <c r="G1124" s="816">
        <v>106921</v>
      </c>
      <c r="H1124" s="817"/>
      <c r="I1124" s="825">
        <v>355</v>
      </c>
      <c r="J1124" s="816">
        <v>15895.7</v>
      </c>
      <c r="K1124" s="54">
        <f t="shared" si="764"/>
        <v>0</v>
      </c>
      <c r="L1124" s="31">
        <f t="shared" si="765"/>
        <v>5.2909059620468608E-3</v>
      </c>
    </row>
    <row r="1125" spans="1:12" x14ac:dyDescent="0.3">
      <c r="A1125" s="871">
        <v>2572</v>
      </c>
      <c r="B1125" s="873">
        <v>104714</v>
      </c>
      <c r="C1125" s="873" t="s">
        <v>7227</v>
      </c>
      <c r="D1125" s="873">
        <v>2572</v>
      </c>
      <c r="E1125" s="873">
        <v>104663.4</v>
      </c>
      <c r="F1125" s="815" t="s">
        <v>7228</v>
      </c>
      <c r="G1125" s="815">
        <v>106961</v>
      </c>
      <c r="H1125" s="40"/>
      <c r="I1125" s="824">
        <v>449</v>
      </c>
      <c r="J1125" s="815">
        <v>18851.499999999996</v>
      </c>
      <c r="K1125" s="882">
        <f t="shared" ref="K1125" si="766">+A1125-D1125</f>
        <v>0</v>
      </c>
      <c r="L1125" s="879">
        <f t="shared" ref="L1125" si="767">((+B1125/A1125)-(E1125/D1125))/(B1125/A1125)</f>
        <v>4.832209637681848E-4</v>
      </c>
    </row>
    <row r="1126" spans="1:12" x14ac:dyDescent="0.3">
      <c r="A1126" s="875"/>
      <c r="B1126" s="881"/>
      <c r="C1126" s="881"/>
      <c r="D1126" s="881"/>
      <c r="E1126" s="881"/>
      <c r="F1126" s="50" t="s">
        <v>7228</v>
      </c>
      <c r="G1126" s="50">
        <v>106961</v>
      </c>
      <c r="I1126" s="823">
        <v>920</v>
      </c>
      <c r="J1126" s="50">
        <v>37133.5</v>
      </c>
      <c r="K1126" s="883"/>
      <c r="L1126" s="885"/>
    </row>
    <row r="1127" spans="1:12" ht="15" thickBot="1" x14ac:dyDescent="0.35">
      <c r="A1127" s="872"/>
      <c r="B1127" s="874"/>
      <c r="C1127" s="874"/>
      <c r="D1127" s="874"/>
      <c r="E1127" s="874"/>
      <c r="F1127" s="816" t="s">
        <v>7228</v>
      </c>
      <c r="G1127" s="816">
        <v>106962</v>
      </c>
      <c r="H1127" s="817"/>
      <c r="I1127" s="825">
        <v>230</v>
      </c>
      <c r="J1127" s="816">
        <v>9410.6</v>
      </c>
      <c r="K1127" s="884"/>
      <c r="L1127" s="880"/>
    </row>
    <row r="1128" spans="1:12" ht="15" thickBot="1" x14ac:dyDescent="0.35">
      <c r="A1128" s="178">
        <v>250</v>
      </c>
      <c r="B1128" s="45">
        <v>7749.4</v>
      </c>
      <c r="C1128" s="8" t="s">
        <v>7345</v>
      </c>
      <c r="D1128" s="8">
        <f t="shared" ref="D1128:E1130" si="768">+I1128</f>
        <v>256</v>
      </c>
      <c r="E1128" s="8">
        <f t="shared" si="768"/>
        <v>7956.7</v>
      </c>
      <c r="F1128" s="45" t="s">
        <v>7346</v>
      </c>
      <c r="G1128" s="45">
        <v>106991</v>
      </c>
      <c r="H1128" s="14"/>
      <c r="I1128" s="45">
        <v>256</v>
      </c>
      <c r="J1128" s="45">
        <v>7956.7</v>
      </c>
      <c r="K1128" s="54">
        <f t="shared" ref="K1128:K1130" si="769">+A1128-D1128</f>
        <v>-6</v>
      </c>
      <c r="L1128" s="31">
        <f t="shared" ref="L1128:L1130" si="770">((+B1128/A1128)-(E1128/D1128))/(B1128/A1128)</f>
        <v>-2.6859942382636334E-3</v>
      </c>
    </row>
    <row r="1129" spans="1:12" ht="15" thickBot="1" x14ac:dyDescent="0.35">
      <c r="A1129" s="178">
        <v>2601</v>
      </c>
      <c r="B1129" s="45">
        <v>101478.5</v>
      </c>
      <c r="C1129" s="8" t="s">
        <v>7347</v>
      </c>
      <c r="D1129" s="8">
        <v>1739</v>
      </c>
      <c r="E1129" s="8">
        <v>66695.100000000006</v>
      </c>
      <c r="F1129" s="45" t="s">
        <v>7348</v>
      </c>
      <c r="G1129" s="45">
        <v>107031</v>
      </c>
      <c r="H1129" s="14"/>
      <c r="I1129" s="45">
        <v>1334</v>
      </c>
      <c r="J1129" s="45">
        <v>51006</v>
      </c>
      <c r="K1129" s="54">
        <f t="shared" si="769"/>
        <v>862</v>
      </c>
      <c r="L1129" s="31">
        <f t="shared" si="770"/>
        <v>1.6983835906762387E-2</v>
      </c>
    </row>
    <row r="1130" spans="1:12" ht="15" thickBot="1" x14ac:dyDescent="0.35">
      <c r="A1130" s="837">
        <v>1555</v>
      </c>
      <c r="B1130" s="839">
        <v>63042.75</v>
      </c>
      <c r="C1130" s="834" t="s">
        <v>7349</v>
      </c>
      <c r="D1130" s="8">
        <f t="shared" si="768"/>
        <v>600</v>
      </c>
      <c r="E1130" s="8">
        <f t="shared" si="768"/>
        <v>23239.8</v>
      </c>
      <c r="F1130" s="839" t="s">
        <v>7350</v>
      </c>
      <c r="G1130" s="839">
        <v>107051</v>
      </c>
      <c r="H1130" s="842"/>
      <c r="I1130" s="839">
        <v>600</v>
      </c>
      <c r="J1130" s="839">
        <v>23239.8</v>
      </c>
      <c r="K1130" s="54">
        <f t="shared" si="769"/>
        <v>955</v>
      </c>
      <c r="L1130" s="31">
        <f t="shared" si="770"/>
        <v>4.4619484397492255E-2</v>
      </c>
    </row>
    <row r="1131" spans="1:12" x14ac:dyDescent="0.3">
      <c r="A1131" s="364"/>
      <c r="B1131" s="364"/>
      <c r="C1131" s="741"/>
      <c r="D1131" s="741"/>
      <c r="E1131" s="741"/>
      <c r="F1131" s="364"/>
      <c r="G1131" s="364"/>
      <c r="H1131" s="363"/>
      <c r="I1131" s="757"/>
      <c r="J1131" s="364"/>
      <c r="K1131" s="556"/>
      <c r="L1131" s="369"/>
    </row>
    <row r="1132" spans="1:12" x14ac:dyDescent="0.3">
      <c r="A1132" s="155">
        <f>SUM(A5:A1065)</f>
        <v>584724</v>
      </c>
      <c r="B1132" s="155">
        <f>SUM(B5:B1065)</f>
        <v>24886903.742594995</v>
      </c>
      <c r="C1132" s="155"/>
      <c r="D1132" s="155">
        <f>SUM(D5:D1065)</f>
        <v>583361</v>
      </c>
      <c r="E1132" s="155">
        <f>SUM(E5:E1065)</f>
        <v>23894389.29999999</v>
      </c>
    </row>
    <row r="1133" spans="1:12" x14ac:dyDescent="0.3">
      <c r="A1133" s="135"/>
      <c r="D1133" s="135"/>
      <c r="E1133" s="135"/>
    </row>
    <row r="1134" spans="1:12" x14ac:dyDescent="0.3">
      <c r="B1134" s="135"/>
    </row>
  </sheetData>
  <mergeCells count="1946">
    <mergeCell ref="K1052:K1053"/>
    <mergeCell ref="L1052:L1053"/>
    <mergeCell ref="K1049:K1051"/>
    <mergeCell ref="L1049:L1051"/>
    <mergeCell ref="K1054:K1056"/>
    <mergeCell ref="L1054:L1056"/>
    <mergeCell ref="K1058:K1060"/>
    <mergeCell ref="L1058:L1060"/>
    <mergeCell ref="A1049:A1051"/>
    <mergeCell ref="B1049:B1051"/>
    <mergeCell ref="C1049:C1051"/>
    <mergeCell ref="D1049:D1051"/>
    <mergeCell ref="E1049:E1051"/>
    <mergeCell ref="A1052:A1053"/>
    <mergeCell ref="B1052:B1053"/>
    <mergeCell ref="C1052:C1053"/>
    <mergeCell ref="D1052:D1053"/>
    <mergeCell ref="E1052:E1053"/>
    <mergeCell ref="A1054:A1056"/>
    <mergeCell ref="B1054:B1056"/>
    <mergeCell ref="C1054:C1056"/>
    <mergeCell ref="D1054:D1056"/>
    <mergeCell ref="E1054:E1056"/>
    <mergeCell ref="A1058:A1060"/>
    <mergeCell ref="B1058:B1060"/>
    <mergeCell ref="C1058:C1060"/>
    <mergeCell ref="D1058:D1060"/>
    <mergeCell ref="E1058:E1060"/>
    <mergeCell ref="A1044:A1045"/>
    <mergeCell ref="B1044:B1045"/>
    <mergeCell ref="C1044:C1045"/>
    <mergeCell ref="D1044:D1045"/>
    <mergeCell ref="E1044:E1045"/>
    <mergeCell ref="K1032:K1034"/>
    <mergeCell ref="L1032:L1034"/>
    <mergeCell ref="K1042:K1043"/>
    <mergeCell ref="L1042:L1043"/>
    <mergeCell ref="K1044:K1045"/>
    <mergeCell ref="L1044:L1045"/>
    <mergeCell ref="K1036:K1037"/>
    <mergeCell ref="L1036:L1037"/>
    <mergeCell ref="K1019:K1021"/>
    <mergeCell ref="L1019:L1021"/>
    <mergeCell ref="K1014:K1017"/>
    <mergeCell ref="L1014:L1017"/>
    <mergeCell ref="K1038:K1041"/>
    <mergeCell ref="L1038:L1041"/>
    <mergeCell ref="K1022:K1026"/>
    <mergeCell ref="L1022:L1026"/>
    <mergeCell ref="K1027:K1031"/>
    <mergeCell ref="L1027:L1031"/>
    <mergeCell ref="A1032:A1034"/>
    <mergeCell ref="B1032:B1034"/>
    <mergeCell ref="C1032:C1034"/>
    <mergeCell ref="D1032:D1034"/>
    <mergeCell ref="E1032:E1034"/>
    <mergeCell ref="A1036:A1037"/>
    <mergeCell ref="B1036:B1037"/>
    <mergeCell ref="C1036:C1037"/>
    <mergeCell ref="D1036:D1037"/>
    <mergeCell ref="D995:D998"/>
    <mergeCell ref="E995:E998"/>
    <mergeCell ref="E1038:E1041"/>
    <mergeCell ref="A1042:A1043"/>
    <mergeCell ref="B1042:B1043"/>
    <mergeCell ref="C1042:C1043"/>
    <mergeCell ref="D1042:D1043"/>
    <mergeCell ref="E1042:E1043"/>
    <mergeCell ref="A1014:A1017"/>
    <mergeCell ref="B1014:B1017"/>
    <mergeCell ref="C1014:C1017"/>
    <mergeCell ref="D1014:D1017"/>
    <mergeCell ref="E1014:E1017"/>
    <mergeCell ref="A1019:A1021"/>
    <mergeCell ref="B1019:B1021"/>
    <mergeCell ref="C1019:C1021"/>
    <mergeCell ref="D1019:D1021"/>
    <mergeCell ref="E1019:E1021"/>
    <mergeCell ref="A1022:A1026"/>
    <mergeCell ref="B1022:B1026"/>
    <mergeCell ref="C1022:C1026"/>
    <mergeCell ref="D1022:D1026"/>
    <mergeCell ref="E1022:E1026"/>
    <mergeCell ref="A1027:A1031"/>
    <mergeCell ref="B1027:B1031"/>
    <mergeCell ref="C1027:C1031"/>
    <mergeCell ref="D1027:D1031"/>
    <mergeCell ref="E1027:E1031"/>
    <mergeCell ref="E950:E951"/>
    <mergeCell ref="A953:A955"/>
    <mergeCell ref="B953:B955"/>
    <mergeCell ref="C953:C955"/>
    <mergeCell ref="D953:D955"/>
    <mergeCell ref="D956:D957"/>
    <mergeCell ref="E956:E957"/>
    <mergeCell ref="K1009:K1011"/>
    <mergeCell ref="L1009:L1011"/>
    <mergeCell ref="A1004:A1005"/>
    <mergeCell ref="B1004:B1005"/>
    <mergeCell ref="C1004:C1005"/>
    <mergeCell ref="D1004:D1005"/>
    <mergeCell ref="E1004:E1005"/>
    <mergeCell ref="K993:K994"/>
    <mergeCell ref="L993:L994"/>
    <mergeCell ref="K999:K1000"/>
    <mergeCell ref="L999:L1000"/>
    <mergeCell ref="K1004:K1005"/>
    <mergeCell ref="L1004:L1005"/>
    <mergeCell ref="K995:K998"/>
    <mergeCell ref="L995:L998"/>
    <mergeCell ref="K1001:K1003"/>
    <mergeCell ref="L1001:L1003"/>
    <mergeCell ref="A993:A994"/>
    <mergeCell ref="B993:B994"/>
    <mergeCell ref="C993:C994"/>
    <mergeCell ref="D993:D994"/>
    <mergeCell ref="E993:E994"/>
    <mergeCell ref="A995:A998"/>
    <mergeCell ref="B995:B998"/>
    <mergeCell ref="C995:C998"/>
    <mergeCell ref="C928:C929"/>
    <mergeCell ref="D928:D929"/>
    <mergeCell ref="E928:E929"/>
    <mergeCell ref="K935:K936"/>
    <mergeCell ref="A999:A1000"/>
    <mergeCell ref="B999:B1000"/>
    <mergeCell ref="C999:C1000"/>
    <mergeCell ref="D999:D1000"/>
    <mergeCell ref="E999:E1000"/>
    <mergeCell ref="K950:K951"/>
    <mergeCell ref="E976:E977"/>
    <mergeCell ref="E953:E955"/>
    <mergeCell ref="A956:A957"/>
    <mergeCell ref="B956:B957"/>
    <mergeCell ref="C956:C957"/>
    <mergeCell ref="K981:K982"/>
    <mergeCell ref="L950:L951"/>
    <mergeCell ref="K956:K957"/>
    <mergeCell ref="L956:L957"/>
    <mergeCell ref="K953:K955"/>
    <mergeCell ref="L953:L955"/>
    <mergeCell ref="K945:K949"/>
    <mergeCell ref="L945:L949"/>
    <mergeCell ref="A945:A949"/>
    <mergeCell ref="B945:B949"/>
    <mergeCell ref="C945:C949"/>
    <mergeCell ref="D945:D949"/>
    <mergeCell ref="E945:E949"/>
    <mergeCell ref="A950:A951"/>
    <mergeCell ref="B950:B951"/>
    <mergeCell ref="C950:C951"/>
    <mergeCell ref="D950:D951"/>
    <mergeCell ref="K913:K914"/>
    <mergeCell ref="L913:L914"/>
    <mergeCell ref="K928:K929"/>
    <mergeCell ref="L928:L929"/>
    <mergeCell ref="K917:K919"/>
    <mergeCell ref="L917:L919"/>
    <mergeCell ref="K922:K925"/>
    <mergeCell ref="L922:L925"/>
    <mergeCell ref="A906:A907"/>
    <mergeCell ref="B906:B907"/>
    <mergeCell ref="C906:C907"/>
    <mergeCell ref="D906:D907"/>
    <mergeCell ref="E906:E907"/>
    <mergeCell ref="K906:K907"/>
    <mergeCell ref="L906:L907"/>
    <mergeCell ref="A913:A914"/>
    <mergeCell ref="B913:B914"/>
    <mergeCell ref="C913:C914"/>
    <mergeCell ref="D913:D914"/>
    <mergeCell ref="E913:E914"/>
    <mergeCell ref="A917:A919"/>
    <mergeCell ref="B917:B919"/>
    <mergeCell ref="C917:C919"/>
    <mergeCell ref="D917:D919"/>
    <mergeCell ref="E917:E919"/>
    <mergeCell ref="A922:A925"/>
    <mergeCell ref="B922:B925"/>
    <mergeCell ref="C922:C925"/>
    <mergeCell ref="D922:D925"/>
    <mergeCell ref="E922:E925"/>
    <mergeCell ref="A928:A929"/>
    <mergeCell ref="B928:B929"/>
    <mergeCell ref="A806:A807"/>
    <mergeCell ref="B806:B807"/>
    <mergeCell ref="C806:C807"/>
    <mergeCell ref="D806:D807"/>
    <mergeCell ref="E806:E807"/>
    <mergeCell ref="A808:A809"/>
    <mergeCell ref="B808:B809"/>
    <mergeCell ref="C808:C809"/>
    <mergeCell ref="D808:D809"/>
    <mergeCell ref="E808:E809"/>
    <mergeCell ref="K786:K787"/>
    <mergeCell ref="L786:L787"/>
    <mergeCell ref="K792:K793"/>
    <mergeCell ref="L792:L793"/>
    <mergeCell ref="K795:K796"/>
    <mergeCell ref="L795:L796"/>
    <mergeCell ref="K797:K798"/>
    <mergeCell ref="L797:L798"/>
    <mergeCell ref="K801:K802"/>
    <mergeCell ref="L801:L802"/>
    <mergeCell ref="K803:K804"/>
    <mergeCell ref="L803:L804"/>
    <mergeCell ref="K806:K807"/>
    <mergeCell ref="L806:L807"/>
    <mergeCell ref="K808:K809"/>
    <mergeCell ref="L808:L809"/>
    <mergeCell ref="A792:A793"/>
    <mergeCell ref="D795:D796"/>
    <mergeCell ref="E795:E796"/>
    <mergeCell ref="A797:A798"/>
    <mergeCell ref="B797:B798"/>
    <mergeCell ref="C797:C798"/>
    <mergeCell ref="D797:D798"/>
    <mergeCell ref="E797:E798"/>
    <mergeCell ref="A801:A802"/>
    <mergeCell ref="B801:B802"/>
    <mergeCell ref="C801:C802"/>
    <mergeCell ref="D801:D802"/>
    <mergeCell ref="E801:E802"/>
    <mergeCell ref="A803:A804"/>
    <mergeCell ref="B803:B804"/>
    <mergeCell ref="C803:C804"/>
    <mergeCell ref="D803:D804"/>
    <mergeCell ref="E803:E804"/>
    <mergeCell ref="D743:D744"/>
    <mergeCell ref="E743:E744"/>
    <mergeCell ref="A745:A746"/>
    <mergeCell ref="B745:B746"/>
    <mergeCell ref="C745:C746"/>
    <mergeCell ref="D745:D746"/>
    <mergeCell ref="E745:E746"/>
    <mergeCell ref="A748:A750"/>
    <mergeCell ref="B748:B750"/>
    <mergeCell ref="A795:A796"/>
    <mergeCell ref="B795:B796"/>
    <mergeCell ref="C795:C796"/>
    <mergeCell ref="E777:E778"/>
    <mergeCell ref="A779:A782"/>
    <mergeCell ref="B779:B782"/>
    <mergeCell ref="C779:C782"/>
    <mergeCell ref="D779:D782"/>
    <mergeCell ref="E779:E782"/>
    <mergeCell ref="B792:B793"/>
    <mergeCell ref="C792:C793"/>
    <mergeCell ref="K726:K727"/>
    <mergeCell ref="A786:A787"/>
    <mergeCell ref="B786:B787"/>
    <mergeCell ref="C786:C787"/>
    <mergeCell ref="D786:D787"/>
    <mergeCell ref="E786:E787"/>
    <mergeCell ref="C763:C764"/>
    <mergeCell ref="D763:D764"/>
    <mergeCell ref="E763:E764"/>
    <mergeCell ref="C748:C750"/>
    <mergeCell ref="D748:D750"/>
    <mergeCell ref="E748:E750"/>
    <mergeCell ref="A766:A767"/>
    <mergeCell ref="B766:B767"/>
    <mergeCell ref="C766:C767"/>
    <mergeCell ref="D766:D767"/>
    <mergeCell ref="E766:E767"/>
    <mergeCell ref="B763:B764"/>
    <mergeCell ref="D740:D741"/>
    <mergeCell ref="E740:E741"/>
    <mergeCell ref="A743:A744"/>
    <mergeCell ref="B743:B744"/>
    <mergeCell ref="C743:C744"/>
    <mergeCell ref="K773:K774"/>
    <mergeCell ref="E760:E761"/>
    <mergeCell ref="A763:A764"/>
    <mergeCell ref="D773:D774"/>
    <mergeCell ref="E773:E774"/>
    <mergeCell ref="A777:A778"/>
    <mergeCell ref="B777:B778"/>
    <mergeCell ref="C777:C778"/>
    <mergeCell ref="D777:D778"/>
    <mergeCell ref="L726:L727"/>
    <mergeCell ref="K728:K729"/>
    <mergeCell ref="L728:L729"/>
    <mergeCell ref="A737:A739"/>
    <mergeCell ref="B737:B739"/>
    <mergeCell ref="C737:C739"/>
    <mergeCell ref="D737:D739"/>
    <mergeCell ref="E737:E739"/>
    <mergeCell ref="K733:K734"/>
    <mergeCell ref="L733:L734"/>
    <mergeCell ref="K735:K736"/>
    <mergeCell ref="L735:L736"/>
    <mergeCell ref="K737:K739"/>
    <mergeCell ref="L737:L739"/>
    <mergeCell ref="A751:A753"/>
    <mergeCell ref="B751:B753"/>
    <mergeCell ref="C751:C753"/>
    <mergeCell ref="D751:D753"/>
    <mergeCell ref="E751:E753"/>
    <mergeCell ref="K740:K741"/>
    <mergeCell ref="L740:L741"/>
    <mergeCell ref="K743:K744"/>
    <mergeCell ref="L743:L744"/>
    <mergeCell ref="K745:K746"/>
    <mergeCell ref="L745:L746"/>
    <mergeCell ref="K748:K750"/>
    <mergeCell ref="L748:L750"/>
    <mergeCell ref="K751:K753"/>
    <mergeCell ref="L751:L753"/>
    <mergeCell ref="A740:A741"/>
    <mergeCell ref="B740:B741"/>
    <mergeCell ref="C740:C741"/>
    <mergeCell ref="A658:A661"/>
    <mergeCell ref="B658:B661"/>
    <mergeCell ref="C658:C661"/>
    <mergeCell ref="D658:D661"/>
    <mergeCell ref="E658:E661"/>
    <mergeCell ref="A662:A665"/>
    <mergeCell ref="B662:B665"/>
    <mergeCell ref="C662:C665"/>
    <mergeCell ref="D662:D665"/>
    <mergeCell ref="E662:E665"/>
    <mergeCell ref="A698:A699"/>
    <mergeCell ref="B698:B699"/>
    <mergeCell ref="C698:C699"/>
    <mergeCell ref="D698:D699"/>
    <mergeCell ref="E698:E699"/>
    <mergeCell ref="A701:A702"/>
    <mergeCell ref="B701:B702"/>
    <mergeCell ref="C701:C702"/>
    <mergeCell ref="D701:D702"/>
    <mergeCell ref="E701:E702"/>
    <mergeCell ref="C595:C596"/>
    <mergeCell ref="D595:D596"/>
    <mergeCell ref="E595:E596"/>
    <mergeCell ref="A608:A609"/>
    <mergeCell ref="B608:B609"/>
    <mergeCell ref="C608:C609"/>
    <mergeCell ref="D608:D609"/>
    <mergeCell ref="E608:E609"/>
    <mergeCell ref="A612:A614"/>
    <mergeCell ref="B612:B614"/>
    <mergeCell ref="C612:C614"/>
    <mergeCell ref="D612:D614"/>
    <mergeCell ref="E612:E614"/>
    <mergeCell ref="A615:A616"/>
    <mergeCell ref="A642:A643"/>
    <mergeCell ref="B642:B643"/>
    <mergeCell ref="C642:C643"/>
    <mergeCell ref="D642:D643"/>
    <mergeCell ref="E642:E643"/>
    <mergeCell ref="K569:K570"/>
    <mergeCell ref="L569:L570"/>
    <mergeCell ref="K573:K574"/>
    <mergeCell ref="L573:L574"/>
    <mergeCell ref="K580:K581"/>
    <mergeCell ref="L580:L581"/>
    <mergeCell ref="K585:K586"/>
    <mergeCell ref="L585:L586"/>
    <mergeCell ref="K595:K596"/>
    <mergeCell ref="L595:L596"/>
    <mergeCell ref="K577:K579"/>
    <mergeCell ref="L577:L579"/>
    <mergeCell ref="K588:K590"/>
    <mergeCell ref="L588:L590"/>
    <mergeCell ref="D580:D581"/>
    <mergeCell ref="E580:E581"/>
    <mergeCell ref="A585:A586"/>
    <mergeCell ref="B585:B586"/>
    <mergeCell ref="C585:C586"/>
    <mergeCell ref="D585:D586"/>
    <mergeCell ref="E585:E586"/>
    <mergeCell ref="A588:A590"/>
    <mergeCell ref="B588:B590"/>
    <mergeCell ref="C588:C590"/>
    <mergeCell ref="D588:D590"/>
    <mergeCell ref="E588:E590"/>
    <mergeCell ref="A573:A574"/>
    <mergeCell ref="C573:C574"/>
    <mergeCell ref="D573:D574"/>
    <mergeCell ref="E573:E574"/>
    <mergeCell ref="A595:A596"/>
    <mergeCell ref="B595:B596"/>
    <mergeCell ref="K560:K561"/>
    <mergeCell ref="K562:K563"/>
    <mergeCell ref="L560:L561"/>
    <mergeCell ref="L562:L563"/>
    <mergeCell ref="A560:A561"/>
    <mergeCell ref="B560:B561"/>
    <mergeCell ref="C560:C561"/>
    <mergeCell ref="D560:D561"/>
    <mergeCell ref="E560:E561"/>
    <mergeCell ref="A562:A563"/>
    <mergeCell ref="B562:B563"/>
    <mergeCell ref="C562:C563"/>
    <mergeCell ref="D562:D563"/>
    <mergeCell ref="E562:E563"/>
    <mergeCell ref="A530:A531"/>
    <mergeCell ref="B530:B531"/>
    <mergeCell ref="C530:C531"/>
    <mergeCell ref="D530:D531"/>
    <mergeCell ref="E530:E531"/>
    <mergeCell ref="E546:E547"/>
    <mergeCell ref="A550:A551"/>
    <mergeCell ref="B550:B551"/>
    <mergeCell ref="C550:C551"/>
    <mergeCell ref="D550:D551"/>
    <mergeCell ref="E550:E551"/>
    <mergeCell ref="K536:K537"/>
    <mergeCell ref="L536:L537"/>
    <mergeCell ref="K542:K543"/>
    <mergeCell ref="L542:L543"/>
    <mergeCell ref="K544:K545"/>
    <mergeCell ref="L544:L545"/>
    <mergeCell ref="K546:K547"/>
    <mergeCell ref="D528:D529"/>
    <mergeCell ref="G542:G543"/>
    <mergeCell ref="A577:A579"/>
    <mergeCell ref="B577:B579"/>
    <mergeCell ref="C577:C579"/>
    <mergeCell ref="D577:D579"/>
    <mergeCell ref="E577:E579"/>
    <mergeCell ref="A569:A570"/>
    <mergeCell ref="B569:B570"/>
    <mergeCell ref="C569:C570"/>
    <mergeCell ref="D569:D570"/>
    <mergeCell ref="E569:E570"/>
    <mergeCell ref="B573:B574"/>
    <mergeCell ref="F485:F486"/>
    <mergeCell ref="K498:K499"/>
    <mergeCell ref="L498:L499"/>
    <mergeCell ref="K500:K501"/>
    <mergeCell ref="L500:L501"/>
    <mergeCell ref="K503:K504"/>
    <mergeCell ref="L503:L504"/>
    <mergeCell ref="K505:K506"/>
    <mergeCell ref="L505:L506"/>
    <mergeCell ref="A526:A527"/>
    <mergeCell ref="B526:B527"/>
    <mergeCell ref="C526:C527"/>
    <mergeCell ref="D526:D527"/>
    <mergeCell ref="E526:E527"/>
    <mergeCell ref="A503:A504"/>
    <mergeCell ref="B503:B504"/>
    <mergeCell ref="C503:C504"/>
    <mergeCell ref="D503:D504"/>
    <mergeCell ref="E503:E504"/>
    <mergeCell ref="A505:A506"/>
    <mergeCell ref="B505:B506"/>
    <mergeCell ref="C505:C506"/>
    <mergeCell ref="D505:D506"/>
    <mergeCell ref="E505:E506"/>
    <mergeCell ref="A498:A499"/>
    <mergeCell ref="B498:B499"/>
    <mergeCell ref="C498:C499"/>
    <mergeCell ref="D498:D499"/>
    <mergeCell ref="E498:E499"/>
    <mergeCell ref="A500:A501"/>
    <mergeCell ref="B500:B501"/>
    <mergeCell ref="C500:C501"/>
    <mergeCell ref="E479:E480"/>
    <mergeCell ref="A481:A483"/>
    <mergeCell ref="B481:B483"/>
    <mergeCell ref="C481:C483"/>
    <mergeCell ref="D481:D483"/>
    <mergeCell ref="E481:E483"/>
    <mergeCell ref="A471:A472"/>
    <mergeCell ref="B471:B472"/>
    <mergeCell ref="C471:C472"/>
    <mergeCell ref="D471:D472"/>
    <mergeCell ref="E471:E472"/>
    <mergeCell ref="E500:E501"/>
    <mergeCell ref="A490:A491"/>
    <mergeCell ref="B490:B491"/>
    <mergeCell ref="C490:C491"/>
    <mergeCell ref="D490:D491"/>
    <mergeCell ref="E490:E491"/>
    <mergeCell ref="A495:A496"/>
    <mergeCell ref="B495:B496"/>
    <mergeCell ref="C495:C496"/>
    <mergeCell ref="D495:D496"/>
    <mergeCell ref="E495:E496"/>
    <mergeCell ref="A485:A486"/>
    <mergeCell ref="B485:B486"/>
    <mergeCell ref="C485:C486"/>
    <mergeCell ref="D485:D486"/>
    <mergeCell ref="E485:E486"/>
    <mergeCell ref="D500:D501"/>
    <mergeCell ref="L414:L415"/>
    <mergeCell ref="L417:L418"/>
    <mergeCell ref="L425:L426"/>
    <mergeCell ref="L430:L431"/>
    <mergeCell ref="L432:L433"/>
    <mergeCell ref="L428:L429"/>
    <mergeCell ref="L435:L436"/>
    <mergeCell ref="L437:L438"/>
    <mergeCell ref="L420:L423"/>
    <mergeCell ref="A437:A438"/>
    <mergeCell ref="B437:B438"/>
    <mergeCell ref="C437:C438"/>
    <mergeCell ref="D437:D438"/>
    <mergeCell ref="E437:E438"/>
    <mergeCell ref="K414:K415"/>
    <mergeCell ref="K417:K418"/>
    <mergeCell ref="K425:K426"/>
    <mergeCell ref="K428:K429"/>
    <mergeCell ref="K430:K431"/>
    <mergeCell ref="K432:K433"/>
    <mergeCell ref="K435:K436"/>
    <mergeCell ref="K437:K438"/>
    <mergeCell ref="K420:K423"/>
    <mergeCell ref="A432:A433"/>
    <mergeCell ref="B432:B433"/>
    <mergeCell ref="C432:C433"/>
    <mergeCell ref="D432:D433"/>
    <mergeCell ref="E432:E433"/>
    <mergeCell ref="A435:A436"/>
    <mergeCell ref="B435:B436"/>
    <mergeCell ref="C435:C436"/>
    <mergeCell ref="D435:D436"/>
    <mergeCell ref="E435:E436"/>
    <mergeCell ref="A428:A429"/>
    <mergeCell ref="B428:B429"/>
    <mergeCell ref="C428:C429"/>
    <mergeCell ref="D428:D429"/>
    <mergeCell ref="E428:E429"/>
    <mergeCell ref="A430:A431"/>
    <mergeCell ref="B430:B431"/>
    <mergeCell ref="C430:C431"/>
    <mergeCell ref="D430:D431"/>
    <mergeCell ref="E430:E431"/>
    <mergeCell ref="A420:A423"/>
    <mergeCell ref="B420:B423"/>
    <mergeCell ref="C420:C423"/>
    <mergeCell ref="D420:D423"/>
    <mergeCell ref="E420:E423"/>
    <mergeCell ref="F420:F423"/>
    <mergeCell ref="G420:G423"/>
    <mergeCell ref="A425:A426"/>
    <mergeCell ref="B425:B426"/>
    <mergeCell ref="C425:C426"/>
    <mergeCell ref="D425:D426"/>
    <mergeCell ref="E425:E426"/>
    <mergeCell ref="A414:A415"/>
    <mergeCell ref="B414:B415"/>
    <mergeCell ref="C414:C415"/>
    <mergeCell ref="D414:D415"/>
    <mergeCell ref="E414:E415"/>
    <mergeCell ref="A417:A418"/>
    <mergeCell ref="B417:B418"/>
    <mergeCell ref="C417:C418"/>
    <mergeCell ref="D417:D418"/>
    <mergeCell ref="E417:E418"/>
    <mergeCell ref="K405:K406"/>
    <mergeCell ref="K411:K412"/>
    <mergeCell ref="L405:L406"/>
    <mergeCell ref="L411:L412"/>
    <mergeCell ref="A405:A406"/>
    <mergeCell ref="B405:B406"/>
    <mergeCell ref="C405:C406"/>
    <mergeCell ref="D405:D406"/>
    <mergeCell ref="E405:E406"/>
    <mergeCell ref="A411:A412"/>
    <mergeCell ref="B411:B412"/>
    <mergeCell ref="C411:C412"/>
    <mergeCell ref="D411:D412"/>
    <mergeCell ref="E411:E412"/>
    <mergeCell ref="L350:L351"/>
    <mergeCell ref="A348:A349"/>
    <mergeCell ref="B348:B349"/>
    <mergeCell ref="C348:C349"/>
    <mergeCell ref="D348:D349"/>
    <mergeCell ref="E348:E349"/>
    <mergeCell ref="K352:K353"/>
    <mergeCell ref="L352:L353"/>
    <mergeCell ref="K354:K355"/>
    <mergeCell ref="L354:L355"/>
    <mergeCell ref="A352:A353"/>
    <mergeCell ref="B352:B353"/>
    <mergeCell ref="C352:C353"/>
    <mergeCell ref="D352:D353"/>
    <mergeCell ref="E352:E353"/>
    <mergeCell ref="A354:A355"/>
    <mergeCell ref="B354:B355"/>
    <mergeCell ref="A371:A372"/>
    <mergeCell ref="B371:B372"/>
    <mergeCell ref="C371:C372"/>
    <mergeCell ref="L341:L343"/>
    <mergeCell ref="K346:K347"/>
    <mergeCell ref="L346:L347"/>
    <mergeCell ref="K348:K349"/>
    <mergeCell ref="L348:L349"/>
    <mergeCell ref="A341:A343"/>
    <mergeCell ref="B341:B343"/>
    <mergeCell ref="C341:C343"/>
    <mergeCell ref="D341:D343"/>
    <mergeCell ref="E341:E343"/>
    <mergeCell ref="A346:A347"/>
    <mergeCell ref="B346:B347"/>
    <mergeCell ref="C346:C347"/>
    <mergeCell ref="D346:D347"/>
    <mergeCell ref="E346:E347"/>
    <mergeCell ref="A344:A345"/>
    <mergeCell ref="B344:B345"/>
    <mergeCell ref="C344:C345"/>
    <mergeCell ref="D344:D345"/>
    <mergeCell ref="L344:L345"/>
    <mergeCell ref="D316:D317"/>
    <mergeCell ref="E316:E317"/>
    <mergeCell ref="A319:A321"/>
    <mergeCell ref="B319:B321"/>
    <mergeCell ref="C319:C321"/>
    <mergeCell ref="D319:D321"/>
    <mergeCell ref="E319:E321"/>
    <mergeCell ref="A307:A308"/>
    <mergeCell ref="B307:B308"/>
    <mergeCell ref="C307:C308"/>
    <mergeCell ref="D307:D308"/>
    <mergeCell ref="E307:E308"/>
    <mergeCell ref="A311:A312"/>
    <mergeCell ref="K307:K308"/>
    <mergeCell ref="L307:L308"/>
    <mergeCell ref="K311:K312"/>
    <mergeCell ref="L311:L312"/>
    <mergeCell ref="K316:K317"/>
    <mergeCell ref="L316:L317"/>
    <mergeCell ref="K319:K321"/>
    <mergeCell ref="L319:L321"/>
    <mergeCell ref="A316:A317"/>
    <mergeCell ref="B316:B317"/>
    <mergeCell ref="C316:C317"/>
    <mergeCell ref="K286:K288"/>
    <mergeCell ref="L286:L288"/>
    <mergeCell ref="K289:K290"/>
    <mergeCell ref="L289:L290"/>
    <mergeCell ref="K295:K296"/>
    <mergeCell ref="L295:L296"/>
    <mergeCell ref="K299:K300"/>
    <mergeCell ref="L299:L300"/>
    <mergeCell ref="K301:K302"/>
    <mergeCell ref="L301:L302"/>
    <mergeCell ref="A295:A296"/>
    <mergeCell ref="B295:B296"/>
    <mergeCell ref="C295:C296"/>
    <mergeCell ref="D295:D296"/>
    <mergeCell ref="E295:E296"/>
    <mergeCell ref="A299:A300"/>
    <mergeCell ref="B299:B300"/>
    <mergeCell ref="C299:C300"/>
    <mergeCell ref="C286:C288"/>
    <mergeCell ref="D286:D288"/>
    <mergeCell ref="E286:E288"/>
    <mergeCell ref="A289:A290"/>
    <mergeCell ref="B289:B290"/>
    <mergeCell ref="C289:C290"/>
    <mergeCell ref="D289:D290"/>
    <mergeCell ref="D299:D300"/>
    <mergeCell ref="E289:E290"/>
    <mergeCell ref="A301:A302"/>
    <mergeCell ref="B301:B302"/>
    <mergeCell ref="C301:C302"/>
    <mergeCell ref="D301:D302"/>
    <mergeCell ref="E301:E302"/>
    <mergeCell ref="K276:K278"/>
    <mergeCell ref="L276:L278"/>
    <mergeCell ref="K242:K243"/>
    <mergeCell ref="L242:L243"/>
    <mergeCell ref="K245:K246"/>
    <mergeCell ref="L245:L246"/>
    <mergeCell ref="A245:A246"/>
    <mergeCell ref="B245:B246"/>
    <mergeCell ref="C245:C246"/>
    <mergeCell ref="D245:D246"/>
    <mergeCell ref="E245:E246"/>
    <mergeCell ref="A242:A243"/>
    <mergeCell ref="B242:B243"/>
    <mergeCell ref="C242:C243"/>
    <mergeCell ref="D242:D243"/>
    <mergeCell ref="E242:E243"/>
    <mergeCell ref="A253:A254"/>
    <mergeCell ref="B253:B254"/>
    <mergeCell ref="C253:C254"/>
    <mergeCell ref="D253:D254"/>
    <mergeCell ref="E253:E254"/>
    <mergeCell ref="K247:K248"/>
    <mergeCell ref="L247:L248"/>
    <mergeCell ref="K250:K251"/>
    <mergeCell ref="L250:L251"/>
    <mergeCell ref="K253:K254"/>
    <mergeCell ref="L253:L254"/>
    <mergeCell ref="A247:A248"/>
    <mergeCell ref="B247:B248"/>
    <mergeCell ref="C247:C248"/>
    <mergeCell ref="D247:D248"/>
    <mergeCell ref="E247:E248"/>
    <mergeCell ref="A191:A192"/>
    <mergeCell ref="B191:B192"/>
    <mergeCell ref="C191:C192"/>
    <mergeCell ref="D191:D192"/>
    <mergeCell ref="E191:E192"/>
    <mergeCell ref="K191:K192"/>
    <mergeCell ref="L191:L192"/>
    <mergeCell ref="A207:A208"/>
    <mergeCell ref="B207:B208"/>
    <mergeCell ref="C207:C208"/>
    <mergeCell ref="D207:D208"/>
    <mergeCell ref="E207:E208"/>
    <mergeCell ref="K221:K222"/>
    <mergeCell ref="L221:L222"/>
    <mergeCell ref="K225:K226"/>
    <mergeCell ref="L225:L226"/>
    <mergeCell ref="A221:A222"/>
    <mergeCell ref="B221:B222"/>
    <mergeCell ref="C221:C222"/>
    <mergeCell ref="D221:D222"/>
    <mergeCell ref="E221:E222"/>
    <mergeCell ref="A225:A226"/>
    <mergeCell ref="B225:B226"/>
    <mergeCell ref="C225:C226"/>
    <mergeCell ref="D225:D226"/>
    <mergeCell ref="E225:E226"/>
    <mergeCell ref="A215:A216"/>
    <mergeCell ref="B215:B216"/>
    <mergeCell ref="C215:C216"/>
    <mergeCell ref="D215:D216"/>
    <mergeCell ref="E215:E216"/>
    <mergeCell ref="K215:K216"/>
    <mergeCell ref="A95:A97"/>
    <mergeCell ref="B95:B97"/>
    <mergeCell ref="C95:C97"/>
    <mergeCell ref="A99:A100"/>
    <mergeCell ref="B99:B100"/>
    <mergeCell ref="C99:C100"/>
    <mergeCell ref="A101:A102"/>
    <mergeCell ref="B101:B102"/>
    <mergeCell ref="C101:C102"/>
    <mergeCell ref="L99:L100"/>
    <mergeCell ref="L95:L97"/>
    <mergeCell ref="L101:L102"/>
    <mergeCell ref="D95:D97"/>
    <mergeCell ref="E95:E97"/>
    <mergeCell ref="D99:D100"/>
    <mergeCell ref="E99:E100"/>
    <mergeCell ref="D101:D102"/>
    <mergeCell ref="E101:E102"/>
    <mergeCell ref="K95:K97"/>
    <mergeCell ref="K99:K100"/>
    <mergeCell ref="K101:K102"/>
    <mergeCell ref="A89:A91"/>
    <mergeCell ref="B89:B91"/>
    <mergeCell ref="C89:C91"/>
    <mergeCell ref="D89:D91"/>
    <mergeCell ref="E89:E91"/>
    <mergeCell ref="K56:K57"/>
    <mergeCell ref="L56:L57"/>
    <mergeCell ref="K49:K50"/>
    <mergeCell ref="L49:L50"/>
    <mergeCell ref="K51:K52"/>
    <mergeCell ref="L51:L52"/>
    <mergeCell ref="K54:K55"/>
    <mergeCell ref="L54:L55"/>
    <mergeCell ref="A76:A77"/>
    <mergeCell ref="B76:B77"/>
    <mergeCell ref="C76:C77"/>
    <mergeCell ref="D76:D77"/>
    <mergeCell ref="E76:E77"/>
    <mergeCell ref="A56:A57"/>
    <mergeCell ref="B56:B57"/>
    <mergeCell ref="C56:C57"/>
    <mergeCell ref="D56:D57"/>
    <mergeCell ref="E56:E57"/>
    <mergeCell ref="K58:K59"/>
    <mergeCell ref="L58:L59"/>
    <mergeCell ref="A64:A65"/>
    <mergeCell ref="B64:B65"/>
    <mergeCell ref="K89:K91"/>
    <mergeCell ref="L89:L91"/>
    <mergeCell ref="K72:K73"/>
    <mergeCell ref="C64:C65"/>
    <mergeCell ref="D64:D65"/>
    <mergeCell ref="L23:L24"/>
    <mergeCell ref="K23:K24"/>
    <mergeCell ref="K20:K21"/>
    <mergeCell ref="C51:C52"/>
    <mergeCell ref="D51:D52"/>
    <mergeCell ref="A47:A48"/>
    <mergeCell ref="B47:B48"/>
    <mergeCell ref="C42:C43"/>
    <mergeCell ref="D42:D43"/>
    <mergeCell ref="E42:E43"/>
    <mergeCell ref="A33:A34"/>
    <mergeCell ref="B33:B34"/>
    <mergeCell ref="C33:C34"/>
    <mergeCell ref="D33:D34"/>
    <mergeCell ref="E33:E34"/>
    <mergeCell ref="A78:A79"/>
    <mergeCell ref="B78:B79"/>
    <mergeCell ref="C78:C79"/>
    <mergeCell ref="D78:D79"/>
    <mergeCell ref="E78:E79"/>
    <mergeCell ref="A67:A68"/>
    <mergeCell ref="B67:B68"/>
    <mergeCell ref="C67:C68"/>
    <mergeCell ref="D67:D68"/>
    <mergeCell ref="E67:E68"/>
    <mergeCell ref="L20:L21"/>
    <mergeCell ref="K33:K34"/>
    <mergeCell ref="L33:L34"/>
    <mergeCell ref="K42:K43"/>
    <mergeCell ref="L42:L43"/>
    <mergeCell ref="K44:K45"/>
    <mergeCell ref="L44:L45"/>
    <mergeCell ref="K47:K48"/>
    <mergeCell ref="L47:L48"/>
    <mergeCell ref="K7:K8"/>
    <mergeCell ref="L7:L8"/>
    <mergeCell ref="K3:K4"/>
    <mergeCell ref="L3:L4"/>
    <mergeCell ref="K5:K6"/>
    <mergeCell ref="L5:L6"/>
    <mergeCell ref="A54:A55"/>
    <mergeCell ref="B54:B55"/>
    <mergeCell ref="C54:C55"/>
    <mergeCell ref="D54:D55"/>
    <mergeCell ref="E54:E55"/>
    <mergeCell ref="A49:A50"/>
    <mergeCell ref="B49:B50"/>
    <mergeCell ref="C49:C50"/>
    <mergeCell ref="D49:D50"/>
    <mergeCell ref="E49:E50"/>
    <mergeCell ref="A51:A52"/>
    <mergeCell ref="B51:B52"/>
    <mergeCell ref="A3:C3"/>
    <mergeCell ref="D3:E3"/>
    <mergeCell ref="G3:G4"/>
    <mergeCell ref="A5:A6"/>
    <mergeCell ref="B5:B6"/>
    <mergeCell ref="C5:C6"/>
    <mergeCell ref="D5:D6"/>
    <mergeCell ref="E5:E6"/>
    <mergeCell ref="A23:A24"/>
    <mergeCell ref="B23:B24"/>
    <mergeCell ref="C23:C24"/>
    <mergeCell ref="D23:D24"/>
    <mergeCell ref="E23:E24"/>
    <mergeCell ref="A20:A21"/>
    <mergeCell ref="B20:B21"/>
    <mergeCell ref="C20:C21"/>
    <mergeCell ref="D20:D21"/>
    <mergeCell ref="E20:E21"/>
    <mergeCell ref="E51:E52"/>
    <mergeCell ref="A44:A45"/>
    <mergeCell ref="B44:B45"/>
    <mergeCell ref="C44:C45"/>
    <mergeCell ref="D44:D45"/>
    <mergeCell ref="E44:E45"/>
    <mergeCell ref="C47:C48"/>
    <mergeCell ref="D47:D48"/>
    <mergeCell ref="E47:E48"/>
    <mergeCell ref="A42:A43"/>
    <mergeCell ref="B42:B43"/>
    <mergeCell ref="K74:K75"/>
    <mergeCell ref="A7:A8"/>
    <mergeCell ref="B7:B8"/>
    <mergeCell ref="C7:C8"/>
    <mergeCell ref="D7:D8"/>
    <mergeCell ref="E7:E8"/>
    <mergeCell ref="L67:L68"/>
    <mergeCell ref="L69:L70"/>
    <mergeCell ref="L72:L73"/>
    <mergeCell ref="L74:L75"/>
    <mergeCell ref="A69:A70"/>
    <mergeCell ref="B69:B70"/>
    <mergeCell ref="C69:C70"/>
    <mergeCell ref="D69:D70"/>
    <mergeCell ref="E69:E70"/>
    <mergeCell ref="A74:A75"/>
    <mergeCell ref="B74:B75"/>
    <mergeCell ref="C74:C75"/>
    <mergeCell ref="D74:D75"/>
    <mergeCell ref="E74:E75"/>
    <mergeCell ref="A72:A73"/>
    <mergeCell ref="E64:E65"/>
    <mergeCell ref="L64:L65"/>
    <mergeCell ref="A58:A59"/>
    <mergeCell ref="B58:B59"/>
    <mergeCell ref="C58:C59"/>
    <mergeCell ref="D58:D59"/>
    <mergeCell ref="E58:E59"/>
    <mergeCell ref="B72:B73"/>
    <mergeCell ref="C72:C73"/>
    <mergeCell ref="D72:D73"/>
    <mergeCell ref="E72:E73"/>
    <mergeCell ref="D107:D108"/>
    <mergeCell ref="E107:E108"/>
    <mergeCell ref="A121:A122"/>
    <mergeCell ref="B121:B122"/>
    <mergeCell ref="C121:C122"/>
    <mergeCell ref="D121:D122"/>
    <mergeCell ref="E121:E122"/>
    <mergeCell ref="A111:A112"/>
    <mergeCell ref="B111:B112"/>
    <mergeCell ref="C111:C112"/>
    <mergeCell ref="D111:D112"/>
    <mergeCell ref="E111:E112"/>
    <mergeCell ref="A113:A114"/>
    <mergeCell ref="B113:B114"/>
    <mergeCell ref="C113:C114"/>
    <mergeCell ref="D113:D114"/>
    <mergeCell ref="E113:E114"/>
    <mergeCell ref="A124:A125"/>
    <mergeCell ref="B124:B125"/>
    <mergeCell ref="C124:C125"/>
    <mergeCell ref="D124:D125"/>
    <mergeCell ref="E124:E125"/>
    <mergeCell ref="K104:K105"/>
    <mergeCell ref="L104:L105"/>
    <mergeCell ref="K107:K108"/>
    <mergeCell ref="L107:L108"/>
    <mergeCell ref="K111:K112"/>
    <mergeCell ref="L111:L112"/>
    <mergeCell ref="K113:K114"/>
    <mergeCell ref="L113:L114"/>
    <mergeCell ref="K118:K119"/>
    <mergeCell ref="L118:L119"/>
    <mergeCell ref="K121:K122"/>
    <mergeCell ref="L121:L122"/>
    <mergeCell ref="K124:K125"/>
    <mergeCell ref="L124:L125"/>
    <mergeCell ref="A118:A119"/>
    <mergeCell ref="B118:B119"/>
    <mergeCell ref="C118:C119"/>
    <mergeCell ref="D118:D119"/>
    <mergeCell ref="E118:E119"/>
    <mergeCell ref="A104:A105"/>
    <mergeCell ref="B104:B105"/>
    <mergeCell ref="C104:C105"/>
    <mergeCell ref="D104:D105"/>
    <mergeCell ref="E104:E105"/>
    <mergeCell ref="A107:A108"/>
    <mergeCell ref="B107:B108"/>
    <mergeCell ref="C107:C108"/>
    <mergeCell ref="C160:C161"/>
    <mergeCell ref="D160:D161"/>
    <mergeCell ref="E160:E161"/>
    <mergeCell ref="A163:A164"/>
    <mergeCell ref="K163:K164"/>
    <mergeCell ref="L163:L164"/>
    <mergeCell ref="K133:K135"/>
    <mergeCell ref="L133:L135"/>
    <mergeCell ref="L140:L141"/>
    <mergeCell ref="L138:L139"/>
    <mergeCell ref="K140:K141"/>
    <mergeCell ref="A133:A135"/>
    <mergeCell ref="B133:B135"/>
    <mergeCell ref="C133:C135"/>
    <mergeCell ref="D133:D135"/>
    <mergeCell ref="E133:E135"/>
    <mergeCell ref="L153:L154"/>
    <mergeCell ref="K153:K154"/>
    <mergeCell ref="K156:K157"/>
    <mergeCell ref="L156:L157"/>
    <mergeCell ref="L144:L145"/>
    <mergeCell ref="L147:L148"/>
    <mergeCell ref="K147:K148"/>
    <mergeCell ref="K144:K145"/>
    <mergeCell ref="L160:L161"/>
    <mergeCell ref="K160:K161"/>
    <mergeCell ref="A160:A161"/>
    <mergeCell ref="B160:B161"/>
    <mergeCell ref="B163:B164"/>
    <mergeCell ref="C163:C164"/>
    <mergeCell ref="D163:D164"/>
    <mergeCell ref="E163:E164"/>
    <mergeCell ref="C182:C183"/>
    <mergeCell ref="D182:D183"/>
    <mergeCell ref="E182:E183"/>
    <mergeCell ref="K166:K168"/>
    <mergeCell ref="L166:L168"/>
    <mergeCell ref="K170:K171"/>
    <mergeCell ref="L170:L171"/>
    <mergeCell ref="A166:A168"/>
    <mergeCell ref="B166:B168"/>
    <mergeCell ref="C166:C168"/>
    <mergeCell ref="D166:D168"/>
    <mergeCell ref="E166:E168"/>
    <mergeCell ref="A170:A171"/>
    <mergeCell ref="B170:B171"/>
    <mergeCell ref="C170:C171"/>
    <mergeCell ref="D170:D171"/>
    <mergeCell ref="E170:E171"/>
    <mergeCell ref="K174:K175"/>
    <mergeCell ref="L174:L175"/>
    <mergeCell ref="K179:K181"/>
    <mergeCell ref="L179:L181"/>
    <mergeCell ref="K182:K183"/>
    <mergeCell ref="L182:L183"/>
    <mergeCell ref="L215:L216"/>
    <mergeCell ref="K217:K218"/>
    <mergeCell ref="L217:L218"/>
    <mergeCell ref="K199:K200"/>
    <mergeCell ref="K204:K205"/>
    <mergeCell ref="K207:K208"/>
    <mergeCell ref="L199:L200"/>
    <mergeCell ref="L204:L205"/>
    <mergeCell ref="L207:L208"/>
    <mergeCell ref="A217:A218"/>
    <mergeCell ref="A174:A175"/>
    <mergeCell ref="B174:B175"/>
    <mergeCell ref="C174:C175"/>
    <mergeCell ref="D174:D175"/>
    <mergeCell ref="E174:E175"/>
    <mergeCell ref="A199:A200"/>
    <mergeCell ref="B199:B200"/>
    <mergeCell ref="C199:C200"/>
    <mergeCell ref="D199:D200"/>
    <mergeCell ref="E199:E200"/>
    <mergeCell ref="A204:A205"/>
    <mergeCell ref="B204:B205"/>
    <mergeCell ref="C204:C205"/>
    <mergeCell ref="D204:D205"/>
    <mergeCell ref="E204:E205"/>
    <mergeCell ref="A179:A181"/>
    <mergeCell ref="B179:B181"/>
    <mergeCell ref="C179:C181"/>
    <mergeCell ref="D179:D181"/>
    <mergeCell ref="E179:E181"/>
    <mergeCell ref="A182:A183"/>
    <mergeCell ref="B182:B183"/>
    <mergeCell ref="A228:A229"/>
    <mergeCell ref="B228:B229"/>
    <mergeCell ref="C228:C229"/>
    <mergeCell ref="D228:D229"/>
    <mergeCell ref="E228:E229"/>
    <mergeCell ref="B217:B218"/>
    <mergeCell ref="C217:C218"/>
    <mergeCell ref="D217:D218"/>
    <mergeCell ref="E217:E218"/>
    <mergeCell ref="K228:K229"/>
    <mergeCell ref="L228:L229"/>
    <mergeCell ref="K233:K234"/>
    <mergeCell ref="L233:L234"/>
    <mergeCell ref="K237:K238"/>
    <mergeCell ref="L237:L238"/>
    <mergeCell ref="A233:A234"/>
    <mergeCell ref="B233:B234"/>
    <mergeCell ref="C233:C234"/>
    <mergeCell ref="D233:D234"/>
    <mergeCell ref="E233:E234"/>
    <mergeCell ref="A237:A238"/>
    <mergeCell ref="B237:B238"/>
    <mergeCell ref="C237:C238"/>
    <mergeCell ref="D237:D238"/>
    <mergeCell ref="E237:E238"/>
    <mergeCell ref="A250:A251"/>
    <mergeCell ref="B250:B251"/>
    <mergeCell ref="C250:C251"/>
    <mergeCell ref="D250:D251"/>
    <mergeCell ref="E250:E251"/>
    <mergeCell ref="A256:A258"/>
    <mergeCell ref="B256:B258"/>
    <mergeCell ref="C256:C258"/>
    <mergeCell ref="D256:D258"/>
    <mergeCell ref="E256:E258"/>
    <mergeCell ref="A262:A263"/>
    <mergeCell ref="B262:B263"/>
    <mergeCell ref="C262:C263"/>
    <mergeCell ref="D262:D263"/>
    <mergeCell ref="E262:E263"/>
    <mergeCell ref="A265:A266"/>
    <mergeCell ref="B265:B266"/>
    <mergeCell ref="C265:C266"/>
    <mergeCell ref="D265:D266"/>
    <mergeCell ref="E265:E266"/>
    <mergeCell ref="A268:A269"/>
    <mergeCell ref="B268:B269"/>
    <mergeCell ref="C268:C269"/>
    <mergeCell ref="D268:D269"/>
    <mergeCell ref="E268:E269"/>
    <mergeCell ref="K256:K258"/>
    <mergeCell ref="L256:L258"/>
    <mergeCell ref="K262:K263"/>
    <mergeCell ref="L262:L263"/>
    <mergeCell ref="K265:K266"/>
    <mergeCell ref="L265:L266"/>
    <mergeCell ref="K268:K269"/>
    <mergeCell ref="L268:L269"/>
    <mergeCell ref="K271:K275"/>
    <mergeCell ref="L271:L275"/>
    <mergeCell ref="B311:B312"/>
    <mergeCell ref="C311:C312"/>
    <mergeCell ref="D311:D312"/>
    <mergeCell ref="E311:E312"/>
    <mergeCell ref="A271:A275"/>
    <mergeCell ref="B271:B275"/>
    <mergeCell ref="C271:C275"/>
    <mergeCell ref="D271:D275"/>
    <mergeCell ref="E271:E275"/>
    <mergeCell ref="A276:A278"/>
    <mergeCell ref="B276:B278"/>
    <mergeCell ref="C276:C278"/>
    <mergeCell ref="D276:D278"/>
    <mergeCell ref="E276:E278"/>
    <mergeCell ref="E299:E300"/>
    <mergeCell ref="A286:A288"/>
    <mergeCell ref="B286:B288"/>
    <mergeCell ref="L336:L337"/>
    <mergeCell ref="K339:K340"/>
    <mergeCell ref="L339:L340"/>
    <mergeCell ref="A329:A330"/>
    <mergeCell ref="B329:B330"/>
    <mergeCell ref="C329:C330"/>
    <mergeCell ref="D329:D330"/>
    <mergeCell ref="E329:E330"/>
    <mergeCell ref="K329:K330"/>
    <mergeCell ref="L329:L330"/>
    <mergeCell ref="A336:A337"/>
    <mergeCell ref="B336:B337"/>
    <mergeCell ref="C336:C337"/>
    <mergeCell ref="D336:D337"/>
    <mergeCell ref="E336:E337"/>
    <mergeCell ref="K324:K326"/>
    <mergeCell ref="L324:L326"/>
    <mergeCell ref="K327:K328"/>
    <mergeCell ref="L327:L328"/>
    <mergeCell ref="A324:A326"/>
    <mergeCell ref="B324:B326"/>
    <mergeCell ref="C324:C326"/>
    <mergeCell ref="D324:D326"/>
    <mergeCell ref="E324:E326"/>
    <mergeCell ref="A327:A328"/>
    <mergeCell ref="B327:B328"/>
    <mergeCell ref="C327:C328"/>
    <mergeCell ref="D327:D328"/>
    <mergeCell ref="E327:E328"/>
    <mergeCell ref="D371:D372"/>
    <mergeCell ref="C359:C360"/>
    <mergeCell ref="D359:D360"/>
    <mergeCell ref="E359:E360"/>
    <mergeCell ref="A339:A340"/>
    <mergeCell ref="B339:B340"/>
    <mergeCell ref="C339:C340"/>
    <mergeCell ref="D339:D340"/>
    <mergeCell ref="E339:E340"/>
    <mergeCell ref="K336:K337"/>
    <mergeCell ref="K341:K343"/>
    <mergeCell ref="A350:A351"/>
    <mergeCell ref="B350:B351"/>
    <mergeCell ref="C350:C351"/>
    <mergeCell ref="D350:D351"/>
    <mergeCell ref="E350:E351"/>
    <mergeCell ref="K350:K351"/>
    <mergeCell ref="K371:K372"/>
    <mergeCell ref="E371:E372"/>
    <mergeCell ref="E344:E345"/>
    <mergeCell ref="K344:K345"/>
    <mergeCell ref="C354:C355"/>
    <mergeCell ref="D354:D355"/>
    <mergeCell ref="E354:E355"/>
    <mergeCell ref="B380:B381"/>
    <mergeCell ref="C380:C381"/>
    <mergeCell ref="D380:D381"/>
    <mergeCell ref="E380:E381"/>
    <mergeCell ref="K373:K374"/>
    <mergeCell ref="L357:L358"/>
    <mergeCell ref="L359:L360"/>
    <mergeCell ref="L366:L367"/>
    <mergeCell ref="L369:L370"/>
    <mergeCell ref="L371:L372"/>
    <mergeCell ref="L373:L374"/>
    <mergeCell ref="A366:A367"/>
    <mergeCell ref="B366:B367"/>
    <mergeCell ref="C366:C367"/>
    <mergeCell ref="D366:D367"/>
    <mergeCell ref="E366:E367"/>
    <mergeCell ref="K357:K358"/>
    <mergeCell ref="K359:K360"/>
    <mergeCell ref="K366:K367"/>
    <mergeCell ref="K369:K370"/>
    <mergeCell ref="A357:A358"/>
    <mergeCell ref="B357:B358"/>
    <mergeCell ref="C357:C358"/>
    <mergeCell ref="D357:D358"/>
    <mergeCell ref="E357:E358"/>
    <mergeCell ref="A359:A360"/>
    <mergeCell ref="B359:B360"/>
    <mergeCell ref="A369:A370"/>
    <mergeCell ref="B369:B370"/>
    <mergeCell ref="C369:C370"/>
    <mergeCell ref="D369:D370"/>
    <mergeCell ref="E369:E370"/>
    <mergeCell ref="E382:E384"/>
    <mergeCell ref="A388:A389"/>
    <mergeCell ref="B388:B389"/>
    <mergeCell ref="C388:C389"/>
    <mergeCell ref="D388:D389"/>
    <mergeCell ref="E388:E389"/>
    <mergeCell ref="A390:A393"/>
    <mergeCell ref="B390:B393"/>
    <mergeCell ref="C390:C393"/>
    <mergeCell ref="D390:D393"/>
    <mergeCell ref="E390:E393"/>
    <mergeCell ref="A396:A397"/>
    <mergeCell ref="B396:B397"/>
    <mergeCell ref="C396:C397"/>
    <mergeCell ref="D396:D397"/>
    <mergeCell ref="E396:E397"/>
    <mergeCell ref="A373:A374"/>
    <mergeCell ref="B373:B374"/>
    <mergeCell ref="C373:C374"/>
    <mergeCell ref="D373:D374"/>
    <mergeCell ref="E373:E374"/>
    <mergeCell ref="A375:A377"/>
    <mergeCell ref="B375:B377"/>
    <mergeCell ref="C375:C377"/>
    <mergeCell ref="D375:D377"/>
    <mergeCell ref="E375:E377"/>
    <mergeCell ref="A378:A379"/>
    <mergeCell ref="B378:B379"/>
    <mergeCell ref="C378:C379"/>
    <mergeCell ref="D378:D379"/>
    <mergeCell ref="E378:E379"/>
    <mergeCell ref="A380:A381"/>
    <mergeCell ref="K403:K404"/>
    <mergeCell ref="L403:L404"/>
    <mergeCell ref="A398:A401"/>
    <mergeCell ref="B398:B401"/>
    <mergeCell ref="C398:C401"/>
    <mergeCell ref="D398:D401"/>
    <mergeCell ref="E398:E401"/>
    <mergeCell ref="A403:A404"/>
    <mergeCell ref="B403:B404"/>
    <mergeCell ref="C403:C404"/>
    <mergeCell ref="D403:D404"/>
    <mergeCell ref="E403:E404"/>
    <mergeCell ref="K375:K377"/>
    <mergeCell ref="K382:K384"/>
    <mergeCell ref="L375:L377"/>
    <mergeCell ref="L382:L384"/>
    <mergeCell ref="K398:K401"/>
    <mergeCell ref="L398:L401"/>
    <mergeCell ref="K390:K393"/>
    <mergeCell ref="L390:L393"/>
    <mergeCell ref="K378:K379"/>
    <mergeCell ref="L378:L379"/>
    <mergeCell ref="K380:K381"/>
    <mergeCell ref="L380:L381"/>
    <mergeCell ref="K388:K389"/>
    <mergeCell ref="L388:L389"/>
    <mergeCell ref="K396:K397"/>
    <mergeCell ref="L396:L397"/>
    <mergeCell ref="A382:A384"/>
    <mergeCell ref="B382:B384"/>
    <mergeCell ref="C382:C384"/>
    <mergeCell ref="D382:D384"/>
    <mergeCell ref="L495:L496"/>
    <mergeCell ref="K509:K511"/>
    <mergeCell ref="L509:L511"/>
    <mergeCell ref="K512:K515"/>
    <mergeCell ref="A442:A443"/>
    <mergeCell ref="B442:B443"/>
    <mergeCell ref="C442:C443"/>
    <mergeCell ref="D442:D443"/>
    <mergeCell ref="E442:E443"/>
    <mergeCell ref="A444:A445"/>
    <mergeCell ref="B444:B445"/>
    <mergeCell ref="C444:C445"/>
    <mergeCell ref="D444:D445"/>
    <mergeCell ref="E444:E445"/>
    <mergeCell ref="A449:A450"/>
    <mergeCell ref="B449:B450"/>
    <mergeCell ref="C449:C450"/>
    <mergeCell ref="D449:D450"/>
    <mergeCell ref="E449:E450"/>
    <mergeCell ref="F449:F450"/>
    <mergeCell ref="G449:G450"/>
    <mergeCell ref="K461:K462"/>
    <mergeCell ref="K465:K466"/>
    <mergeCell ref="K471:K472"/>
    <mergeCell ref="L461:L462"/>
    <mergeCell ref="L465:L466"/>
    <mergeCell ref="L471:L472"/>
    <mergeCell ref="A461:A462"/>
    <mergeCell ref="B461:B462"/>
    <mergeCell ref="C461:C462"/>
    <mergeCell ref="D461:D462"/>
    <mergeCell ref="E461:E462"/>
    <mergeCell ref="L442:L443"/>
    <mergeCell ref="K444:K445"/>
    <mergeCell ref="L444:L445"/>
    <mergeCell ref="K449:K450"/>
    <mergeCell ref="L449:L450"/>
    <mergeCell ref="K453:K454"/>
    <mergeCell ref="L453:L454"/>
    <mergeCell ref="K479:K480"/>
    <mergeCell ref="K481:K483"/>
    <mergeCell ref="L479:L480"/>
    <mergeCell ref="L481:L483"/>
    <mergeCell ref="K485:K486"/>
    <mergeCell ref="L485:L486"/>
    <mergeCell ref="K488:K489"/>
    <mergeCell ref="L488:L489"/>
    <mergeCell ref="K490:K491"/>
    <mergeCell ref="L490:L491"/>
    <mergeCell ref="A509:A511"/>
    <mergeCell ref="B509:B511"/>
    <mergeCell ref="C509:C511"/>
    <mergeCell ref="D509:D511"/>
    <mergeCell ref="E509:E511"/>
    <mergeCell ref="A512:A515"/>
    <mergeCell ref="A453:A454"/>
    <mergeCell ref="B453:B454"/>
    <mergeCell ref="C453:C454"/>
    <mergeCell ref="D453:D454"/>
    <mergeCell ref="E453:E454"/>
    <mergeCell ref="B512:B515"/>
    <mergeCell ref="C512:C515"/>
    <mergeCell ref="D512:D515"/>
    <mergeCell ref="E512:E515"/>
    <mergeCell ref="K442:K443"/>
    <mergeCell ref="K495:K496"/>
    <mergeCell ref="A465:A466"/>
    <mergeCell ref="B465:B466"/>
    <mergeCell ref="C465:C466"/>
    <mergeCell ref="D465:D466"/>
    <mergeCell ref="E465:E466"/>
    <mergeCell ref="G485:G486"/>
    <mergeCell ref="A488:A489"/>
    <mergeCell ref="B488:B489"/>
    <mergeCell ref="C488:C489"/>
    <mergeCell ref="D488:D489"/>
    <mergeCell ref="E488:E489"/>
    <mergeCell ref="A479:A480"/>
    <mergeCell ref="B479:B480"/>
    <mergeCell ref="C479:C480"/>
    <mergeCell ref="D479:D480"/>
    <mergeCell ref="L512:L515"/>
    <mergeCell ref="K516:K517"/>
    <mergeCell ref="L516:L517"/>
    <mergeCell ref="K522:K523"/>
    <mergeCell ref="L522:L523"/>
    <mergeCell ref="A516:A517"/>
    <mergeCell ref="B516:B517"/>
    <mergeCell ref="C516:C517"/>
    <mergeCell ref="D516:D517"/>
    <mergeCell ref="E516:E517"/>
    <mergeCell ref="A522:A523"/>
    <mergeCell ref="B522:B523"/>
    <mergeCell ref="C522:C523"/>
    <mergeCell ref="D522:D523"/>
    <mergeCell ref="E522:E523"/>
    <mergeCell ref="A533:A534"/>
    <mergeCell ref="B533:B534"/>
    <mergeCell ref="C533:C534"/>
    <mergeCell ref="D533:D534"/>
    <mergeCell ref="E533:E534"/>
    <mergeCell ref="K526:K527"/>
    <mergeCell ref="L526:L527"/>
    <mergeCell ref="K528:K529"/>
    <mergeCell ref="L528:L529"/>
    <mergeCell ref="K530:K531"/>
    <mergeCell ref="L530:L531"/>
    <mergeCell ref="K533:K534"/>
    <mergeCell ref="L533:L534"/>
    <mergeCell ref="A528:A529"/>
    <mergeCell ref="B528:B529"/>
    <mergeCell ref="C528:C529"/>
    <mergeCell ref="E528:E529"/>
    <mergeCell ref="L546:L547"/>
    <mergeCell ref="K550:K551"/>
    <mergeCell ref="L550:L551"/>
    <mergeCell ref="A536:A537"/>
    <mergeCell ref="B536:B537"/>
    <mergeCell ref="C536:C537"/>
    <mergeCell ref="D536:D537"/>
    <mergeCell ref="E536:E537"/>
    <mergeCell ref="A542:A543"/>
    <mergeCell ref="B542:B543"/>
    <mergeCell ref="C542:C543"/>
    <mergeCell ref="D542:D543"/>
    <mergeCell ref="E542:E543"/>
    <mergeCell ref="F542:F543"/>
    <mergeCell ref="A544:A545"/>
    <mergeCell ref="B544:B545"/>
    <mergeCell ref="C544:C545"/>
    <mergeCell ref="D544:D545"/>
    <mergeCell ref="E544:E545"/>
    <mergeCell ref="F544:F545"/>
    <mergeCell ref="G544:G545"/>
    <mergeCell ref="A546:A547"/>
    <mergeCell ref="B546:B547"/>
    <mergeCell ref="C546:C547"/>
    <mergeCell ref="D546:D547"/>
    <mergeCell ref="K598:K599"/>
    <mergeCell ref="L598:L599"/>
    <mergeCell ref="K600:K601"/>
    <mergeCell ref="L600:L601"/>
    <mergeCell ref="K604:K605"/>
    <mergeCell ref="L604:L605"/>
    <mergeCell ref="K608:K609"/>
    <mergeCell ref="L608:L609"/>
    <mergeCell ref="K615:K616"/>
    <mergeCell ref="L615:L616"/>
    <mergeCell ref="K621:K622"/>
    <mergeCell ref="L621:L622"/>
    <mergeCell ref="A630:A631"/>
    <mergeCell ref="B630:B631"/>
    <mergeCell ref="C630:C631"/>
    <mergeCell ref="D630:D631"/>
    <mergeCell ref="E630:E631"/>
    <mergeCell ref="A598:A599"/>
    <mergeCell ref="B598:B599"/>
    <mergeCell ref="C598:C599"/>
    <mergeCell ref="D598:D599"/>
    <mergeCell ref="E598:E599"/>
    <mergeCell ref="A600:A601"/>
    <mergeCell ref="B600:B601"/>
    <mergeCell ref="C600:C601"/>
    <mergeCell ref="D600:D601"/>
    <mergeCell ref="E600:E601"/>
    <mergeCell ref="A604:A605"/>
    <mergeCell ref="B604:B605"/>
    <mergeCell ref="C604:C605"/>
    <mergeCell ref="D604:D605"/>
    <mergeCell ref="E604:E605"/>
    <mergeCell ref="K642:K643"/>
    <mergeCell ref="L642:L643"/>
    <mergeCell ref="B615:B616"/>
    <mergeCell ref="C615:C616"/>
    <mergeCell ref="D615:D616"/>
    <mergeCell ref="E615:E616"/>
    <mergeCell ref="A621:A622"/>
    <mergeCell ref="B621:B622"/>
    <mergeCell ref="C621:C622"/>
    <mergeCell ref="D621:D622"/>
    <mergeCell ref="E621:E622"/>
    <mergeCell ref="A623:A625"/>
    <mergeCell ref="B623:B625"/>
    <mergeCell ref="C623:C625"/>
    <mergeCell ref="D623:D625"/>
    <mergeCell ref="E623:E625"/>
    <mergeCell ref="C633:C634"/>
    <mergeCell ref="D633:D634"/>
    <mergeCell ref="E633:E634"/>
    <mergeCell ref="A637:A638"/>
    <mergeCell ref="B637:B638"/>
    <mergeCell ref="C637:C638"/>
    <mergeCell ref="D637:D638"/>
    <mergeCell ref="E637:E638"/>
    <mergeCell ref="K630:K631"/>
    <mergeCell ref="L630:L631"/>
    <mergeCell ref="K633:K634"/>
    <mergeCell ref="L633:L634"/>
    <mergeCell ref="K637:K638"/>
    <mergeCell ref="L637:L638"/>
    <mergeCell ref="K612:K614"/>
    <mergeCell ref="L612:L614"/>
    <mergeCell ref="K623:K625"/>
    <mergeCell ref="L623:L625"/>
    <mergeCell ref="A676:A677"/>
    <mergeCell ref="B676:B677"/>
    <mergeCell ref="C676:C677"/>
    <mergeCell ref="D676:D677"/>
    <mergeCell ref="E676:E677"/>
    <mergeCell ref="K676:K677"/>
    <mergeCell ref="L676:L677"/>
    <mergeCell ref="K679:K680"/>
    <mergeCell ref="L679:L680"/>
    <mergeCell ref="K681:K682"/>
    <mergeCell ref="L681:L682"/>
    <mergeCell ref="A648:A649"/>
    <mergeCell ref="B648:B649"/>
    <mergeCell ref="C648:C649"/>
    <mergeCell ref="D648:D649"/>
    <mergeCell ref="E648:E649"/>
    <mergeCell ref="K648:K649"/>
    <mergeCell ref="L648:L649"/>
    <mergeCell ref="K652:K654"/>
    <mergeCell ref="L652:L654"/>
    <mergeCell ref="K655:K657"/>
    <mergeCell ref="L655:L657"/>
    <mergeCell ref="K658:K661"/>
    <mergeCell ref="L658:L661"/>
    <mergeCell ref="K662:K665"/>
    <mergeCell ref="L662:L665"/>
    <mergeCell ref="A652:A654"/>
    <mergeCell ref="B652:B654"/>
    <mergeCell ref="C652:C654"/>
    <mergeCell ref="D652:D654"/>
    <mergeCell ref="E652:E654"/>
    <mergeCell ref="A655:A657"/>
    <mergeCell ref="A685:A686"/>
    <mergeCell ref="B685:B686"/>
    <mergeCell ref="C685:C686"/>
    <mergeCell ref="D685:D686"/>
    <mergeCell ref="E685:E686"/>
    <mergeCell ref="A688:A689"/>
    <mergeCell ref="B688:B689"/>
    <mergeCell ref="C688:C689"/>
    <mergeCell ref="D688:D689"/>
    <mergeCell ref="E688:E689"/>
    <mergeCell ref="K685:K686"/>
    <mergeCell ref="L685:L686"/>
    <mergeCell ref="K688:K689"/>
    <mergeCell ref="L688:L689"/>
    <mergeCell ref="A679:A680"/>
    <mergeCell ref="B679:B680"/>
    <mergeCell ref="C679:C680"/>
    <mergeCell ref="D679:D680"/>
    <mergeCell ref="E679:E680"/>
    <mergeCell ref="A681:A682"/>
    <mergeCell ref="B681:B682"/>
    <mergeCell ref="C681:C682"/>
    <mergeCell ref="D681:D682"/>
    <mergeCell ref="E681:E682"/>
    <mergeCell ref="B655:B657"/>
    <mergeCell ref="C655:C657"/>
    <mergeCell ref="D655:D657"/>
    <mergeCell ref="E655:E657"/>
    <mergeCell ref="A703:A704"/>
    <mergeCell ref="B703:B704"/>
    <mergeCell ref="C703:C704"/>
    <mergeCell ref="D703:D704"/>
    <mergeCell ref="E703:E704"/>
    <mergeCell ref="K698:K699"/>
    <mergeCell ref="L698:L699"/>
    <mergeCell ref="K701:K702"/>
    <mergeCell ref="L701:L702"/>
    <mergeCell ref="K703:K704"/>
    <mergeCell ref="L703:L704"/>
    <mergeCell ref="A713:A715"/>
    <mergeCell ref="B713:B715"/>
    <mergeCell ref="C713:C715"/>
    <mergeCell ref="D713:D715"/>
    <mergeCell ref="E713:E715"/>
    <mergeCell ref="A718:A719"/>
    <mergeCell ref="B718:B719"/>
    <mergeCell ref="C718:C719"/>
    <mergeCell ref="D718:D719"/>
    <mergeCell ref="E718:E719"/>
    <mergeCell ref="K718:K719"/>
    <mergeCell ref="L718:L719"/>
    <mergeCell ref="K713:K715"/>
    <mergeCell ref="L713:L715"/>
    <mergeCell ref="K707:K708"/>
    <mergeCell ref="L707:L708"/>
    <mergeCell ref="K711:K712"/>
    <mergeCell ref="L711:L712"/>
    <mergeCell ref="A711:A712"/>
    <mergeCell ref="B711:B712"/>
    <mergeCell ref="C711:C712"/>
    <mergeCell ref="D711:D712"/>
    <mergeCell ref="E711:E712"/>
    <mergeCell ref="A707:A708"/>
    <mergeCell ref="B707:B708"/>
    <mergeCell ref="C707:C708"/>
    <mergeCell ref="D707:D708"/>
    <mergeCell ref="E707:E708"/>
    <mergeCell ref="A733:A734"/>
    <mergeCell ref="B733:B734"/>
    <mergeCell ref="C733:C734"/>
    <mergeCell ref="D733:D734"/>
    <mergeCell ref="E733:E734"/>
    <mergeCell ref="A735:A736"/>
    <mergeCell ref="B735:B736"/>
    <mergeCell ref="C735:C736"/>
    <mergeCell ref="D735:D736"/>
    <mergeCell ref="E735:E736"/>
    <mergeCell ref="A726:A727"/>
    <mergeCell ref="B726:B727"/>
    <mergeCell ref="C726:C727"/>
    <mergeCell ref="D726:D727"/>
    <mergeCell ref="E726:E727"/>
    <mergeCell ref="A728:A729"/>
    <mergeCell ref="B728:B729"/>
    <mergeCell ref="C728:C729"/>
    <mergeCell ref="D728:D729"/>
    <mergeCell ref="E728:E729"/>
    <mergeCell ref="L773:L774"/>
    <mergeCell ref="K777:K778"/>
    <mergeCell ref="L777:L778"/>
    <mergeCell ref="K779:K782"/>
    <mergeCell ref="L779:L782"/>
    <mergeCell ref="K755:K756"/>
    <mergeCell ref="L755:L756"/>
    <mergeCell ref="K758:K759"/>
    <mergeCell ref="L758:L759"/>
    <mergeCell ref="K760:K761"/>
    <mergeCell ref="L760:L761"/>
    <mergeCell ref="K763:K764"/>
    <mergeCell ref="L763:L764"/>
    <mergeCell ref="K766:K767"/>
    <mergeCell ref="L766:L767"/>
    <mergeCell ref="A755:A756"/>
    <mergeCell ref="B755:B756"/>
    <mergeCell ref="C755:C756"/>
    <mergeCell ref="D755:D756"/>
    <mergeCell ref="E755:E756"/>
    <mergeCell ref="A758:A759"/>
    <mergeCell ref="B758:B759"/>
    <mergeCell ref="C758:C759"/>
    <mergeCell ref="D758:D759"/>
    <mergeCell ref="E758:E759"/>
    <mergeCell ref="A760:A761"/>
    <mergeCell ref="B760:B761"/>
    <mergeCell ref="C760:C761"/>
    <mergeCell ref="D760:D761"/>
    <mergeCell ref="A773:A774"/>
    <mergeCell ref="B773:B774"/>
    <mergeCell ref="C773:C774"/>
    <mergeCell ref="D792:D793"/>
    <mergeCell ref="E792:E793"/>
    <mergeCell ref="K816:K817"/>
    <mergeCell ref="L816:L817"/>
    <mergeCell ref="K818:K819"/>
    <mergeCell ref="L818:L819"/>
    <mergeCell ref="K825:K826"/>
    <mergeCell ref="L825:L826"/>
    <mergeCell ref="K829:K830"/>
    <mergeCell ref="L829:L830"/>
    <mergeCell ref="K834:K835"/>
    <mergeCell ref="L834:L835"/>
    <mergeCell ref="K820:K822"/>
    <mergeCell ref="L820:L822"/>
    <mergeCell ref="A816:A817"/>
    <mergeCell ref="B816:B817"/>
    <mergeCell ref="C816:C817"/>
    <mergeCell ref="D816:D817"/>
    <mergeCell ref="E816:E817"/>
    <mergeCell ref="A818:A819"/>
    <mergeCell ref="B818:B819"/>
    <mergeCell ref="C818:C819"/>
    <mergeCell ref="D818:D819"/>
    <mergeCell ref="E818:E819"/>
    <mergeCell ref="A820:A822"/>
    <mergeCell ref="B820:B822"/>
    <mergeCell ref="C820:C822"/>
    <mergeCell ref="D820:D822"/>
    <mergeCell ref="E820:E822"/>
    <mergeCell ref="A825:A826"/>
    <mergeCell ref="B825:B826"/>
    <mergeCell ref="C825:C826"/>
    <mergeCell ref="D859:D860"/>
    <mergeCell ref="E859:E860"/>
    <mergeCell ref="D825:D826"/>
    <mergeCell ref="E825:E826"/>
    <mergeCell ref="A840:A842"/>
    <mergeCell ref="B840:B842"/>
    <mergeCell ref="C840:C842"/>
    <mergeCell ref="D840:D842"/>
    <mergeCell ref="E840:E842"/>
    <mergeCell ref="A846:A847"/>
    <mergeCell ref="B846:B847"/>
    <mergeCell ref="C846:C847"/>
    <mergeCell ref="D846:D847"/>
    <mergeCell ref="E846:E847"/>
    <mergeCell ref="K846:K847"/>
    <mergeCell ref="L846:L847"/>
    <mergeCell ref="K840:K842"/>
    <mergeCell ref="L840:L842"/>
    <mergeCell ref="A829:A830"/>
    <mergeCell ref="B829:B830"/>
    <mergeCell ref="C829:C830"/>
    <mergeCell ref="D829:D830"/>
    <mergeCell ref="E829:E830"/>
    <mergeCell ref="A834:A835"/>
    <mergeCell ref="B834:B835"/>
    <mergeCell ref="C834:C835"/>
    <mergeCell ref="D834:D835"/>
    <mergeCell ref="E834:E835"/>
    <mergeCell ref="E868:E869"/>
    <mergeCell ref="A873:A875"/>
    <mergeCell ref="B873:B875"/>
    <mergeCell ref="C873:C875"/>
    <mergeCell ref="D873:D875"/>
    <mergeCell ref="E873:E875"/>
    <mergeCell ref="K849:K850"/>
    <mergeCell ref="L849:L850"/>
    <mergeCell ref="K856:K857"/>
    <mergeCell ref="L856:L857"/>
    <mergeCell ref="K859:K860"/>
    <mergeCell ref="L859:L860"/>
    <mergeCell ref="K853:K855"/>
    <mergeCell ref="L853:L855"/>
    <mergeCell ref="A849:A850"/>
    <mergeCell ref="B849:B850"/>
    <mergeCell ref="C849:C850"/>
    <mergeCell ref="D849:D850"/>
    <mergeCell ref="E849:E850"/>
    <mergeCell ref="A853:A855"/>
    <mergeCell ref="B853:B855"/>
    <mergeCell ref="C853:C855"/>
    <mergeCell ref="D853:D855"/>
    <mergeCell ref="E853:E855"/>
    <mergeCell ref="A856:A857"/>
    <mergeCell ref="B856:B857"/>
    <mergeCell ref="C856:C857"/>
    <mergeCell ref="D856:D857"/>
    <mergeCell ref="E856:E857"/>
    <mergeCell ref="A859:A860"/>
    <mergeCell ref="B859:B860"/>
    <mergeCell ref="C859:C860"/>
    <mergeCell ref="A893:A894"/>
    <mergeCell ref="B893:B894"/>
    <mergeCell ref="C893:C894"/>
    <mergeCell ref="D893:D894"/>
    <mergeCell ref="E893:E894"/>
    <mergeCell ref="A896:A898"/>
    <mergeCell ref="B896:B898"/>
    <mergeCell ref="C896:C898"/>
    <mergeCell ref="D896:D898"/>
    <mergeCell ref="E896:E898"/>
    <mergeCell ref="K863:K864"/>
    <mergeCell ref="L863:L864"/>
    <mergeCell ref="K865:K866"/>
    <mergeCell ref="L865:L866"/>
    <mergeCell ref="K868:K869"/>
    <mergeCell ref="L868:L869"/>
    <mergeCell ref="K873:K875"/>
    <mergeCell ref="L873:L875"/>
    <mergeCell ref="A863:A864"/>
    <mergeCell ref="B863:B864"/>
    <mergeCell ref="C863:C864"/>
    <mergeCell ref="D863:D864"/>
    <mergeCell ref="E863:E864"/>
    <mergeCell ref="A865:A866"/>
    <mergeCell ref="B865:B866"/>
    <mergeCell ref="C865:C866"/>
    <mergeCell ref="D865:D866"/>
    <mergeCell ref="E865:E866"/>
    <mergeCell ref="A868:A869"/>
    <mergeCell ref="B868:B869"/>
    <mergeCell ref="C868:C869"/>
    <mergeCell ref="D868:D869"/>
    <mergeCell ref="A902:A904"/>
    <mergeCell ref="B902:B904"/>
    <mergeCell ref="C902:C904"/>
    <mergeCell ref="D902:D904"/>
    <mergeCell ref="E902:E904"/>
    <mergeCell ref="A908:A909"/>
    <mergeCell ref="B908:B909"/>
    <mergeCell ref="C908:C909"/>
    <mergeCell ref="D908:D909"/>
    <mergeCell ref="E908:E909"/>
    <mergeCell ref="K882:K883"/>
    <mergeCell ref="L882:L883"/>
    <mergeCell ref="K886:K887"/>
    <mergeCell ref="L886:L887"/>
    <mergeCell ref="K893:K894"/>
    <mergeCell ref="L893:L894"/>
    <mergeCell ref="K908:K909"/>
    <mergeCell ref="L908:L909"/>
    <mergeCell ref="K896:K898"/>
    <mergeCell ref="L896:L898"/>
    <mergeCell ref="K902:K904"/>
    <mergeCell ref="L902:L904"/>
    <mergeCell ref="A882:A883"/>
    <mergeCell ref="B882:B883"/>
    <mergeCell ref="C882:C883"/>
    <mergeCell ref="D882:D883"/>
    <mergeCell ref="E882:E883"/>
    <mergeCell ref="A886:A887"/>
    <mergeCell ref="B886:B887"/>
    <mergeCell ref="C886:C887"/>
    <mergeCell ref="D886:D887"/>
    <mergeCell ref="E886:E887"/>
    <mergeCell ref="L935:L936"/>
    <mergeCell ref="K937:K938"/>
    <mergeCell ref="L937:L938"/>
    <mergeCell ref="K940:K941"/>
    <mergeCell ref="L940:L941"/>
    <mergeCell ref="K943:K944"/>
    <mergeCell ref="L943:L944"/>
    <mergeCell ref="A935:A936"/>
    <mergeCell ref="B935:B936"/>
    <mergeCell ref="C935:C936"/>
    <mergeCell ref="D935:D936"/>
    <mergeCell ref="E935:E936"/>
    <mergeCell ref="A937:A938"/>
    <mergeCell ref="B937:B938"/>
    <mergeCell ref="C937:C938"/>
    <mergeCell ref="D937:D938"/>
    <mergeCell ref="E937:E938"/>
    <mergeCell ref="A940:A941"/>
    <mergeCell ref="B940:B941"/>
    <mergeCell ref="C940:C941"/>
    <mergeCell ref="D940:D941"/>
    <mergeCell ref="E940:E941"/>
    <mergeCell ref="A943:A944"/>
    <mergeCell ref="B943:B944"/>
    <mergeCell ref="C943:C944"/>
    <mergeCell ref="D943:D944"/>
    <mergeCell ref="E943:E944"/>
    <mergeCell ref="L981:L982"/>
    <mergeCell ref="K990:K991"/>
    <mergeCell ref="L990:L991"/>
    <mergeCell ref="K984:K987"/>
    <mergeCell ref="L984:L987"/>
    <mergeCell ref="L961:L962"/>
    <mergeCell ref="K972:K973"/>
    <mergeCell ref="L972:L973"/>
    <mergeCell ref="K976:K977"/>
    <mergeCell ref="L976:L977"/>
    <mergeCell ref="K965:K970"/>
    <mergeCell ref="L965:L970"/>
    <mergeCell ref="A961:A962"/>
    <mergeCell ref="B961:B962"/>
    <mergeCell ref="C961:C962"/>
    <mergeCell ref="D961:D962"/>
    <mergeCell ref="E961:E962"/>
    <mergeCell ref="A965:A970"/>
    <mergeCell ref="B965:B970"/>
    <mergeCell ref="C965:C970"/>
    <mergeCell ref="D965:D970"/>
    <mergeCell ref="E965:E970"/>
    <mergeCell ref="A972:A973"/>
    <mergeCell ref="B972:B973"/>
    <mergeCell ref="C972:C973"/>
    <mergeCell ref="D972:D973"/>
    <mergeCell ref="E972:E973"/>
    <mergeCell ref="A976:A977"/>
    <mergeCell ref="B976:B977"/>
    <mergeCell ref="C976:C977"/>
    <mergeCell ref="D976:D977"/>
    <mergeCell ref="K961:K962"/>
    <mergeCell ref="D1075:D1077"/>
    <mergeCell ref="E1075:E1077"/>
    <mergeCell ref="A981:A982"/>
    <mergeCell ref="B981:B982"/>
    <mergeCell ref="C981:C982"/>
    <mergeCell ref="D981:D982"/>
    <mergeCell ref="E981:E982"/>
    <mergeCell ref="A984:A987"/>
    <mergeCell ref="B984:B987"/>
    <mergeCell ref="C984:C987"/>
    <mergeCell ref="D984:D987"/>
    <mergeCell ref="E984:E987"/>
    <mergeCell ref="A990:A991"/>
    <mergeCell ref="B990:B991"/>
    <mergeCell ref="C990:C991"/>
    <mergeCell ref="D990:D991"/>
    <mergeCell ref="E990:E991"/>
    <mergeCell ref="A1001:A1003"/>
    <mergeCell ref="B1001:B1003"/>
    <mergeCell ref="C1001:C1003"/>
    <mergeCell ref="D1001:D1003"/>
    <mergeCell ref="E1001:E1003"/>
    <mergeCell ref="A1009:A1011"/>
    <mergeCell ref="B1009:B1011"/>
    <mergeCell ref="C1009:C1011"/>
    <mergeCell ref="D1009:D1011"/>
    <mergeCell ref="E1009:E1011"/>
    <mergeCell ref="E1036:E1037"/>
    <mergeCell ref="A1038:A1041"/>
    <mergeCell ref="B1038:B1041"/>
    <mergeCell ref="C1038:C1041"/>
    <mergeCell ref="D1038:D1041"/>
    <mergeCell ref="K1066:K1067"/>
    <mergeCell ref="L1066:L1067"/>
    <mergeCell ref="K1068:K1069"/>
    <mergeCell ref="L1068:L1069"/>
    <mergeCell ref="K1073:K1074"/>
    <mergeCell ref="L1073:L1074"/>
    <mergeCell ref="K1098:K1099"/>
    <mergeCell ref="L1098:L1099"/>
    <mergeCell ref="K1075:K1077"/>
    <mergeCell ref="L1075:L1077"/>
    <mergeCell ref="K1095:K1097"/>
    <mergeCell ref="L1095:L1097"/>
    <mergeCell ref="K1079:K1085"/>
    <mergeCell ref="L1079:L1085"/>
    <mergeCell ref="A1066:A1067"/>
    <mergeCell ref="B1066:B1067"/>
    <mergeCell ref="C1066:C1067"/>
    <mergeCell ref="D1066:D1067"/>
    <mergeCell ref="E1066:E1067"/>
    <mergeCell ref="A1068:A1069"/>
    <mergeCell ref="B1068:B1069"/>
    <mergeCell ref="C1068:C1069"/>
    <mergeCell ref="D1068:D1069"/>
    <mergeCell ref="E1068:E1069"/>
    <mergeCell ref="A1073:A1074"/>
    <mergeCell ref="B1073:B1074"/>
    <mergeCell ref="C1073:C1074"/>
    <mergeCell ref="D1073:D1074"/>
    <mergeCell ref="E1073:E1074"/>
    <mergeCell ref="A1075:A1077"/>
    <mergeCell ref="B1075:B1077"/>
    <mergeCell ref="C1075:C1077"/>
    <mergeCell ref="A1108:A1110"/>
    <mergeCell ref="B1108:B1110"/>
    <mergeCell ref="C1108:C1110"/>
    <mergeCell ref="D1108:D1110"/>
    <mergeCell ref="E1108:E1110"/>
    <mergeCell ref="A1113:A1114"/>
    <mergeCell ref="B1113:B1114"/>
    <mergeCell ref="C1113:C1114"/>
    <mergeCell ref="D1113:D1114"/>
    <mergeCell ref="E1113:E1114"/>
    <mergeCell ref="A1079:A1085"/>
    <mergeCell ref="B1079:B1085"/>
    <mergeCell ref="C1079:C1085"/>
    <mergeCell ref="D1079:D1085"/>
    <mergeCell ref="E1079:E1085"/>
    <mergeCell ref="A1095:A1097"/>
    <mergeCell ref="B1095:B1097"/>
    <mergeCell ref="C1095:C1097"/>
    <mergeCell ref="D1095:D1097"/>
    <mergeCell ref="E1095:E1097"/>
    <mergeCell ref="A1098:A1099"/>
    <mergeCell ref="B1098:B1099"/>
    <mergeCell ref="C1098:C1099"/>
    <mergeCell ref="D1098:D1099"/>
    <mergeCell ref="E1098:E1099"/>
    <mergeCell ref="A1117:A1119"/>
    <mergeCell ref="B1117:B1119"/>
    <mergeCell ref="C1117:C1119"/>
    <mergeCell ref="D1117:D1119"/>
    <mergeCell ref="E1117:E1119"/>
    <mergeCell ref="A1125:A1127"/>
    <mergeCell ref="B1125:B1127"/>
    <mergeCell ref="C1125:C1127"/>
    <mergeCell ref="D1125:D1127"/>
    <mergeCell ref="E1125:E1127"/>
    <mergeCell ref="K1103:K1105"/>
    <mergeCell ref="L1103:L1105"/>
    <mergeCell ref="K1108:K1110"/>
    <mergeCell ref="L1108:L1110"/>
    <mergeCell ref="K1117:K1119"/>
    <mergeCell ref="L1117:L1119"/>
    <mergeCell ref="K1125:K1127"/>
    <mergeCell ref="L1125:L1127"/>
    <mergeCell ref="K1106:K1107"/>
    <mergeCell ref="L1106:L1107"/>
    <mergeCell ref="K1113:K1114"/>
    <mergeCell ref="L1113:L1114"/>
    <mergeCell ref="A1103:A1105"/>
    <mergeCell ref="B1103:B1105"/>
    <mergeCell ref="C1103:C1105"/>
    <mergeCell ref="D1103:D1105"/>
    <mergeCell ref="E1103:E1105"/>
    <mergeCell ref="A1106:A1107"/>
    <mergeCell ref="B1106:B1107"/>
    <mergeCell ref="C1106:C1107"/>
    <mergeCell ref="D1106:D1107"/>
    <mergeCell ref="E1106:E1107"/>
  </mergeCells>
  <phoneticPr fontId="15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Q182"/>
  <sheetViews>
    <sheetView topLeftCell="A150" zoomScale="80" zoomScaleNormal="80" workbookViewId="0">
      <selection activeCell="C184" sqref="C184"/>
    </sheetView>
  </sheetViews>
  <sheetFormatPr baseColWidth="10" defaultColWidth="8.88671875" defaultRowHeight="14.4" x14ac:dyDescent="0.3"/>
  <cols>
    <col min="1" max="1" width="12.109375" customWidth="1"/>
    <col min="2" max="2" width="13.88671875" bestFit="1" customWidth="1"/>
    <col min="3" max="3" width="11" bestFit="1" customWidth="1"/>
    <col min="4" max="4" width="11.33203125" bestFit="1" customWidth="1"/>
    <col min="5" max="5" width="13.88671875" bestFit="1" customWidth="1"/>
    <col min="8" max="8" width="13.109375" hidden="1" customWidth="1"/>
    <col min="9" max="9" width="6.33203125" hidden="1" customWidth="1"/>
    <col min="10" max="10" width="14.44140625" hidden="1" customWidth="1"/>
    <col min="12" max="12" width="12" bestFit="1" customWidth="1"/>
  </cols>
  <sheetData>
    <row r="1" spans="1:12" ht="24" customHeight="1" x14ac:dyDescent="0.65">
      <c r="A1" s="104" t="s">
        <v>302</v>
      </c>
      <c r="D1" s="95"/>
      <c r="E1" s="95"/>
      <c r="F1" s="95"/>
      <c r="G1" s="95"/>
      <c r="H1" s="95"/>
      <c r="I1" s="95"/>
    </row>
    <row r="2" spans="1:12" ht="15" thickBot="1" x14ac:dyDescent="0.35">
      <c r="D2" s="50"/>
      <c r="E2" s="50"/>
      <c r="F2" s="50"/>
      <c r="G2" s="50"/>
    </row>
    <row r="3" spans="1:12" x14ac:dyDescent="0.3">
      <c r="A3" s="920" t="s">
        <v>270</v>
      </c>
      <c r="B3" s="921"/>
      <c r="C3" s="922"/>
      <c r="D3" s="920" t="s">
        <v>2</v>
      </c>
      <c r="E3" s="922"/>
      <c r="F3" s="67"/>
      <c r="G3" s="915" t="s">
        <v>3</v>
      </c>
      <c r="H3" s="67" t="s">
        <v>4</v>
      </c>
      <c r="I3" s="68"/>
      <c r="J3" s="1054" t="s">
        <v>254</v>
      </c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94" t="s">
        <v>4</v>
      </c>
      <c r="D4" s="70" t="s">
        <v>7</v>
      </c>
      <c r="E4" s="71" t="s">
        <v>6</v>
      </c>
      <c r="F4" s="72" t="s">
        <v>8</v>
      </c>
      <c r="G4" s="923"/>
      <c r="H4" s="73" t="s">
        <v>9</v>
      </c>
      <c r="I4" s="72" t="s">
        <v>5</v>
      </c>
      <c r="J4" s="1055"/>
      <c r="K4" s="916"/>
      <c r="L4" s="985"/>
    </row>
    <row r="5" spans="1:12" ht="15" thickBot="1" x14ac:dyDescent="0.35">
      <c r="A5" s="19">
        <v>418</v>
      </c>
      <c r="B5" s="20">
        <v>20393.63</v>
      </c>
      <c r="C5" s="20" t="s">
        <v>284</v>
      </c>
      <c r="D5" s="27">
        <f t="shared" ref="D5:E7" si="0">+I5</f>
        <v>418</v>
      </c>
      <c r="E5" s="27">
        <f t="shared" si="0"/>
        <v>19971.5</v>
      </c>
      <c r="F5" s="27" t="s">
        <v>285</v>
      </c>
      <c r="G5" s="27">
        <v>57551</v>
      </c>
      <c r="H5" s="45"/>
      <c r="I5" s="8">
        <v>418</v>
      </c>
      <c r="J5" s="9">
        <v>19971.5</v>
      </c>
      <c r="K5" s="54">
        <f t="shared" ref="K5:K17" si="1">+A5-D5</f>
        <v>0</v>
      </c>
      <c r="L5" s="32">
        <f t="shared" ref="L5:L10" si="2">(+B5-E5)/B5</f>
        <v>2.069911045753017E-2</v>
      </c>
    </row>
    <row r="6" spans="1:12" ht="15" thickBot="1" x14ac:dyDescent="0.35">
      <c r="A6" s="19">
        <v>252</v>
      </c>
      <c r="B6" s="20">
        <v>12605</v>
      </c>
      <c r="C6" s="20" t="s">
        <v>286</v>
      </c>
      <c r="D6" s="27">
        <f t="shared" si="0"/>
        <v>252</v>
      </c>
      <c r="E6" s="27">
        <f t="shared" si="0"/>
        <v>12109.8</v>
      </c>
      <c r="F6" s="27" t="s">
        <v>287</v>
      </c>
      <c r="G6" s="27">
        <v>57591</v>
      </c>
      <c r="H6" s="45"/>
      <c r="I6" s="8">
        <v>252</v>
      </c>
      <c r="J6" s="9">
        <v>12109.8</v>
      </c>
      <c r="K6" s="54">
        <f t="shared" si="1"/>
        <v>0</v>
      </c>
      <c r="L6" s="32">
        <f t="shared" si="2"/>
        <v>3.9285997619992123E-2</v>
      </c>
    </row>
    <row r="7" spans="1:12" ht="15" thickBot="1" x14ac:dyDescent="0.35">
      <c r="A7" s="19">
        <v>412</v>
      </c>
      <c r="B7" s="20">
        <v>19196.5</v>
      </c>
      <c r="C7" s="20" t="s">
        <v>288</v>
      </c>
      <c r="D7" s="27">
        <f t="shared" si="0"/>
        <v>412</v>
      </c>
      <c r="E7" s="27">
        <f t="shared" si="0"/>
        <v>18921.400000000001</v>
      </c>
      <c r="F7" s="27" t="s">
        <v>289</v>
      </c>
      <c r="G7" s="27">
        <v>57601</v>
      </c>
      <c r="H7" s="45"/>
      <c r="I7" s="8">
        <v>412</v>
      </c>
      <c r="J7" s="9">
        <v>18921.400000000001</v>
      </c>
      <c r="K7" s="54">
        <f t="shared" si="1"/>
        <v>0</v>
      </c>
      <c r="L7" s="32">
        <f t="shared" si="2"/>
        <v>1.4330737374000393E-2</v>
      </c>
    </row>
    <row r="8" spans="1:12" ht="15" thickBot="1" x14ac:dyDescent="0.35">
      <c r="A8" s="23">
        <v>680</v>
      </c>
      <c r="B8" s="24">
        <v>32902.25</v>
      </c>
      <c r="C8" s="24" t="s">
        <v>290</v>
      </c>
      <c r="D8" s="29">
        <f>+I8</f>
        <v>674</v>
      </c>
      <c r="E8" s="29">
        <f>+J8</f>
        <v>31535.599999999999</v>
      </c>
      <c r="F8" s="29" t="s">
        <v>291</v>
      </c>
      <c r="G8" s="29">
        <v>57611</v>
      </c>
      <c r="H8" s="39"/>
      <c r="I8" s="12">
        <v>674</v>
      </c>
      <c r="J8" s="13">
        <v>31535.599999999999</v>
      </c>
      <c r="K8" s="56">
        <f t="shared" si="1"/>
        <v>6</v>
      </c>
      <c r="L8" s="31">
        <f>((+B8/A8)-(E8/D8))/(B8/A8)</f>
        <v>3.3004358540414454E-2</v>
      </c>
    </row>
    <row r="9" spans="1:12" ht="15" thickBot="1" x14ac:dyDescent="0.35">
      <c r="A9" s="23">
        <f>+D9</f>
        <v>771</v>
      </c>
      <c r="B9" s="24">
        <v>36338.25</v>
      </c>
      <c r="C9" s="24" t="s">
        <v>292</v>
      </c>
      <c r="D9" s="29">
        <f>+I9</f>
        <v>771</v>
      </c>
      <c r="E9" s="29">
        <f>+J9</f>
        <v>35239.800000000003</v>
      </c>
      <c r="F9" s="29" t="s">
        <v>293</v>
      </c>
      <c r="G9" s="29">
        <v>57631</v>
      </c>
      <c r="H9" s="39"/>
      <c r="I9" s="12">
        <v>771</v>
      </c>
      <c r="J9" s="13">
        <v>35239.800000000003</v>
      </c>
      <c r="K9" s="56">
        <f t="shared" si="1"/>
        <v>0</v>
      </c>
      <c r="L9" s="32">
        <f t="shared" si="2"/>
        <v>3.0228478256382658E-2</v>
      </c>
    </row>
    <row r="10" spans="1:12" x14ac:dyDescent="0.3">
      <c r="A10" s="891">
        <v>674</v>
      </c>
      <c r="B10" s="894">
        <v>31556.5</v>
      </c>
      <c r="C10" s="894" t="s">
        <v>294</v>
      </c>
      <c r="D10" s="905">
        <f>+I10+I11+I12</f>
        <v>674</v>
      </c>
      <c r="E10" s="905">
        <f>+J10+J11+J12</f>
        <v>30109.199999999997</v>
      </c>
      <c r="F10" s="29" t="s">
        <v>295</v>
      </c>
      <c r="G10" s="29">
        <v>57651</v>
      </c>
      <c r="H10" s="39"/>
      <c r="I10" s="12">
        <v>443</v>
      </c>
      <c r="J10" s="13">
        <v>20016.3</v>
      </c>
      <c r="K10" s="877">
        <f t="shared" si="1"/>
        <v>0</v>
      </c>
      <c r="L10" s="879">
        <f t="shared" si="2"/>
        <v>4.586376816186849E-2</v>
      </c>
    </row>
    <row r="11" spans="1:12" x14ac:dyDescent="0.3">
      <c r="A11" s="892"/>
      <c r="B11" s="895"/>
      <c r="C11" s="895"/>
      <c r="D11" s="906"/>
      <c r="E11" s="906"/>
      <c r="F11" s="30" t="s">
        <v>295</v>
      </c>
      <c r="G11" s="30">
        <v>57651</v>
      </c>
      <c r="H11" s="50"/>
      <c r="I11" s="15">
        <v>100</v>
      </c>
      <c r="J11" s="16">
        <v>4297</v>
      </c>
      <c r="K11" s="886"/>
      <c r="L11" s="885"/>
    </row>
    <row r="12" spans="1:12" ht="15" thickBot="1" x14ac:dyDescent="0.35">
      <c r="A12" s="893"/>
      <c r="B12" s="896"/>
      <c r="C12" s="896"/>
      <c r="D12" s="907"/>
      <c r="E12" s="907"/>
      <c r="F12" s="28" t="s">
        <v>295</v>
      </c>
      <c r="G12" s="28">
        <v>57651</v>
      </c>
      <c r="H12" s="42"/>
      <c r="I12" s="10">
        <v>131</v>
      </c>
      <c r="J12" s="11">
        <v>5795.9</v>
      </c>
      <c r="K12" s="878"/>
      <c r="L12" s="880"/>
    </row>
    <row r="13" spans="1:12" ht="15" thickBot="1" x14ac:dyDescent="0.35">
      <c r="A13" s="19">
        <v>163</v>
      </c>
      <c r="B13" s="20">
        <v>7832.5</v>
      </c>
      <c r="C13" s="20" t="s">
        <v>296</v>
      </c>
      <c r="D13" s="27">
        <f>+I13</f>
        <v>163</v>
      </c>
      <c r="E13" s="27">
        <f>+J13</f>
        <v>7517.8</v>
      </c>
      <c r="F13" s="27" t="s">
        <v>297</v>
      </c>
      <c r="G13" s="27">
        <v>57661</v>
      </c>
      <c r="H13" s="45"/>
      <c r="I13" s="8">
        <v>163</v>
      </c>
      <c r="J13" s="9">
        <v>7517.8</v>
      </c>
      <c r="K13" s="54">
        <f t="shared" si="1"/>
        <v>0</v>
      </c>
      <c r="L13" s="32">
        <f t="shared" ref="L13" si="3">(+B13-E13)/B13</f>
        <v>4.0178742419406298E-2</v>
      </c>
    </row>
    <row r="14" spans="1:12" x14ac:dyDescent="0.3">
      <c r="A14" s="891">
        <v>521</v>
      </c>
      <c r="B14" s="894">
        <v>24021</v>
      </c>
      <c r="C14" s="894" t="s">
        <v>298</v>
      </c>
      <c r="D14" s="905">
        <f>+I14+I16+I15</f>
        <v>523</v>
      </c>
      <c r="E14" s="905">
        <f>+J14+J16+J15</f>
        <v>23052.6</v>
      </c>
      <c r="F14" s="29" t="s">
        <v>299</v>
      </c>
      <c r="G14" s="29">
        <v>57701</v>
      </c>
      <c r="H14" s="39"/>
      <c r="I14" s="12">
        <v>106</v>
      </c>
      <c r="J14" s="13">
        <v>4690.5</v>
      </c>
      <c r="K14" s="877">
        <f t="shared" si="1"/>
        <v>-2</v>
      </c>
      <c r="L14" s="879">
        <f>((+B14/A14)-(E14/D14))/(B14/A14)</f>
        <v>4.3984649187219428E-2</v>
      </c>
    </row>
    <row r="15" spans="1:12" x14ac:dyDescent="0.3">
      <c r="A15" s="892"/>
      <c r="B15" s="895"/>
      <c r="C15" s="895"/>
      <c r="D15" s="906"/>
      <c r="E15" s="906"/>
      <c r="F15" s="30" t="s">
        <v>299</v>
      </c>
      <c r="G15" s="30">
        <v>57701</v>
      </c>
      <c r="H15" s="50"/>
      <c r="I15" s="15">
        <v>225</v>
      </c>
      <c r="J15" s="16">
        <v>9882.9</v>
      </c>
      <c r="K15" s="886"/>
      <c r="L15" s="885"/>
    </row>
    <row r="16" spans="1:12" ht="15" thickBot="1" x14ac:dyDescent="0.35">
      <c r="A16" s="893"/>
      <c r="B16" s="896"/>
      <c r="C16" s="896"/>
      <c r="D16" s="907"/>
      <c r="E16" s="907"/>
      <c r="F16" s="28" t="s">
        <v>299</v>
      </c>
      <c r="G16" s="28">
        <v>57701</v>
      </c>
      <c r="H16" s="42"/>
      <c r="I16" s="10">
        <v>192</v>
      </c>
      <c r="J16" s="11">
        <v>8479.2000000000007</v>
      </c>
      <c r="K16" s="878"/>
      <c r="L16" s="880"/>
    </row>
    <row r="17" spans="1:12" ht="15" thickBot="1" x14ac:dyDescent="0.35">
      <c r="A17" s="19">
        <v>382</v>
      </c>
      <c r="B17" s="20">
        <v>17479.75</v>
      </c>
      <c r="C17" s="20" t="s">
        <v>300</v>
      </c>
      <c r="D17" s="27">
        <f>+I17</f>
        <v>382</v>
      </c>
      <c r="E17" s="27">
        <f>+J17</f>
        <v>16970.5</v>
      </c>
      <c r="F17" s="27" t="s">
        <v>301</v>
      </c>
      <c r="G17" s="27">
        <v>57711</v>
      </c>
      <c r="H17" s="45"/>
      <c r="I17" s="8">
        <v>382</v>
      </c>
      <c r="J17" s="9">
        <v>16970.5</v>
      </c>
      <c r="K17" s="54">
        <f t="shared" si="1"/>
        <v>0</v>
      </c>
      <c r="L17" s="33">
        <f t="shared" ref="L17:L21" si="4">(+B17-E17)/B17</f>
        <v>2.9133711866588481E-2</v>
      </c>
    </row>
    <row r="18" spans="1:12" x14ac:dyDescent="0.3">
      <c r="A18" s="891">
        <v>375</v>
      </c>
      <c r="B18" s="894">
        <v>16926.75</v>
      </c>
      <c r="C18" s="894" t="s">
        <v>385</v>
      </c>
      <c r="D18" s="905">
        <f>+I18+I19</f>
        <v>375</v>
      </c>
      <c r="E18" s="905">
        <f>+J18+J19</f>
        <v>16783.599999999999</v>
      </c>
      <c r="F18" s="29" t="s">
        <v>386</v>
      </c>
      <c r="G18" s="29">
        <v>57751</v>
      </c>
      <c r="H18" s="39"/>
      <c r="I18" s="12">
        <v>100</v>
      </c>
      <c r="J18" s="12">
        <v>4433.3</v>
      </c>
      <c r="K18" s="877">
        <f>+A19-D19</f>
        <v>0</v>
      </c>
      <c r="L18" s="879">
        <f t="shared" si="4"/>
        <v>8.4570280768606759E-3</v>
      </c>
    </row>
    <row r="19" spans="1:12" ht="15" thickBot="1" x14ac:dyDescent="0.35">
      <c r="A19" s="893"/>
      <c r="B19" s="896"/>
      <c r="C19" s="896"/>
      <c r="D19" s="907"/>
      <c r="E19" s="907"/>
      <c r="F19" s="28" t="s">
        <v>386</v>
      </c>
      <c r="G19" s="28">
        <v>57751</v>
      </c>
      <c r="H19" s="42"/>
      <c r="I19" s="10">
        <v>275</v>
      </c>
      <c r="J19" s="10">
        <v>12350.3</v>
      </c>
      <c r="K19" s="878"/>
      <c r="L19" s="880"/>
    </row>
    <row r="20" spans="1:12" ht="15" thickBot="1" x14ac:dyDescent="0.35">
      <c r="A20" s="19">
        <v>365</v>
      </c>
      <c r="B20" s="20">
        <v>16810.5</v>
      </c>
      <c r="C20" s="20" t="s">
        <v>387</v>
      </c>
      <c r="D20" s="27">
        <f>+I20</f>
        <v>365</v>
      </c>
      <c r="E20" s="27">
        <f>+J20</f>
        <v>16038</v>
      </c>
      <c r="F20" s="27" t="s">
        <v>388</v>
      </c>
      <c r="G20" s="27">
        <v>57761</v>
      </c>
      <c r="H20" s="45"/>
      <c r="I20" s="8">
        <v>365</v>
      </c>
      <c r="J20" s="8">
        <v>16038</v>
      </c>
      <c r="K20" s="54">
        <f>+A20-D20</f>
        <v>0</v>
      </c>
      <c r="L20" s="33">
        <f t="shared" si="4"/>
        <v>4.5953421968412601E-2</v>
      </c>
    </row>
    <row r="21" spans="1:12" x14ac:dyDescent="0.3">
      <c r="A21" s="891">
        <v>936</v>
      </c>
      <c r="B21" s="894">
        <v>43317</v>
      </c>
      <c r="C21" s="894" t="s">
        <v>389</v>
      </c>
      <c r="D21" s="905">
        <f>+I21+I22+I23</f>
        <v>936</v>
      </c>
      <c r="E21" s="905">
        <f>+J21+J22+J23</f>
        <v>42111.9</v>
      </c>
      <c r="F21" s="29" t="s">
        <v>390</v>
      </c>
      <c r="G21" s="29">
        <v>57791</v>
      </c>
      <c r="H21" s="39"/>
      <c r="I21" s="12">
        <v>127</v>
      </c>
      <c r="J21" s="12">
        <v>5888.5</v>
      </c>
      <c r="K21" s="877">
        <f>+A21-D21</f>
        <v>0</v>
      </c>
      <c r="L21" s="879">
        <f t="shared" si="4"/>
        <v>2.7820486183253654E-2</v>
      </c>
    </row>
    <row r="22" spans="1:12" x14ac:dyDescent="0.3">
      <c r="A22" s="892"/>
      <c r="B22" s="895"/>
      <c r="C22" s="895"/>
      <c r="D22" s="906"/>
      <c r="E22" s="906"/>
      <c r="F22" s="30" t="s">
        <v>390</v>
      </c>
      <c r="G22" s="30">
        <v>57791</v>
      </c>
      <c r="H22" s="50"/>
      <c r="I22" s="15">
        <v>300</v>
      </c>
      <c r="J22" s="15">
        <v>13262.2</v>
      </c>
      <c r="K22" s="886"/>
      <c r="L22" s="885"/>
    </row>
    <row r="23" spans="1:12" ht="15" thickBot="1" x14ac:dyDescent="0.35">
      <c r="A23" s="892"/>
      <c r="B23" s="895"/>
      <c r="C23" s="895"/>
      <c r="D23" s="906"/>
      <c r="E23" s="906"/>
      <c r="F23" s="30" t="s">
        <v>390</v>
      </c>
      <c r="G23" s="30">
        <v>57791</v>
      </c>
      <c r="H23" s="50"/>
      <c r="I23" s="15">
        <v>509</v>
      </c>
      <c r="J23" s="15">
        <v>22961.200000000001</v>
      </c>
      <c r="K23" s="886"/>
      <c r="L23" s="885"/>
    </row>
    <row r="24" spans="1:12" x14ac:dyDescent="0.3">
      <c r="A24" s="891">
        <v>380</v>
      </c>
      <c r="B24" s="894">
        <v>17806.75</v>
      </c>
      <c r="C24" s="894" t="s">
        <v>391</v>
      </c>
      <c r="D24" s="905">
        <f>+I24+I25</f>
        <v>380</v>
      </c>
      <c r="E24" s="905">
        <f>+J24+J25</f>
        <v>17524.599999999999</v>
      </c>
      <c r="F24" s="29" t="s">
        <v>392</v>
      </c>
      <c r="G24" s="29">
        <v>57831</v>
      </c>
      <c r="H24" s="39"/>
      <c r="I24" s="12">
        <f>137+163</f>
        <v>300</v>
      </c>
      <c r="J24" s="12">
        <f>6355.4+7451.7</f>
        <v>13807.099999999999</v>
      </c>
      <c r="K24" s="877">
        <f>+A24-D24</f>
        <v>0</v>
      </c>
      <c r="L24" s="879">
        <f t="shared" ref="L24" si="5">(+B24-E24)/B24</f>
        <v>1.5845114914288201E-2</v>
      </c>
    </row>
    <row r="25" spans="1:12" ht="15" thickBot="1" x14ac:dyDescent="0.35">
      <c r="A25" s="893"/>
      <c r="B25" s="896"/>
      <c r="C25" s="896"/>
      <c r="D25" s="907"/>
      <c r="E25" s="907"/>
      <c r="F25" s="28" t="s">
        <v>392</v>
      </c>
      <c r="G25" s="28">
        <v>57831</v>
      </c>
      <c r="H25" s="42"/>
      <c r="I25" s="10">
        <v>80</v>
      </c>
      <c r="J25" s="10">
        <v>3717.5</v>
      </c>
      <c r="K25" s="878"/>
      <c r="L25" s="880"/>
    </row>
    <row r="26" spans="1:12" x14ac:dyDescent="0.3">
      <c r="A26" s="891">
        <v>620</v>
      </c>
      <c r="B26" s="894">
        <v>29008.75</v>
      </c>
      <c r="C26" s="894" t="s">
        <v>465</v>
      </c>
      <c r="D26" s="905">
        <f>+I26+I27</f>
        <v>620</v>
      </c>
      <c r="E26" s="905">
        <f>+J26+J27</f>
        <v>27902.2</v>
      </c>
      <c r="F26" s="29" t="s">
        <v>466</v>
      </c>
      <c r="G26" s="29">
        <v>57841</v>
      </c>
      <c r="H26" s="39"/>
      <c r="I26" s="12">
        <v>520</v>
      </c>
      <c r="J26" s="12">
        <v>23358.5</v>
      </c>
      <c r="K26" s="56">
        <f>+A26-D26</f>
        <v>0</v>
      </c>
      <c r="L26" s="879">
        <f t="shared" ref="L26" si="6">(+B26-E26)/B26</f>
        <v>3.8145387167664906E-2</v>
      </c>
    </row>
    <row r="27" spans="1:12" ht="15" thickBot="1" x14ac:dyDescent="0.35">
      <c r="A27" s="893"/>
      <c r="B27" s="896"/>
      <c r="C27" s="896"/>
      <c r="D27" s="907"/>
      <c r="E27" s="907"/>
      <c r="F27" s="28" t="s">
        <v>466</v>
      </c>
      <c r="G27" s="28">
        <v>57841</v>
      </c>
      <c r="H27" s="42"/>
      <c r="I27" s="10">
        <v>100</v>
      </c>
      <c r="J27" s="10">
        <v>4543.7</v>
      </c>
      <c r="K27" s="55"/>
      <c r="L27" s="880"/>
    </row>
    <row r="28" spans="1:12" x14ac:dyDescent="0.3">
      <c r="A28" s="891">
        <v>447</v>
      </c>
      <c r="B28" s="894">
        <v>18693.5</v>
      </c>
      <c r="C28" s="894" t="s">
        <v>467</v>
      </c>
      <c r="D28" s="905">
        <f>+I28+I29</f>
        <v>447</v>
      </c>
      <c r="E28" s="905">
        <f>+J28+J29</f>
        <v>18252.400000000001</v>
      </c>
      <c r="F28" s="29" t="s">
        <v>468</v>
      </c>
      <c r="G28" s="29">
        <v>57881</v>
      </c>
      <c r="H28" s="39"/>
      <c r="I28" s="12">
        <v>300</v>
      </c>
      <c r="J28" s="12">
        <v>12274.3</v>
      </c>
      <c r="K28" s="877">
        <f>+A28-D28</f>
        <v>0</v>
      </c>
      <c r="L28" s="879">
        <f t="shared" ref="L28" si="7">(+B28-E28)/B28</f>
        <v>2.3596437264289647E-2</v>
      </c>
    </row>
    <row r="29" spans="1:12" ht="15" thickBot="1" x14ac:dyDescent="0.35">
      <c r="A29" s="893"/>
      <c r="B29" s="896"/>
      <c r="C29" s="896"/>
      <c r="D29" s="907"/>
      <c r="E29" s="907"/>
      <c r="F29" s="28" t="s">
        <v>468</v>
      </c>
      <c r="G29" s="28">
        <v>57881</v>
      </c>
      <c r="H29" s="42"/>
      <c r="I29" s="10">
        <v>147</v>
      </c>
      <c r="J29" s="10">
        <v>5978.1</v>
      </c>
      <c r="K29" s="878"/>
      <c r="L29" s="880"/>
    </row>
    <row r="30" spans="1:12" ht="15" thickBot="1" x14ac:dyDescent="0.35">
      <c r="A30" s="19">
        <v>147</v>
      </c>
      <c r="B30" s="20">
        <v>6848.25</v>
      </c>
      <c r="C30" s="20" t="s">
        <v>469</v>
      </c>
      <c r="D30" s="27">
        <f>+I30</f>
        <v>147</v>
      </c>
      <c r="E30" s="27">
        <f>+J30</f>
        <v>6656.7</v>
      </c>
      <c r="F30" s="27" t="s">
        <v>470</v>
      </c>
      <c r="G30" s="27">
        <v>57901</v>
      </c>
      <c r="H30" s="45"/>
      <c r="I30" s="8">
        <v>147</v>
      </c>
      <c r="J30" s="8">
        <v>6656.7</v>
      </c>
      <c r="K30" s="54">
        <f>+A30-D30</f>
        <v>0</v>
      </c>
      <c r="L30" s="32">
        <f t="shared" ref="L30:L32" si="8">(+B30-E30)/B30</f>
        <v>2.7970649435987323E-2</v>
      </c>
    </row>
    <row r="31" spans="1:12" ht="15" thickBot="1" x14ac:dyDescent="0.35">
      <c r="A31" s="19">
        <v>603</v>
      </c>
      <c r="B31" s="20">
        <v>29010</v>
      </c>
      <c r="C31" s="20" t="s">
        <v>471</v>
      </c>
      <c r="D31" s="27">
        <f>+I31</f>
        <v>596</v>
      </c>
      <c r="E31" s="27">
        <f>+J31</f>
        <v>28493.7</v>
      </c>
      <c r="F31" s="27" t="s">
        <v>472</v>
      </c>
      <c r="G31" s="27">
        <v>57931</v>
      </c>
      <c r="H31" s="45"/>
      <c r="I31" s="8">
        <v>596</v>
      </c>
      <c r="J31" s="8">
        <v>28493.7</v>
      </c>
      <c r="K31" s="54">
        <f>+A31-D31</f>
        <v>7</v>
      </c>
      <c r="L31" s="31">
        <f>((+B31/A31)-(E31/D31))/(B31/A31)</f>
        <v>6.2613736526862763E-3</v>
      </c>
    </row>
    <row r="32" spans="1:12" ht="15" thickBot="1" x14ac:dyDescent="0.35">
      <c r="A32" s="19">
        <v>447</v>
      </c>
      <c r="B32" s="20">
        <v>17838</v>
      </c>
      <c r="C32" s="20" t="s">
        <v>549</v>
      </c>
      <c r="D32" s="27">
        <f t="shared" ref="D32:D35" si="9">+I32</f>
        <v>447</v>
      </c>
      <c r="E32" s="27">
        <f t="shared" ref="E32:E35" si="10">+J32</f>
        <v>17430.5</v>
      </c>
      <c r="F32" s="27" t="s">
        <v>552</v>
      </c>
      <c r="G32" s="27">
        <v>57941</v>
      </c>
      <c r="H32" s="45"/>
      <c r="I32" s="8">
        <v>447</v>
      </c>
      <c r="J32" s="8">
        <v>17430.5</v>
      </c>
      <c r="K32" s="54">
        <f t="shared" ref="K32:K38" si="11">+A32-D32</f>
        <v>0</v>
      </c>
      <c r="L32" s="33">
        <f t="shared" si="8"/>
        <v>2.2844489292521582E-2</v>
      </c>
    </row>
    <row r="33" spans="1:12" ht="15" thickBot="1" x14ac:dyDescent="0.35">
      <c r="A33" s="19">
        <v>608</v>
      </c>
      <c r="B33" s="20">
        <v>28718</v>
      </c>
      <c r="C33" s="20" t="s">
        <v>550</v>
      </c>
      <c r="D33" s="27">
        <f t="shared" si="9"/>
        <v>612</v>
      </c>
      <c r="E33" s="27">
        <f t="shared" si="10"/>
        <v>28669.9</v>
      </c>
      <c r="F33" s="27" t="s">
        <v>553</v>
      </c>
      <c r="G33" s="27">
        <v>57961</v>
      </c>
      <c r="H33" s="45"/>
      <c r="I33" s="8">
        <v>612</v>
      </c>
      <c r="J33" s="8">
        <v>28669.9</v>
      </c>
      <c r="K33" s="54">
        <f t="shared" si="11"/>
        <v>-4</v>
      </c>
      <c r="L33" s="31">
        <f t="shared" ref="L33:L38" si="12">((+B33/A33)-(E33/D33))/(B33/A33)</f>
        <v>8.1999083264941864E-3</v>
      </c>
    </row>
    <row r="34" spans="1:12" ht="15" thickBot="1" x14ac:dyDescent="0.35">
      <c r="A34" s="19">
        <v>579</v>
      </c>
      <c r="B34" s="20">
        <v>28635</v>
      </c>
      <c r="C34" s="20" t="s">
        <v>551</v>
      </c>
      <c r="D34" s="27">
        <f t="shared" si="9"/>
        <v>574</v>
      </c>
      <c r="E34" s="27">
        <f t="shared" si="10"/>
        <v>27614.7</v>
      </c>
      <c r="F34" s="27" t="s">
        <v>554</v>
      </c>
      <c r="G34" s="27">
        <v>57991</v>
      </c>
      <c r="H34" s="45"/>
      <c r="I34" s="8">
        <v>574</v>
      </c>
      <c r="J34" s="8">
        <v>27614.7</v>
      </c>
      <c r="K34" s="54">
        <f t="shared" si="11"/>
        <v>5</v>
      </c>
      <c r="L34" s="31">
        <f t="shared" si="12"/>
        <v>2.7230795626073501E-2</v>
      </c>
    </row>
    <row r="35" spans="1:12" ht="15" thickBot="1" x14ac:dyDescent="0.35">
      <c r="A35" s="19">
        <v>211</v>
      </c>
      <c r="B35" s="20">
        <v>8254</v>
      </c>
      <c r="C35" s="20" t="s">
        <v>715</v>
      </c>
      <c r="D35" s="27">
        <f t="shared" si="9"/>
        <v>211</v>
      </c>
      <c r="E35" s="27">
        <f t="shared" si="10"/>
        <v>8936.9</v>
      </c>
      <c r="F35" s="27" t="s">
        <v>716</v>
      </c>
      <c r="G35" s="27">
        <v>58011</v>
      </c>
      <c r="H35" s="45"/>
      <c r="I35" s="8">
        <v>211</v>
      </c>
      <c r="J35" s="8">
        <v>8936.9</v>
      </c>
      <c r="K35" s="54">
        <f t="shared" si="11"/>
        <v>0</v>
      </c>
      <c r="L35" s="33">
        <f t="shared" ref="L35:L37" si="13">(+B35-E35)/B35</f>
        <v>-8.2735643324448702E-2</v>
      </c>
    </row>
    <row r="36" spans="1:12" ht="15" thickBot="1" x14ac:dyDescent="0.35">
      <c r="A36" s="19">
        <v>290</v>
      </c>
      <c r="B36" s="170">
        <v>14103.25</v>
      </c>
      <c r="C36" s="20" t="s">
        <v>657</v>
      </c>
      <c r="D36" s="27">
        <f t="shared" ref="D36:E38" si="14">+I36</f>
        <v>288</v>
      </c>
      <c r="E36" s="27">
        <f t="shared" si="14"/>
        <v>13613</v>
      </c>
      <c r="F36" s="65" t="s">
        <v>658</v>
      </c>
      <c r="G36" s="65">
        <v>58041</v>
      </c>
      <c r="H36" s="45"/>
      <c r="I36" s="8">
        <v>288</v>
      </c>
      <c r="J36" s="9">
        <v>13613</v>
      </c>
      <c r="K36" s="54">
        <f t="shared" si="11"/>
        <v>2</v>
      </c>
      <c r="L36" s="31">
        <f t="shared" si="12"/>
        <v>2.8058445945280508E-2</v>
      </c>
    </row>
    <row r="37" spans="1:12" ht="15" thickBot="1" x14ac:dyDescent="0.35">
      <c r="A37" s="19">
        <v>380</v>
      </c>
      <c r="B37" s="170">
        <v>18210</v>
      </c>
      <c r="C37" s="20" t="s">
        <v>717</v>
      </c>
      <c r="D37" s="27">
        <f t="shared" si="14"/>
        <v>380</v>
      </c>
      <c r="E37" s="27">
        <f t="shared" si="14"/>
        <v>17978.599999999999</v>
      </c>
      <c r="F37" s="65" t="s">
        <v>719</v>
      </c>
      <c r="G37" s="65">
        <v>58051</v>
      </c>
      <c r="H37" s="45"/>
      <c r="I37" s="8">
        <v>380</v>
      </c>
      <c r="J37" s="9">
        <v>17978.599999999999</v>
      </c>
      <c r="K37" s="54">
        <f t="shared" si="11"/>
        <v>0</v>
      </c>
      <c r="L37" s="33">
        <f t="shared" si="13"/>
        <v>1.270730367929717E-2</v>
      </c>
    </row>
    <row r="38" spans="1:12" ht="15" thickBot="1" x14ac:dyDescent="0.35">
      <c r="A38" s="19">
        <v>372</v>
      </c>
      <c r="B38" s="170">
        <v>15070</v>
      </c>
      <c r="C38" s="20" t="s">
        <v>718</v>
      </c>
      <c r="D38" s="27">
        <f t="shared" si="14"/>
        <v>374</v>
      </c>
      <c r="E38" s="27">
        <f t="shared" si="14"/>
        <v>14748.6</v>
      </c>
      <c r="F38" s="65" t="s">
        <v>720</v>
      </c>
      <c r="G38" s="65">
        <v>58081</v>
      </c>
      <c r="H38" s="45"/>
      <c r="I38" s="8">
        <v>374</v>
      </c>
      <c r="J38" s="9">
        <v>14748.6</v>
      </c>
      <c r="K38" s="54">
        <f t="shared" si="11"/>
        <v>-2</v>
      </c>
      <c r="L38" s="31">
        <f t="shared" si="12"/>
        <v>2.6560684719082656E-2</v>
      </c>
    </row>
    <row r="39" spans="1:12" x14ac:dyDescent="0.3">
      <c r="A39" s="891">
        <v>332</v>
      </c>
      <c r="B39" s="1071">
        <v>15712.75</v>
      </c>
      <c r="C39" s="894" t="s">
        <v>773</v>
      </c>
      <c r="D39" s="905">
        <f>+I39+I40</f>
        <v>332</v>
      </c>
      <c r="E39" s="905">
        <f>+J39+J40</f>
        <v>15604.400000000001</v>
      </c>
      <c r="F39" s="63" t="s">
        <v>774</v>
      </c>
      <c r="G39" s="63">
        <v>58091</v>
      </c>
      <c r="H39" s="39"/>
      <c r="I39" s="12">
        <v>200</v>
      </c>
      <c r="J39" s="12">
        <v>9339.1</v>
      </c>
      <c r="K39" s="877">
        <f>+A39-D39</f>
        <v>0</v>
      </c>
      <c r="L39" s="879">
        <f t="shared" ref="L39" si="15">(+B39-E39)/B39</f>
        <v>6.8956738954033215E-3</v>
      </c>
    </row>
    <row r="40" spans="1:12" ht="15" thickBot="1" x14ac:dyDescent="0.35">
      <c r="A40" s="893"/>
      <c r="B40" s="1072"/>
      <c r="C40" s="896"/>
      <c r="D40" s="907"/>
      <c r="E40" s="907"/>
      <c r="F40" s="64" t="s">
        <v>774</v>
      </c>
      <c r="G40" s="64">
        <v>58091</v>
      </c>
      <c r="H40" s="42"/>
      <c r="I40" s="10">
        <v>132</v>
      </c>
      <c r="J40" s="10">
        <v>6265.3</v>
      </c>
      <c r="K40" s="878"/>
      <c r="L40" s="880"/>
    </row>
    <row r="41" spans="1:12" ht="15" thickBot="1" x14ac:dyDescent="0.35">
      <c r="A41" s="19">
        <v>300</v>
      </c>
      <c r="B41" s="170">
        <v>14469</v>
      </c>
      <c r="C41" s="20" t="s">
        <v>775</v>
      </c>
      <c r="D41" s="27">
        <f>+I41</f>
        <v>301</v>
      </c>
      <c r="E41" s="27">
        <f>+J41</f>
        <v>14433.8</v>
      </c>
      <c r="F41" s="65" t="s">
        <v>776</v>
      </c>
      <c r="G41" s="65">
        <v>58131</v>
      </c>
      <c r="H41" s="45"/>
      <c r="I41" s="8">
        <v>301</v>
      </c>
      <c r="J41" s="8">
        <v>14433.8</v>
      </c>
      <c r="K41" s="54">
        <f t="shared" ref="K41" si="16">+A41-D41</f>
        <v>-1</v>
      </c>
      <c r="L41" s="31">
        <f t="shared" ref="L41" si="17">((+B41/A41)-(E41/D41))/(B41/A41)</f>
        <v>5.7469641246986987E-3</v>
      </c>
    </row>
    <row r="42" spans="1:12" x14ac:dyDescent="0.3">
      <c r="A42" s="891">
        <v>514</v>
      </c>
      <c r="B42" s="1071">
        <v>24222.25</v>
      </c>
      <c r="C42" s="894" t="s">
        <v>777</v>
      </c>
      <c r="D42" s="905">
        <f>+I42+I43</f>
        <v>514</v>
      </c>
      <c r="E42" s="905">
        <f>+J42+J43</f>
        <v>23773.7</v>
      </c>
      <c r="F42" s="63" t="s">
        <v>778</v>
      </c>
      <c r="G42" s="63">
        <v>58151</v>
      </c>
      <c r="H42" s="39"/>
      <c r="I42" s="12">
        <v>311</v>
      </c>
      <c r="J42" s="12">
        <v>14521.7</v>
      </c>
      <c r="K42" s="877">
        <f>+A42-D42</f>
        <v>0</v>
      </c>
      <c r="L42" s="879">
        <f t="shared" ref="L42" si="18">(+B42-E42)/B42</f>
        <v>1.8518098029704066E-2</v>
      </c>
    </row>
    <row r="43" spans="1:12" ht="15" thickBot="1" x14ac:dyDescent="0.35">
      <c r="A43" s="893"/>
      <c r="B43" s="1072"/>
      <c r="C43" s="896"/>
      <c r="D43" s="907"/>
      <c r="E43" s="907"/>
      <c r="F43" s="64" t="s">
        <v>778</v>
      </c>
      <c r="G43" s="64">
        <v>58151</v>
      </c>
      <c r="H43" s="42"/>
      <c r="I43" s="10">
        <v>203</v>
      </c>
      <c r="J43" s="10">
        <v>9252</v>
      </c>
      <c r="K43" s="878"/>
      <c r="L43" s="880"/>
    </row>
    <row r="44" spans="1:12" ht="15" thickBot="1" x14ac:dyDescent="0.35">
      <c r="A44" s="19">
        <v>600</v>
      </c>
      <c r="B44" s="170">
        <v>27824</v>
      </c>
      <c r="C44" s="20" t="s">
        <v>854</v>
      </c>
      <c r="D44" s="27">
        <v>600</v>
      </c>
      <c r="E44" s="27">
        <v>27580.2</v>
      </c>
      <c r="F44" s="65" t="s">
        <v>855</v>
      </c>
      <c r="G44" s="65">
        <v>58191</v>
      </c>
      <c r="H44" s="45"/>
      <c r="I44" s="8">
        <v>301</v>
      </c>
      <c r="J44" s="8">
        <v>14433.8</v>
      </c>
      <c r="K44" s="54">
        <f t="shared" ref="K44:K47" si="19">+A44-D44</f>
        <v>0</v>
      </c>
      <c r="L44" s="33">
        <f t="shared" ref="L44:L45" si="20">(+B44-E44)/B44</f>
        <v>8.7622196664749602E-3</v>
      </c>
    </row>
    <row r="45" spans="1:12" ht="15" thickBot="1" x14ac:dyDescent="0.35">
      <c r="A45" s="19">
        <v>300</v>
      </c>
      <c r="B45" s="170">
        <v>13657</v>
      </c>
      <c r="C45" s="20" t="s">
        <v>856</v>
      </c>
      <c r="D45" s="27">
        <v>300</v>
      </c>
      <c r="E45" s="27">
        <v>13496.6</v>
      </c>
      <c r="F45" s="65" t="s">
        <v>857</v>
      </c>
      <c r="G45" s="65">
        <v>58221</v>
      </c>
      <c r="H45" s="45"/>
      <c r="I45" s="8">
        <v>301</v>
      </c>
      <c r="J45" s="8">
        <v>14433.8</v>
      </c>
      <c r="K45" s="54">
        <f t="shared" si="19"/>
        <v>0</v>
      </c>
      <c r="L45" s="33">
        <f t="shared" si="20"/>
        <v>1.1744892729003415E-2</v>
      </c>
    </row>
    <row r="46" spans="1:12" ht="15" thickBot="1" x14ac:dyDescent="0.35">
      <c r="A46" s="175">
        <v>302</v>
      </c>
      <c r="B46" s="188">
        <v>14515.25</v>
      </c>
      <c r="C46" s="8" t="s">
        <v>916</v>
      </c>
      <c r="D46" s="8">
        <f t="shared" ref="D46:E46" si="21">+I46</f>
        <v>301</v>
      </c>
      <c r="E46" s="8">
        <f t="shared" si="21"/>
        <v>14068.8</v>
      </c>
      <c r="F46" s="8" t="s">
        <v>917</v>
      </c>
      <c r="G46" s="45">
        <v>58241</v>
      </c>
      <c r="H46" s="45"/>
      <c r="I46" s="8">
        <v>301</v>
      </c>
      <c r="J46" s="9">
        <v>14068.8</v>
      </c>
      <c r="K46" s="54">
        <f t="shared" si="19"/>
        <v>1</v>
      </c>
      <c r="L46" s="31">
        <f t="shared" ref="L46:L47" si="22">((+B46/A46)-(E46/D46))/(B46/A46)</f>
        <v>2.7537231578130129E-2</v>
      </c>
    </row>
    <row r="47" spans="1:12" ht="15" thickBot="1" x14ac:dyDescent="0.35">
      <c r="A47" s="174">
        <v>300</v>
      </c>
      <c r="B47" s="193">
        <v>14512.25</v>
      </c>
      <c r="C47" s="12" t="s">
        <v>930</v>
      </c>
      <c r="D47" s="12">
        <f>+I47</f>
        <v>303</v>
      </c>
      <c r="E47" s="12">
        <f>+J47</f>
        <v>14597.2</v>
      </c>
      <c r="F47" s="39" t="s">
        <v>931</v>
      </c>
      <c r="G47" s="39">
        <v>58271</v>
      </c>
      <c r="H47" s="39"/>
      <c r="I47" s="12">
        <v>303</v>
      </c>
      <c r="J47" s="13">
        <v>14597.2</v>
      </c>
      <c r="K47" s="54">
        <f t="shared" si="19"/>
        <v>-3</v>
      </c>
      <c r="L47" s="31">
        <f t="shared" si="22"/>
        <v>4.1052719373816096E-3</v>
      </c>
    </row>
    <row r="48" spans="1:12" ht="15" thickBot="1" x14ac:dyDescent="0.35">
      <c r="A48" s="174">
        <v>493</v>
      </c>
      <c r="B48" s="193">
        <v>23791</v>
      </c>
      <c r="C48" s="12" t="s">
        <v>1003</v>
      </c>
      <c r="D48" s="12">
        <v>494</v>
      </c>
      <c r="E48" s="12">
        <v>23196.9</v>
      </c>
      <c r="F48" s="39" t="s">
        <v>1004</v>
      </c>
      <c r="G48" s="39">
        <v>58291</v>
      </c>
      <c r="H48" s="39"/>
      <c r="I48" s="12">
        <v>303</v>
      </c>
      <c r="J48" s="13">
        <v>14597.2</v>
      </c>
      <c r="K48" s="54">
        <f t="shared" ref="K48:K49" si="23">+A48-D48</f>
        <v>-1</v>
      </c>
      <c r="L48" s="31">
        <f t="shared" ref="L48:L49" si="24">((+B48/A48)-(E48/D48))/(B48/A48)</f>
        <v>2.6945369570400238E-2</v>
      </c>
    </row>
    <row r="49" spans="1:17" ht="15" thickBot="1" x14ac:dyDescent="0.35">
      <c r="A49" s="175">
        <v>1378</v>
      </c>
      <c r="B49" s="188">
        <v>67180.67</v>
      </c>
      <c r="C49" s="8" t="s">
        <v>1005</v>
      </c>
      <c r="D49" s="8">
        <v>1379</v>
      </c>
      <c r="E49" s="8">
        <v>65907</v>
      </c>
      <c r="F49" s="45" t="s">
        <v>1006</v>
      </c>
      <c r="G49" s="46">
        <v>58321</v>
      </c>
      <c r="H49" s="39"/>
      <c r="I49" s="12">
        <v>303</v>
      </c>
      <c r="J49" s="13">
        <v>14597.2</v>
      </c>
      <c r="K49" s="54">
        <f t="shared" si="23"/>
        <v>-1</v>
      </c>
      <c r="L49" s="31">
        <f t="shared" si="24"/>
        <v>1.9670291000356475E-2</v>
      </c>
    </row>
    <row r="50" spans="1:17" ht="15" thickBot="1" x14ac:dyDescent="0.35">
      <c r="A50" s="175">
        <v>727</v>
      </c>
      <c r="B50" s="188">
        <v>35230.5</v>
      </c>
      <c r="C50" s="8" t="s">
        <v>1079</v>
      </c>
      <c r="D50" s="8">
        <v>725</v>
      </c>
      <c r="E50" s="8">
        <v>33890.199999999997</v>
      </c>
      <c r="F50" s="45" t="s">
        <v>1078</v>
      </c>
      <c r="G50" s="46">
        <v>58321</v>
      </c>
      <c r="H50" s="39"/>
      <c r="I50" s="12">
        <v>303</v>
      </c>
      <c r="J50" s="13">
        <v>14597.2</v>
      </c>
      <c r="K50" s="54">
        <f t="shared" ref="K50:K51" si="25">+A50-D50</f>
        <v>2</v>
      </c>
      <c r="L50" s="31">
        <f t="shared" ref="L50:L51" si="26">((+B50/A50)-(E50/D50))/(B50/A50)</f>
        <v>3.5390068068958766E-2</v>
      </c>
    </row>
    <row r="51" spans="1:17" x14ac:dyDescent="0.3">
      <c r="A51" s="873">
        <v>700</v>
      </c>
      <c r="B51" s="873">
        <v>33813</v>
      </c>
      <c r="C51" s="873" t="s">
        <v>1212</v>
      </c>
      <c r="D51" s="873">
        <f>+I51+I52+I53</f>
        <v>701</v>
      </c>
      <c r="E51" s="873">
        <f>+J51+J52+J53</f>
        <v>33290.799999999996</v>
      </c>
      <c r="F51" s="39" t="s">
        <v>1213</v>
      </c>
      <c r="G51" s="39">
        <v>58381</v>
      </c>
      <c r="H51" s="39"/>
      <c r="I51" s="12">
        <v>322</v>
      </c>
      <c r="J51" s="13">
        <v>15030.9</v>
      </c>
      <c r="K51" s="877">
        <f t="shared" si="25"/>
        <v>-1</v>
      </c>
      <c r="L51" s="879">
        <f t="shared" si="26"/>
        <v>1.6848266708821842E-2</v>
      </c>
      <c r="Q51" s="224"/>
    </row>
    <row r="52" spans="1:17" x14ac:dyDescent="0.3">
      <c r="A52" s="881"/>
      <c r="B52" s="881"/>
      <c r="C52" s="881"/>
      <c r="D52" s="881"/>
      <c r="E52" s="881"/>
      <c r="F52" s="50" t="s">
        <v>1213</v>
      </c>
      <c r="G52" s="50">
        <v>58381</v>
      </c>
      <c r="H52" s="50"/>
      <c r="I52" s="15">
        <v>200</v>
      </c>
      <c r="J52" s="16">
        <v>9677.2999999999993</v>
      </c>
      <c r="K52" s="886"/>
      <c r="L52" s="885"/>
      <c r="Q52" s="224"/>
    </row>
    <row r="53" spans="1:17" ht="15" thickBot="1" x14ac:dyDescent="0.35">
      <c r="A53" s="874"/>
      <c r="B53" s="874"/>
      <c r="C53" s="874"/>
      <c r="D53" s="874"/>
      <c r="E53" s="874"/>
      <c r="F53" s="42" t="s">
        <v>1213</v>
      </c>
      <c r="G53" s="42">
        <v>58381</v>
      </c>
      <c r="H53" s="42"/>
      <c r="I53" s="10">
        <v>179</v>
      </c>
      <c r="J53" s="11">
        <v>8582.6</v>
      </c>
      <c r="K53" s="878"/>
      <c r="L53" s="880"/>
      <c r="Q53" s="224"/>
    </row>
    <row r="54" spans="1:17" x14ac:dyDescent="0.3">
      <c r="A54" s="873">
        <v>293</v>
      </c>
      <c r="B54" s="873">
        <v>16500</v>
      </c>
      <c r="C54" s="873" t="s">
        <v>1214</v>
      </c>
      <c r="D54" s="873">
        <v>293</v>
      </c>
      <c r="E54" s="873">
        <v>15560</v>
      </c>
      <c r="F54" s="39" t="s">
        <v>1215</v>
      </c>
      <c r="G54" s="39">
        <v>58411</v>
      </c>
      <c r="H54" s="39"/>
      <c r="I54" s="12">
        <v>121</v>
      </c>
      <c r="J54" s="13">
        <v>6137.8</v>
      </c>
      <c r="K54" s="877">
        <f t="shared" ref="K54" si="27">+A54-D54</f>
        <v>0</v>
      </c>
      <c r="L54" s="879">
        <f t="shared" ref="L54" si="28">(+B54-E54)/B54</f>
        <v>5.6969696969696969E-2</v>
      </c>
      <c r="Q54" s="224"/>
    </row>
    <row r="55" spans="1:17" ht="15" thickBot="1" x14ac:dyDescent="0.35">
      <c r="A55" s="874"/>
      <c r="B55" s="874"/>
      <c r="C55" s="874"/>
      <c r="D55" s="874"/>
      <c r="E55" s="874"/>
      <c r="F55" s="42" t="s">
        <v>1215</v>
      </c>
      <c r="G55" s="42">
        <v>58411</v>
      </c>
      <c r="H55" s="42"/>
      <c r="I55" s="10">
        <v>155</v>
      </c>
      <c r="J55" s="11">
        <v>8562.4</v>
      </c>
      <c r="K55" s="878"/>
      <c r="L55" s="880"/>
      <c r="Q55" s="224"/>
    </row>
    <row r="56" spans="1:17" x14ac:dyDescent="0.3">
      <c r="A56" s="873">
        <v>510</v>
      </c>
      <c r="B56" s="873">
        <v>24049.25</v>
      </c>
      <c r="C56" s="873" t="s">
        <v>1340</v>
      </c>
      <c r="D56" s="873">
        <f>+I56+I57+I58</f>
        <v>510</v>
      </c>
      <c r="E56" s="873">
        <f>+J56+J57+J58</f>
        <v>23879.9</v>
      </c>
      <c r="F56" s="39" t="s">
        <v>1341</v>
      </c>
      <c r="G56" s="39">
        <v>58421</v>
      </c>
      <c r="H56" s="39"/>
      <c r="I56" s="12">
        <v>217</v>
      </c>
      <c r="J56" s="13">
        <v>9940</v>
      </c>
      <c r="K56" s="877">
        <f t="shared" ref="K56" si="29">+A56-D56</f>
        <v>0</v>
      </c>
      <c r="L56" s="879">
        <f t="shared" ref="L56" si="30">(+B56-E56)/B56</f>
        <v>7.0417996403213633E-3</v>
      </c>
      <c r="Q56" s="224"/>
    </row>
    <row r="57" spans="1:17" x14ac:dyDescent="0.3">
      <c r="A57" s="881"/>
      <c r="B57" s="881"/>
      <c r="C57" s="881"/>
      <c r="D57" s="881"/>
      <c r="E57" s="881"/>
      <c r="F57" s="50" t="s">
        <v>1341</v>
      </c>
      <c r="G57" s="50">
        <v>58421</v>
      </c>
      <c r="H57" s="50"/>
      <c r="I57" s="15">
        <v>100</v>
      </c>
      <c r="J57" s="16">
        <v>4718.6000000000004</v>
      </c>
      <c r="K57" s="886"/>
      <c r="L57" s="885"/>
      <c r="Q57" s="224"/>
    </row>
    <row r="58" spans="1:17" ht="15" thickBot="1" x14ac:dyDescent="0.35">
      <c r="A58" s="874"/>
      <c r="B58" s="874"/>
      <c r="C58" s="874"/>
      <c r="D58" s="874"/>
      <c r="E58" s="874"/>
      <c r="F58" s="42" t="s">
        <v>1341</v>
      </c>
      <c r="G58" s="42">
        <v>5842</v>
      </c>
      <c r="H58" s="42"/>
      <c r="I58" s="10">
        <v>193</v>
      </c>
      <c r="J58" s="11">
        <v>9221.2999999999993</v>
      </c>
      <c r="K58" s="878"/>
      <c r="L58" s="880"/>
      <c r="Q58" s="224"/>
    </row>
    <row r="59" spans="1:17" x14ac:dyDescent="0.3">
      <c r="A59" s="881">
        <v>844</v>
      </c>
      <c r="B59" s="881">
        <v>41132.25</v>
      </c>
      <c r="C59" s="881" t="s">
        <v>1342</v>
      </c>
      <c r="D59" s="881">
        <f>+I59+I60+I61</f>
        <v>844</v>
      </c>
      <c r="E59" s="881">
        <f>+J59+J60+J61</f>
        <v>39857.9</v>
      </c>
      <c r="F59" s="50" t="s">
        <v>1343</v>
      </c>
      <c r="G59" s="50">
        <v>58461</v>
      </c>
      <c r="H59" s="50"/>
      <c r="I59" s="15">
        <v>213</v>
      </c>
      <c r="J59" s="16">
        <v>10033.1</v>
      </c>
      <c r="K59" s="877">
        <f t="shared" ref="K59" si="31">+A59-D59</f>
        <v>0</v>
      </c>
      <c r="L59" s="879">
        <f t="shared" ref="L59" si="32">(+B59-E59)/B59</f>
        <v>3.0981772210370174E-2</v>
      </c>
      <c r="Q59" s="224"/>
    </row>
    <row r="60" spans="1:17" x14ac:dyDescent="0.3">
      <c r="A60" s="881"/>
      <c r="B60" s="881"/>
      <c r="C60" s="881"/>
      <c r="D60" s="881"/>
      <c r="E60" s="881"/>
      <c r="F60" s="50" t="s">
        <v>1343</v>
      </c>
      <c r="G60" s="50">
        <v>58461</v>
      </c>
      <c r="H60" s="50"/>
      <c r="I60" s="15">
        <v>469</v>
      </c>
      <c r="J60" s="16">
        <v>22453.4</v>
      </c>
      <c r="K60" s="886"/>
      <c r="L60" s="885"/>
      <c r="Q60" s="224"/>
    </row>
    <row r="61" spans="1:17" ht="15" thickBot="1" x14ac:dyDescent="0.35">
      <c r="A61" s="874"/>
      <c r="B61" s="874"/>
      <c r="C61" s="874"/>
      <c r="D61" s="874"/>
      <c r="E61" s="874"/>
      <c r="F61" s="42" t="s">
        <v>1343</v>
      </c>
      <c r="G61" s="42">
        <v>58461</v>
      </c>
      <c r="H61" s="42"/>
      <c r="I61" s="10">
        <v>162</v>
      </c>
      <c r="J61" s="11">
        <v>7371.4000000000005</v>
      </c>
      <c r="K61" s="878"/>
      <c r="L61" s="880"/>
      <c r="Q61" s="224"/>
    </row>
    <row r="62" spans="1:17" x14ac:dyDescent="0.3">
      <c r="A62" s="873">
        <v>283</v>
      </c>
      <c r="B62" s="873">
        <v>13880</v>
      </c>
      <c r="C62" s="873" t="s">
        <v>1381</v>
      </c>
      <c r="D62" s="873">
        <f>+I62+I63</f>
        <v>283</v>
      </c>
      <c r="E62" s="873">
        <f>+J62+J63</f>
        <v>13378.2</v>
      </c>
      <c r="F62" s="39" t="s">
        <v>1382</v>
      </c>
      <c r="G62" s="39">
        <v>58501</v>
      </c>
      <c r="H62" s="39"/>
      <c r="I62" s="12">
        <v>183</v>
      </c>
      <c r="J62" s="13">
        <v>8571.1</v>
      </c>
      <c r="K62" s="882">
        <f t="shared" ref="K62" si="33">+A62-D62</f>
        <v>0</v>
      </c>
      <c r="L62" s="879">
        <f t="shared" ref="L62" si="34">(+B62-E62)/B62</f>
        <v>3.6152737752161331E-2</v>
      </c>
      <c r="Q62" s="224"/>
    </row>
    <row r="63" spans="1:17" ht="15" thickBot="1" x14ac:dyDescent="0.35">
      <c r="A63" s="874"/>
      <c r="B63" s="874"/>
      <c r="C63" s="874"/>
      <c r="D63" s="874"/>
      <c r="E63" s="874"/>
      <c r="F63" s="42" t="s">
        <v>1382</v>
      </c>
      <c r="G63" s="42">
        <v>58501</v>
      </c>
      <c r="H63" s="42"/>
      <c r="I63" s="10">
        <v>100</v>
      </c>
      <c r="J63" s="11">
        <v>4807.1000000000004</v>
      </c>
      <c r="K63" s="884"/>
      <c r="L63" s="880"/>
      <c r="Q63" s="224"/>
    </row>
    <row r="64" spans="1:17" ht="15" thickBot="1" x14ac:dyDescent="0.35">
      <c r="A64" s="175">
        <v>250</v>
      </c>
      <c r="B64" s="8">
        <v>9524.75</v>
      </c>
      <c r="C64" s="8" t="s">
        <v>1383</v>
      </c>
      <c r="D64" s="8">
        <f>+I64</f>
        <v>250</v>
      </c>
      <c r="E64" s="8">
        <f>+J64</f>
        <v>9359.2999999999993</v>
      </c>
      <c r="F64" s="45" t="s">
        <v>1384</v>
      </c>
      <c r="G64" s="45">
        <v>58541</v>
      </c>
      <c r="H64" s="45"/>
      <c r="I64" s="8">
        <v>250</v>
      </c>
      <c r="J64" s="9">
        <v>9359.2999999999993</v>
      </c>
      <c r="K64" s="54">
        <f t="shared" ref="K64:K65" si="35">+A64-D64</f>
        <v>0</v>
      </c>
      <c r="L64" s="33">
        <f t="shared" ref="L64:L66" si="36">(+B64-E64)/B64</f>
        <v>1.7370534659702432E-2</v>
      </c>
      <c r="Q64" s="224"/>
    </row>
    <row r="65" spans="1:17" ht="15" thickBot="1" x14ac:dyDescent="0.35">
      <c r="A65" s="175">
        <v>656</v>
      </c>
      <c r="B65" s="8">
        <v>26684.5</v>
      </c>
      <c r="C65" s="8" t="s">
        <v>1385</v>
      </c>
      <c r="D65" s="8">
        <v>657</v>
      </c>
      <c r="E65" s="8">
        <v>26041.599999999999</v>
      </c>
      <c r="F65" s="45" t="s">
        <v>1386</v>
      </c>
      <c r="G65" s="45">
        <v>58551</v>
      </c>
      <c r="H65" s="45"/>
      <c r="I65" s="8">
        <v>50</v>
      </c>
      <c r="J65" s="9">
        <v>1954.2</v>
      </c>
      <c r="K65" s="54">
        <f t="shared" si="35"/>
        <v>-1</v>
      </c>
      <c r="L65" s="31">
        <f t="shared" ref="L65" si="37">((+B65/A65)-(E65/D65))/(B65/A65)</f>
        <v>2.5578037381565027E-2</v>
      </c>
      <c r="Q65" s="224"/>
    </row>
    <row r="66" spans="1:17" x14ac:dyDescent="0.3">
      <c r="A66" s="871">
        <v>1160</v>
      </c>
      <c r="B66" s="873">
        <v>65619.25</v>
      </c>
      <c r="C66" s="873" t="s">
        <v>1449</v>
      </c>
      <c r="D66" s="873">
        <f>+I66+I67+I68+I69</f>
        <v>1160</v>
      </c>
      <c r="E66" s="873">
        <f>+J66+J67+J68+J69</f>
        <v>61577</v>
      </c>
      <c r="F66" s="39" t="s">
        <v>1450</v>
      </c>
      <c r="G66" s="39">
        <v>58561</v>
      </c>
      <c r="H66" s="39"/>
      <c r="I66" s="12">
        <v>200</v>
      </c>
      <c r="J66" s="13">
        <v>10075.1</v>
      </c>
      <c r="K66" s="877">
        <f t="shared" ref="K66" si="38">+A66-D66</f>
        <v>0</v>
      </c>
      <c r="L66" s="879">
        <f t="shared" si="36"/>
        <v>6.160158794865836E-2</v>
      </c>
      <c r="Q66" s="224"/>
    </row>
    <row r="67" spans="1:17" x14ac:dyDescent="0.3">
      <c r="A67" s="875"/>
      <c r="B67" s="881"/>
      <c r="C67" s="881"/>
      <c r="D67" s="881"/>
      <c r="E67" s="881"/>
      <c r="F67" s="50" t="s">
        <v>1450</v>
      </c>
      <c r="G67" s="50">
        <v>58561</v>
      </c>
      <c r="H67" s="50"/>
      <c r="I67" s="15">
        <v>200</v>
      </c>
      <c r="J67" s="16">
        <v>10402</v>
      </c>
      <c r="K67" s="886"/>
      <c r="L67" s="885"/>
      <c r="Q67" s="224"/>
    </row>
    <row r="68" spans="1:17" x14ac:dyDescent="0.3">
      <c r="A68" s="875"/>
      <c r="B68" s="881"/>
      <c r="C68" s="881"/>
      <c r="D68" s="881"/>
      <c r="E68" s="881"/>
      <c r="F68" s="50" t="s">
        <v>1450</v>
      </c>
      <c r="G68" s="50">
        <v>58561</v>
      </c>
      <c r="H68" s="50"/>
      <c r="I68" s="15">
        <v>600</v>
      </c>
      <c r="J68" s="16">
        <v>31893.7</v>
      </c>
      <c r="K68" s="886"/>
      <c r="L68" s="885"/>
      <c r="Q68" s="224"/>
    </row>
    <row r="69" spans="1:17" ht="15" thickBot="1" x14ac:dyDescent="0.35">
      <c r="A69" s="872"/>
      <c r="B69" s="874"/>
      <c r="C69" s="874"/>
      <c r="D69" s="874"/>
      <c r="E69" s="874"/>
      <c r="F69" s="42" t="s">
        <v>1450</v>
      </c>
      <c r="G69" s="42">
        <v>58561</v>
      </c>
      <c r="H69" s="42"/>
      <c r="I69" s="10">
        <v>160</v>
      </c>
      <c r="J69" s="11">
        <v>9206.2000000000007</v>
      </c>
      <c r="K69" s="878"/>
      <c r="L69" s="880"/>
      <c r="Q69" s="224"/>
    </row>
    <row r="70" spans="1:17" ht="15" thickBot="1" x14ac:dyDescent="0.35">
      <c r="A70" s="175">
        <v>341</v>
      </c>
      <c r="B70" s="8">
        <v>18008.5</v>
      </c>
      <c r="C70" s="8" t="s">
        <v>1451</v>
      </c>
      <c r="D70" s="8">
        <f>+I70</f>
        <v>342</v>
      </c>
      <c r="E70" s="8">
        <f>+J70</f>
        <v>17104.5</v>
      </c>
      <c r="F70" s="45" t="s">
        <v>1452</v>
      </c>
      <c r="G70" s="45">
        <v>58601</v>
      </c>
      <c r="H70" s="45"/>
      <c r="I70" s="8">
        <v>342</v>
      </c>
      <c r="J70" s="9">
        <v>17104.5</v>
      </c>
      <c r="K70" s="54">
        <f t="shared" ref="K70:K72" si="39">+A70-D70</f>
        <v>-1</v>
      </c>
      <c r="L70" s="31">
        <f t="shared" ref="L70" si="40">((+B70/A70)-(E70/D70))/(B70/A70)</f>
        <v>5.297571468443997E-2</v>
      </c>
      <c r="Q70" s="224"/>
    </row>
    <row r="71" spans="1:17" ht="15" thickBot="1" x14ac:dyDescent="0.35">
      <c r="A71" s="175">
        <f>921-10</f>
        <v>911</v>
      </c>
      <c r="B71" s="8">
        <f>50436.75-547.6</f>
        <v>49889.15</v>
      </c>
      <c r="C71" s="8" t="s">
        <v>1453</v>
      </c>
      <c r="D71" s="8">
        <v>911</v>
      </c>
      <c r="E71" s="8">
        <v>47102.8</v>
      </c>
      <c r="F71" s="45" t="s">
        <v>1454</v>
      </c>
      <c r="G71" s="45">
        <v>58611</v>
      </c>
      <c r="H71" s="45"/>
      <c r="I71" s="8">
        <v>269</v>
      </c>
      <c r="J71" s="9">
        <v>15301.5</v>
      </c>
      <c r="K71" s="54">
        <f t="shared" si="39"/>
        <v>0</v>
      </c>
      <c r="L71" s="33">
        <f t="shared" ref="L71:L72" si="41">(+B71-E71)/B71</f>
        <v>5.5850821270757238E-2</v>
      </c>
      <c r="Q71" s="224"/>
    </row>
    <row r="72" spans="1:17" ht="15" thickBot="1" x14ac:dyDescent="0.35">
      <c r="A72" s="175">
        <v>395</v>
      </c>
      <c r="B72" s="8">
        <v>17969</v>
      </c>
      <c r="C72" s="8" t="s">
        <v>1643</v>
      </c>
      <c r="D72" s="8">
        <f>+I72</f>
        <v>395</v>
      </c>
      <c r="E72" s="8">
        <f>+J72</f>
        <v>17337.400000000001</v>
      </c>
      <c r="F72" s="45" t="s">
        <v>1644</v>
      </c>
      <c r="G72" s="46">
        <v>58631</v>
      </c>
      <c r="H72" s="50"/>
      <c r="I72" s="15">
        <v>395</v>
      </c>
      <c r="J72" s="15">
        <v>17337.400000000001</v>
      </c>
      <c r="K72" s="54">
        <f t="shared" si="39"/>
        <v>0</v>
      </c>
      <c r="L72" s="33">
        <f t="shared" si="41"/>
        <v>3.514942400801372E-2</v>
      </c>
      <c r="Q72" s="224"/>
    </row>
    <row r="73" spans="1:17" ht="15" thickBot="1" x14ac:dyDescent="0.35">
      <c r="A73" s="175">
        <v>300</v>
      </c>
      <c r="B73" s="8">
        <v>14932.75</v>
      </c>
      <c r="C73" s="8" t="s">
        <v>1733</v>
      </c>
      <c r="D73" s="8">
        <f>+I73</f>
        <v>301</v>
      </c>
      <c r="E73" s="8">
        <f>+J73</f>
        <v>14260</v>
      </c>
      <c r="F73" s="45" t="s">
        <v>1734</v>
      </c>
      <c r="G73" s="45">
        <v>58641</v>
      </c>
      <c r="H73" s="45"/>
      <c r="I73" s="8">
        <v>301</v>
      </c>
      <c r="J73" s="9">
        <v>14260</v>
      </c>
      <c r="K73" s="54">
        <f t="shared" ref="K73:K74" si="42">+A73-D73</f>
        <v>-1</v>
      </c>
      <c r="L73" s="31">
        <f t="shared" ref="L73" si="43">((+B73/A73)-(E73/D73))/(B73/A73)</f>
        <v>4.8224567831269619E-2</v>
      </c>
      <c r="Q73" s="224"/>
    </row>
    <row r="74" spans="1:17" x14ac:dyDescent="0.3">
      <c r="A74" s="871">
        <v>1057</v>
      </c>
      <c r="B74" s="873">
        <v>51940.25</v>
      </c>
      <c r="C74" s="873" t="s">
        <v>1735</v>
      </c>
      <c r="D74" s="873">
        <v>1057</v>
      </c>
      <c r="E74" s="873">
        <v>50126.3</v>
      </c>
      <c r="F74" s="39" t="s">
        <v>1736</v>
      </c>
      <c r="G74" s="39">
        <v>58711</v>
      </c>
      <c r="H74" s="39"/>
      <c r="I74" s="12">
        <v>466</v>
      </c>
      <c r="J74" s="13">
        <v>22144.6</v>
      </c>
      <c r="K74" s="877">
        <f t="shared" si="42"/>
        <v>0</v>
      </c>
      <c r="L74" s="879">
        <f t="shared" ref="L74" si="44">(+B74-E74)/B74</f>
        <v>3.4923782615601522E-2</v>
      </c>
      <c r="Q74" s="224"/>
    </row>
    <row r="75" spans="1:17" ht="15" thickBot="1" x14ac:dyDescent="0.35">
      <c r="A75" s="872"/>
      <c r="B75" s="874"/>
      <c r="C75" s="874"/>
      <c r="D75" s="874"/>
      <c r="E75" s="874"/>
      <c r="F75" s="42" t="s">
        <v>1736</v>
      </c>
      <c r="G75" s="42">
        <v>58711</v>
      </c>
      <c r="H75" s="42"/>
      <c r="I75" s="10">
        <v>100</v>
      </c>
      <c r="J75" s="11">
        <v>4765.3999999999996</v>
      </c>
      <c r="K75" s="878"/>
      <c r="L75" s="880"/>
      <c r="Q75" s="224"/>
    </row>
    <row r="76" spans="1:17" ht="15" thickBot="1" x14ac:dyDescent="0.35">
      <c r="A76" s="175">
        <v>420</v>
      </c>
      <c r="B76" s="8">
        <v>21300.75</v>
      </c>
      <c r="C76" s="8" t="s">
        <v>1820</v>
      </c>
      <c r="D76" s="8">
        <f t="shared" ref="D76:E77" si="45">+I76</f>
        <v>421</v>
      </c>
      <c r="E76" s="8">
        <f t="shared" si="45"/>
        <v>19653.5</v>
      </c>
      <c r="F76" s="45" t="s">
        <v>1821</v>
      </c>
      <c r="G76" s="45">
        <v>58741</v>
      </c>
      <c r="H76" s="45"/>
      <c r="I76" s="8">
        <v>421</v>
      </c>
      <c r="J76" s="9">
        <v>19653.5</v>
      </c>
      <c r="K76" s="54">
        <f t="shared" ref="K76:K79" si="46">+A76-D76</f>
        <v>-1</v>
      </c>
      <c r="L76" s="31">
        <f t="shared" ref="L76:L78" si="47">((+B76/A76)-(E76/D76))/(B76/A76)</f>
        <v>7.9524565936046121E-2</v>
      </c>
      <c r="Q76" s="224"/>
    </row>
    <row r="77" spans="1:17" ht="15" thickBot="1" x14ac:dyDescent="0.35">
      <c r="A77" s="175">
        <v>600</v>
      </c>
      <c r="B77" s="8">
        <v>30131</v>
      </c>
      <c r="C77" s="8" t="s">
        <v>1822</v>
      </c>
      <c r="D77" s="8">
        <f t="shared" si="45"/>
        <v>600</v>
      </c>
      <c r="E77" s="8">
        <f t="shared" si="45"/>
        <v>29652.799999999996</v>
      </c>
      <c r="F77" s="45" t="s">
        <v>1823</v>
      </c>
      <c r="G77" s="45">
        <v>58761</v>
      </c>
      <c r="H77" s="45"/>
      <c r="I77" s="8">
        <v>600</v>
      </c>
      <c r="J77" s="9">
        <v>29652.799999999996</v>
      </c>
      <c r="K77" s="54">
        <f t="shared" si="46"/>
        <v>0</v>
      </c>
      <c r="L77" s="33">
        <f t="shared" ref="L77" si="48">(+B77-E77)/B77</f>
        <v>1.587069795227521E-2</v>
      </c>
      <c r="Q77" s="224"/>
    </row>
    <row r="78" spans="1:17" ht="15" thickBot="1" x14ac:dyDescent="0.35">
      <c r="A78" s="175">
        <v>330</v>
      </c>
      <c r="B78" s="8">
        <v>16844</v>
      </c>
      <c r="C78" s="8" t="s">
        <v>1824</v>
      </c>
      <c r="D78" s="8">
        <v>327</v>
      </c>
      <c r="E78" s="8">
        <v>15656.5</v>
      </c>
      <c r="F78" s="45" t="s">
        <v>1825</v>
      </c>
      <c r="G78" s="45">
        <v>58791</v>
      </c>
      <c r="H78" s="45"/>
      <c r="I78" s="8">
        <v>160</v>
      </c>
      <c r="J78" s="9">
        <v>7633</v>
      </c>
      <c r="K78" s="54">
        <f t="shared" si="46"/>
        <v>3</v>
      </c>
      <c r="L78" s="31">
        <f t="shared" si="47"/>
        <v>6.1972357238250952E-2</v>
      </c>
      <c r="Q78" s="224"/>
    </row>
    <row r="79" spans="1:17" x14ac:dyDescent="0.3">
      <c r="A79" s="871">
        <v>625</v>
      </c>
      <c r="B79" s="873">
        <v>32797.75</v>
      </c>
      <c r="C79" s="873" t="s">
        <v>2084</v>
      </c>
      <c r="D79" s="873">
        <f>+I79+I80</f>
        <v>625</v>
      </c>
      <c r="E79" s="873">
        <f>+J79+J80</f>
        <v>30602.5</v>
      </c>
      <c r="F79" s="39" t="s">
        <v>2085</v>
      </c>
      <c r="G79" s="39">
        <v>58831</v>
      </c>
      <c r="H79" s="39"/>
      <c r="I79" s="12">
        <v>437</v>
      </c>
      <c r="J79" s="13">
        <v>21315.599999999999</v>
      </c>
      <c r="K79" s="877">
        <f t="shared" si="46"/>
        <v>0</v>
      </c>
      <c r="L79" s="879">
        <f t="shared" ref="L79" si="49">(+B79-E79)/B79</f>
        <v>6.6932945095319038E-2</v>
      </c>
      <c r="Q79" s="224"/>
    </row>
    <row r="80" spans="1:17" ht="15" thickBot="1" x14ac:dyDescent="0.35">
      <c r="A80" s="872"/>
      <c r="B80" s="874"/>
      <c r="C80" s="874"/>
      <c r="D80" s="874"/>
      <c r="E80" s="874"/>
      <c r="F80" s="42" t="s">
        <v>2085</v>
      </c>
      <c r="G80" s="42">
        <v>58831</v>
      </c>
      <c r="H80" s="42"/>
      <c r="I80" s="10">
        <v>188</v>
      </c>
      <c r="J80" s="11">
        <v>9286.9</v>
      </c>
      <c r="K80" s="878"/>
      <c r="L80" s="880"/>
      <c r="Q80" s="224"/>
    </row>
    <row r="81" spans="1:17" ht="15" thickBot="1" x14ac:dyDescent="0.35">
      <c r="A81" s="175">
        <v>125</v>
      </c>
      <c r="B81" s="8">
        <v>5834</v>
      </c>
      <c r="C81" s="8" t="s">
        <v>2086</v>
      </c>
      <c r="D81" s="8">
        <f t="shared" ref="D81:E82" si="50">+I81</f>
        <v>125</v>
      </c>
      <c r="E81" s="8">
        <f t="shared" si="50"/>
        <v>5694.4</v>
      </c>
      <c r="F81" s="45" t="s">
        <v>2087</v>
      </c>
      <c r="G81" s="45">
        <v>58841</v>
      </c>
      <c r="H81" s="45"/>
      <c r="I81" s="8">
        <v>125</v>
      </c>
      <c r="J81" s="9">
        <v>5694.4</v>
      </c>
      <c r="K81" s="54">
        <f t="shared" ref="K81:K83" si="51">+A81-D81</f>
        <v>0</v>
      </c>
      <c r="L81" s="33">
        <f t="shared" ref="L81:L85" si="52">(+B81-E81)/B81</f>
        <v>2.3928693863558514E-2</v>
      </c>
      <c r="Q81" s="224"/>
    </row>
    <row r="82" spans="1:17" ht="15" thickBot="1" x14ac:dyDescent="0.35">
      <c r="A82" s="175">
        <v>231</v>
      </c>
      <c r="B82" s="8">
        <v>11512</v>
      </c>
      <c r="C82" s="8" t="s">
        <v>2088</v>
      </c>
      <c r="D82" s="8">
        <f t="shared" si="50"/>
        <v>231</v>
      </c>
      <c r="E82" s="8">
        <f t="shared" si="50"/>
        <v>11261.8</v>
      </c>
      <c r="F82" s="45" t="s">
        <v>2089</v>
      </c>
      <c r="G82" s="45">
        <v>58861</v>
      </c>
      <c r="H82" s="45"/>
      <c r="I82" s="8">
        <v>231</v>
      </c>
      <c r="J82" s="9">
        <v>11261.8</v>
      </c>
      <c r="K82" s="54">
        <f t="shared" si="51"/>
        <v>0</v>
      </c>
      <c r="L82" s="33">
        <f t="shared" si="52"/>
        <v>2.1733842946490681E-2</v>
      </c>
      <c r="Q82" s="224"/>
    </row>
    <row r="83" spans="1:17" ht="15" thickBot="1" x14ac:dyDescent="0.35">
      <c r="A83" s="175">
        <v>207</v>
      </c>
      <c r="B83" s="8">
        <v>7910.75</v>
      </c>
      <c r="C83" s="8" t="s">
        <v>2090</v>
      </c>
      <c r="D83" s="8">
        <v>251</v>
      </c>
      <c r="E83" s="8">
        <v>9619.7999999999993</v>
      </c>
      <c r="F83" s="45" t="s">
        <v>2091</v>
      </c>
      <c r="G83" s="46">
        <v>58871</v>
      </c>
      <c r="H83" s="50"/>
      <c r="I83" s="15">
        <v>71</v>
      </c>
      <c r="J83" s="15">
        <v>2374.9</v>
      </c>
      <c r="K83" s="54">
        <f t="shared" si="51"/>
        <v>-44</v>
      </c>
      <c r="L83" s="31">
        <f t="shared" ref="L83" si="53">((+B83/A83)-(E83/D83))/(B83/A83)</f>
        <v>-2.8708476148184355E-3</v>
      </c>
      <c r="Q83" s="224"/>
    </row>
    <row r="84" spans="1:17" ht="15" thickBot="1" x14ac:dyDescent="0.35">
      <c r="A84" s="175">
        <v>564</v>
      </c>
      <c r="B84" s="8">
        <v>28315.25</v>
      </c>
      <c r="C84" s="8" t="s">
        <v>2152</v>
      </c>
      <c r="D84" s="8">
        <v>564</v>
      </c>
      <c r="E84" s="8">
        <v>27359.8</v>
      </c>
      <c r="F84" s="45" t="s">
        <v>2153</v>
      </c>
      <c r="G84" s="46">
        <v>58891</v>
      </c>
      <c r="H84" s="50"/>
      <c r="I84" s="15">
        <v>71</v>
      </c>
      <c r="J84" s="15">
        <v>2374.9</v>
      </c>
      <c r="K84" s="54">
        <f t="shared" ref="K84:K87" si="54">+A84-D84</f>
        <v>0</v>
      </c>
      <c r="L84" s="33">
        <f t="shared" si="52"/>
        <v>3.3743300871438564E-2</v>
      </c>
      <c r="Q84" s="224"/>
    </row>
    <row r="85" spans="1:17" ht="15" thickBot="1" x14ac:dyDescent="0.35">
      <c r="A85" s="175">
        <v>107</v>
      </c>
      <c r="B85" s="8">
        <v>5009.5</v>
      </c>
      <c r="C85" s="8" t="s">
        <v>2154</v>
      </c>
      <c r="D85" s="8">
        <f>+I85</f>
        <v>107</v>
      </c>
      <c r="E85" s="8">
        <f>+J85</f>
        <v>4756</v>
      </c>
      <c r="F85" s="45" t="s">
        <v>2155</v>
      </c>
      <c r="G85" s="45">
        <v>58901</v>
      </c>
      <c r="H85" s="45"/>
      <c r="I85" s="8">
        <v>107</v>
      </c>
      <c r="J85" s="9">
        <v>4756</v>
      </c>
      <c r="K85" s="54">
        <f t="shared" si="54"/>
        <v>0</v>
      </c>
      <c r="L85" s="33">
        <f t="shared" si="52"/>
        <v>5.0603852679908176E-2</v>
      </c>
      <c r="Q85" s="224"/>
    </row>
    <row r="86" spans="1:17" ht="15" thickBot="1" x14ac:dyDescent="0.35">
      <c r="A86" s="255">
        <v>284</v>
      </c>
      <c r="B86" s="256">
        <v>12995</v>
      </c>
      <c r="C86" s="256" t="s">
        <v>2232</v>
      </c>
      <c r="D86" s="8">
        <f>+I86</f>
        <v>285</v>
      </c>
      <c r="E86" s="8">
        <f>+J86</f>
        <v>12720.6</v>
      </c>
      <c r="F86" s="45" t="s">
        <v>2233</v>
      </c>
      <c r="G86" s="45">
        <v>58911</v>
      </c>
      <c r="H86" s="45"/>
      <c r="I86" s="8">
        <v>285</v>
      </c>
      <c r="J86" s="9">
        <v>12720.6</v>
      </c>
      <c r="K86" s="54">
        <f t="shared" si="54"/>
        <v>-1</v>
      </c>
      <c r="L86" s="31">
        <f t="shared" ref="L86:L87" si="55">((+B86/A86)-(E86/D86))/(B86/A86)</f>
        <v>2.4550495129705717E-2</v>
      </c>
      <c r="Q86" s="224"/>
    </row>
    <row r="87" spans="1:17" x14ac:dyDescent="0.3">
      <c r="A87" s="935">
        <v>1189</v>
      </c>
      <c r="B87" s="908">
        <v>57511.25</v>
      </c>
      <c r="C87" s="908" t="s">
        <v>2234</v>
      </c>
      <c r="D87" s="873">
        <v>1190</v>
      </c>
      <c r="E87" s="873">
        <v>55877.3</v>
      </c>
      <c r="F87" s="39" t="s">
        <v>2235</v>
      </c>
      <c r="G87" s="39">
        <v>58921</v>
      </c>
      <c r="H87" s="39"/>
      <c r="I87" s="12">
        <v>400</v>
      </c>
      <c r="J87" s="13">
        <v>18905.400000000001</v>
      </c>
      <c r="K87" s="877">
        <f t="shared" si="54"/>
        <v>-1</v>
      </c>
      <c r="L87" s="879">
        <f t="shared" si="55"/>
        <v>2.9227424448011758E-2</v>
      </c>
      <c r="Q87" s="224"/>
    </row>
    <row r="88" spans="1:17" x14ac:dyDescent="0.3">
      <c r="A88" s="936"/>
      <c r="B88" s="909"/>
      <c r="C88" s="909"/>
      <c r="D88" s="881"/>
      <c r="E88" s="881"/>
      <c r="F88" s="50" t="s">
        <v>2235</v>
      </c>
      <c r="G88" s="50">
        <v>58921</v>
      </c>
      <c r="H88" s="50"/>
      <c r="I88" s="15">
        <v>100</v>
      </c>
      <c r="J88" s="16">
        <v>4668.1000000000004</v>
      </c>
      <c r="K88" s="886"/>
      <c r="L88" s="885"/>
      <c r="Q88" s="224"/>
    </row>
    <row r="89" spans="1:17" ht="15" thickBot="1" x14ac:dyDescent="0.35">
      <c r="A89" s="937"/>
      <c r="B89" s="910"/>
      <c r="C89" s="910"/>
      <c r="D89" s="874"/>
      <c r="E89" s="874"/>
      <c r="F89" s="42" t="s">
        <v>2235</v>
      </c>
      <c r="G89" s="42">
        <v>58921</v>
      </c>
      <c r="H89" s="42"/>
      <c r="I89" s="10">
        <v>398</v>
      </c>
      <c r="J89" s="11">
        <v>19106.2</v>
      </c>
      <c r="K89" s="878"/>
      <c r="L89" s="880"/>
      <c r="Q89" s="224"/>
    </row>
    <row r="90" spans="1:17" ht="15" thickBot="1" x14ac:dyDescent="0.35">
      <c r="A90" s="175">
        <v>32</v>
      </c>
      <c r="B90" s="8">
        <v>1425.5</v>
      </c>
      <c r="C90" s="8" t="s">
        <v>2386</v>
      </c>
      <c r="D90" s="8">
        <f>+I90</f>
        <v>32</v>
      </c>
      <c r="E90" s="8">
        <f>+J90</f>
        <v>1388.7</v>
      </c>
      <c r="F90" s="45" t="s">
        <v>2387</v>
      </c>
      <c r="G90" s="45">
        <v>58921</v>
      </c>
      <c r="H90" s="45"/>
      <c r="I90" s="8">
        <v>32</v>
      </c>
      <c r="J90" s="9">
        <v>1388.7</v>
      </c>
      <c r="K90" s="54">
        <f t="shared" ref="K90:K92" si="56">+A90-D90</f>
        <v>0</v>
      </c>
      <c r="L90" s="33">
        <f t="shared" ref="L90:L92" si="57">(+B90-E90)/B90</f>
        <v>2.5815503332164123E-2</v>
      </c>
      <c r="Q90" s="224"/>
    </row>
    <row r="91" spans="1:17" ht="15" thickBot="1" x14ac:dyDescent="0.35">
      <c r="A91" s="174">
        <v>60</v>
      </c>
      <c r="B91" s="12">
        <v>2867.5</v>
      </c>
      <c r="C91" s="12" t="s">
        <v>2388</v>
      </c>
      <c r="D91" s="12">
        <f>+I91</f>
        <v>60</v>
      </c>
      <c r="E91" s="12">
        <f>+J91</f>
        <v>2753.5</v>
      </c>
      <c r="F91" s="39" t="s">
        <v>2389</v>
      </c>
      <c r="G91" s="39">
        <v>58941</v>
      </c>
      <c r="H91" s="39"/>
      <c r="I91" s="12">
        <v>60</v>
      </c>
      <c r="J91" s="13">
        <v>2753.5</v>
      </c>
      <c r="K91" s="54">
        <f t="shared" si="56"/>
        <v>0</v>
      </c>
      <c r="L91" s="33">
        <f t="shared" si="57"/>
        <v>3.9755884917175237E-2</v>
      </c>
      <c r="Q91" s="224"/>
    </row>
    <row r="92" spans="1:17" x14ac:dyDescent="0.3">
      <c r="A92" s="871">
        <v>267</v>
      </c>
      <c r="B92" s="873">
        <v>13392.25</v>
      </c>
      <c r="C92" s="873" t="s">
        <v>2390</v>
      </c>
      <c r="D92" s="873">
        <f>+I92+I93</f>
        <v>267</v>
      </c>
      <c r="E92" s="873">
        <f>+J92+J93</f>
        <v>12957.7</v>
      </c>
      <c r="F92" s="39" t="s">
        <v>2391</v>
      </c>
      <c r="G92" s="39">
        <v>58951</v>
      </c>
      <c r="H92" s="39"/>
      <c r="I92" s="12">
        <v>153</v>
      </c>
      <c r="J92" s="13">
        <v>7399.9</v>
      </c>
      <c r="K92" s="877">
        <f t="shared" si="56"/>
        <v>0</v>
      </c>
      <c r="L92" s="879">
        <f t="shared" si="57"/>
        <v>3.2447870970150595E-2</v>
      </c>
      <c r="Q92" s="224"/>
    </row>
    <row r="93" spans="1:17" ht="15" thickBot="1" x14ac:dyDescent="0.35">
      <c r="A93" s="872"/>
      <c r="B93" s="874"/>
      <c r="C93" s="874"/>
      <c r="D93" s="874"/>
      <c r="E93" s="874"/>
      <c r="F93" s="42" t="s">
        <v>2391</v>
      </c>
      <c r="G93" s="42">
        <v>58951</v>
      </c>
      <c r="H93" s="42"/>
      <c r="I93" s="10">
        <v>114</v>
      </c>
      <c r="J93" s="11">
        <v>5557.8</v>
      </c>
      <c r="K93" s="878"/>
      <c r="L93" s="880"/>
      <c r="Q93" s="224"/>
    </row>
    <row r="94" spans="1:17" ht="15" thickBot="1" x14ac:dyDescent="0.35">
      <c r="A94" s="174">
        <v>285</v>
      </c>
      <c r="B94" s="12">
        <v>10786.25</v>
      </c>
      <c r="C94" s="12" t="s">
        <v>2392</v>
      </c>
      <c r="D94" s="12">
        <f>+I94</f>
        <v>285</v>
      </c>
      <c r="E94" s="12">
        <f>+J94</f>
        <v>10533.5</v>
      </c>
      <c r="F94" s="39" t="s">
        <v>2393</v>
      </c>
      <c r="G94" s="39">
        <v>59001</v>
      </c>
      <c r="H94" s="39"/>
      <c r="I94" s="12">
        <v>285</v>
      </c>
      <c r="J94" s="13">
        <v>10533.5</v>
      </c>
      <c r="K94" s="54">
        <f t="shared" ref="K94:K95" si="58">+A94-D94</f>
        <v>0</v>
      </c>
      <c r="L94" s="33">
        <f t="shared" ref="L94" si="59">(+B94-E94)/B94</f>
        <v>2.3432610963031637E-2</v>
      </c>
      <c r="Q94" s="224"/>
    </row>
    <row r="95" spans="1:17" x14ac:dyDescent="0.3">
      <c r="A95" s="871">
        <v>361</v>
      </c>
      <c r="B95" s="873">
        <v>12350.25</v>
      </c>
      <c r="C95" s="873" t="s">
        <v>2394</v>
      </c>
      <c r="D95" s="873">
        <f>+I95+I96</f>
        <v>363</v>
      </c>
      <c r="E95" s="873">
        <f>+J95+J96</f>
        <v>12162.9</v>
      </c>
      <c r="F95" s="39" t="s">
        <v>2395</v>
      </c>
      <c r="G95" s="39">
        <v>59011</v>
      </c>
      <c r="H95" s="39"/>
      <c r="I95" s="12">
        <v>261</v>
      </c>
      <c r="J95" s="13">
        <v>8733</v>
      </c>
      <c r="K95" s="877">
        <f t="shared" si="58"/>
        <v>-2</v>
      </c>
      <c r="L95" s="879">
        <f t="shared" ref="L95" si="60">((+B95/A95)-(E95/D95))/(B95/A95)</f>
        <v>2.0595795481103241E-2</v>
      </c>
      <c r="Q95" s="224"/>
    </row>
    <row r="96" spans="1:17" ht="15" thickBot="1" x14ac:dyDescent="0.35">
      <c r="A96" s="872"/>
      <c r="B96" s="874"/>
      <c r="C96" s="874"/>
      <c r="D96" s="874"/>
      <c r="E96" s="874"/>
      <c r="F96" s="42" t="s">
        <v>2395</v>
      </c>
      <c r="G96" s="42">
        <v>59011</v>
      </c>
      <c r="H96" s="42"/>
      <c r="I96" s="10">
        <v>102</v>
      </c>
      <c r="J96" s="11">
        <v>3429.9</v>
      </c>
      <c r="K96" s="878"/>
      <c r="L96" s="880"/>
      <c r="Q96" s="224"/>
    </row>
    <row r="97" spans="1:17" ht="15" thickBot="1" x14ac:dyDescent="0.35">
      <c r="A97" s="199">
        <v>64</v>
      </c>
      <c r="B97" s="10">
        <v>2961.25</v>
      </c>
      <c r="C97" s="10" t="s">
        <v>2396</v>
      </c>
      <c r="D97" s="10">
        <f t="shared" ref="D97:E99" si="61">+I97</f>
        <v>64</v>
      </c>
      <c r="E97" s="10">
        <f t="shared" si="61"/>
        <v>2906.4</v>
      </c>
      <c r="F97" s="42" t="s">
        <v>2397</v>
      </c>
      <c r="G97" s="42">
        <v>59081</v>
      </c>
      <c r="H97" s="42"/>
      <c r="I97" s="10">
        <v>64</v>
      </c>
      <c r="J97" s="11">
        <v>2906.4</v>
      </c>
      <c r="K97" s="54">
        <f t="shared" ref="K97:K100" si="62">+A97-D97</f>
        <v>0</v>
      </c>
      <c r="L97" s="33">
        <f t="shared" ref="L97:L99" si="63">(+B97-E97)/B97</f>
        <v>1.8522583368509888E-2</v>
      </c>
      <c r="Q97" s="224"/>
    </row>
    <row r="98" spans="1:17" ht="15" thickBot="1" x14ac:dyDescent="0.35">
      <c r="A98" s="175">
        <v>140</v>
      </c>
      <c r="B98" s="8">
        <v>4807.5</v>
      </c>
      <c r="C98" s="8" t="s">
        <v>2398</v>
      </c>
      <c r="D98" s="8">
        <f t="shared" si="61"/>
        <v>140</v>
      </c>
      <c r="E98" s="8">
        <f t="shared" si="61"/>
        <v>4694.1000000000004</v>
      </c>
      <c r="F98" s="45" t="s">
        <v>2399</v>
      </c>
      <c r="G98" s="45">
        <v>59091</v>
      </c>
      <c r="H98" s="45"/>
      <c r="I98" s="8">
        <v>140</v>
      </c>
      <c r="J98" s="9">
        <v>4694.1000000000004</v>
      </c>
      <c r="K98" s="54">
        <f t="shared" si="62"/>
        <v>0</v>
      </c>
      <c r="L98" s="33">
        <f t="shared" si="63"/>
        <v>2.3588143525740953E-2</v>
      </c>
      <c r="Q98" s="224"/>
    </row>
    <row r="99" spans="1:17" ht="15" thickBot="1" x14ac:dyDescent="0.35">
      <c r="A99" s="174">
        <v>32</v>
      </c>
      <c r="B99" s="12">
        <v>1565</v>
      </c>
      <c r="C99" s="12" t="s">
        <v>2400</v>
      </c>
      <c r="D99" s="12">
        <f t="shared" si="61"/>
        <v>32</v>
      </c>
      <c r="E99" s="12">
        <f t="shared" si="61"/>
        <v>1468.7</v>
      </c>
      <c r="F99" s="39" t="s">
        <v>2401</v>
      </c>
      <c r="G99" s="39">
        <v>59101</v>
      </c>
      <c r="H99" s="39"/>
      <c r="I99" s="12">
        <v>32</v>
      </c>
      <c r="J99" s="13">
        <v>1468.7</v>
      </c>
      <c r="K99" s="54">
        <f t="shared" si="62"/>
        <v>0</v>
      </c>
      <c r="L99" s="33">
        <f t="shared" si="63"/>
        <v>6.1533546325878569E-2</v>
      </c>
      <c r="Q99" s="224"/>
    </row>
    <row r="100" spans="1:17" x14ac:dyDescent="0.3">
      <c r="A100" s="871">
        <v>639</v>
      </c>
      <c r="B100" s="873">
        <v>30175</v>
      </c>
      <c r="C100" s="873" t="s">
        <v>2402</v>
      </c>
      <c r="D100" s="873">
        <f>+I100+I101+I102</f>
        <v>620</v>
      </c>
      <c r="E100" s="873">
        <f>+J100+J101+J102</f>
        <v>27733.300000000003</v>
      </c>
      <c r="F100" s="39" t="s">
        <v>2403</v>
      </c>
      <c r="G100" s="39">
        <v>59141</v>
      </c>
      <c r="H100" s="39"/>
      <c r="I100" s="12">
        <v>228</v>
      </c>
      <c r="J100" s="13">
        <v>10026.6</v>
      </c>
      <c r="K100" s="877">
        <f t="shared" si="62"/>
        <v>19</v>
      </c>
      <c r="L100" s="879">
        <f t="shared" ref="L100" si="64">((+B100/A100)-(E100/D100))/(B100/A100)</f>
        <v>5.2752561669829147E-2</v>
      </c>
      <c r="Q100" s="224"/>
    </row>
    <row r="101" spans="1:17" x14ac:dyDescent="0.3">
      <c r="A101" s="875"/>
      <c r="B101" s="881"/>
      <c r="C101" s="881"/>
      <c r="D101" s="881"/>
      <c r="E101" s="881"/>
      <c r="F101" s="50" t="s">
        <v>2403</v>
      </c>
      <c r="G101" s="50">
        <v>59141</v>
      </c>
      <c r="H101" s="50"/>
      <c r="I101" s="15">
        <v>280</v>
      </c>
      <c r="J101" s="16">
        <v>12696.000000000002</v>
      </c>
      <c r="K101" s="886"/>
      <c r="L101" s="885"/>
      <c r="Q101" s="224"/>
    </row>
    <row r="102" spans="1:17" ht="15" thickBot="1" x14ac:dyDescent="0.35">
      <c r="A102" s="872"/>
      <c r="B102" s="874"/>
      <c r="C102" s="874"/>
      <c r="D102" s="874"/>
      <c r="E102" s="874"/>
      <c r="F102" s="42" t="s">
        <v>2403</v>
      </c>
      <c r="G102" s="42">
        <v>59141</v>
      </c>
      <c r="H102" s="42"/>
      <c r="I102" s="10">
        <v>112</v>
      </c>
      <c r="J102" s="11">
        <v>5010.7</v>
      </c>
      <c r="K102" s="878"/>
      <c r="L102" s="880"/>
      <c r="Q102" s="224"/>
    </row>
    <row r="103" spans="1:17" ht="15" thickBot="1" x14ac:dyDescent="0.35">
      <c r="A103" s="175">
        <v>128</v>
      </c>
      <c r="B103" s="8">
        <v>4473.75</v>
      </c>
      <c r="C103" s="8" t="s">
        <v>2404</v>
      </c>
      <c r="D103" s="8">
        <f t="shared" ref="D103:E104" si="65">+I103</f>
        <v>128</v>
      </c>
      <c r="E103" s="8">
        <f t="shared" si="65"/>
        <v>4306.8</v>
      </c>
      <c r="F103" s="45" t="s">
        <v>2405</v>
      </c>
      <c r="G103" s="45">
        <v>59161</v>
      </c>
      <c r="H103" s="45"/>
      <c r="I103" s="8">
        <v>128</v>
      </c>
      <c r="J103" s="9">
        <v>4306.8</v>
      </c>
      <c r="K103" s="54">
        <f t="shared" ref="K103:K108" si="66">+A103-D103</f>
        <v>0</v>
      </c>
      <c r="L103" s="33">
        <f t="shared" ref="L103:L104" si="67">(+B103-E103)/B103</f>
        <v>3.7317686504610183E-2</v>
      </c>
      <c r="Q103" s="224"/>
    </row>
    <row r="104" spans="1:17" ht="15" thickBot="1" x14ac:dyDescent="0.35">
      <c r="A104" s="175">
        <v>79</v>
      </c>
      <c r="B104" s="8">
        <v>3832.75</v>
      </c>
      <c r="C104" s="8" t="s">
        <v>2406</v>
      </c>
      <c r="D104" s="8">
        <f t="shared" si="65"/>
        <v>79</v>
      </c>
      <c r="E104" s="8">
        <f t="shared" si="65"/>
        <v>3633.9</v>
      </c>
      <c r="F104" s="45" t="s">
        <v>2407</v>
      </c>
      <c r="G104" s="45">
        <v>59171</v>
      </c>
      <c r="H104" s="45"/>
      <c r="I104" s="8">
        <v>79</v>
      </c>
      <c r="J104" s="9">
        <v>3633.9</v>
      </c>
      <c r="K104" s="54">
        <f t="shared" si="66"/>
        <v>0</v>
      </c>
      <c r="L104" s="33">
        <f t="shared" si="67"/>
        <v>5.1881808101232774E-2</v>
      </c>
      <c r="Q104" s="224"/>
    </row>
    <row r="105" spans="1:17" ht="15" thickBot="1" x14ac:dyDescent="0.35">
      <c r="A105" s="175">
        <v>891</v>
      </c>
      <c r="B105" s="8">
        <v>43394.5</v>
      </c>
      <c r="C105" s="8" t="s">
        <v>2408</v>
      </c>
      <c r="D105" s="8">
        <v>901</v>
      </c>
      <c r="E105" s="8">
        <v>42337.7</v>
      </c>
      <c r="F105" s="45" t="s">
        <v>2409</v>
      </c>
      <c r="G105" s="45">
        <v>59181</v>
      </c>
      <c r="H105" s="45"/>
      <c r="I105" s="8">
        <v>421</v>
      </c>
      <c r="J105" s="9">
        <v>19311</v>
      </c>
      <c r="K105" s="54">
        <f t="shared" si="66"/>
        <v>-10</v>
      </c>
      <c r="L105" s="31">
        <f t="shared" ref="L105:L107" si="68">((+B105/A105)-(E105/D105))/(B105/A105)</f>
        <v>3.5181803716002227E-2</v>
      </c>
      <c r="Q105" s="224"/>
    </row>
    <row r="106" spans="1:17" ht="15" thickBot="1" x14ac:dyDescent="0.35">
      <c r="A106" s="199">
        <v>169</v>
      </c>
      <c r="B106" s="10">
        <v>5711.75</v>
      </c>
      <c r="C106" s="10" t="s">
        <v>2552</v>
      </c>
      <c r="D106" s="10">
        <f>+I106</f>
        <v>168</v>
      </c>
      <c r="E106" s="10">
        <f>+J106</f>
        <v>5631.75</v>
      </c>
      <c r="F106" s="42" t="s">
        <v>2553</v>
      </c>
      <c r="G106" s="42">
        <v>59211</v>
      </c>
      <c r="H106" s="42"/>
      <c r="I106" s="10">
        <v>168</v>
      </c>
      <c r="J106" s="11">
        <v>5631.75</v>
      </c>
      <c r="K106" s="54">
        <f t="shared" si="66"/>
        <v>1</v>
      </c>
      <c r="L106" s="31">
        <f t="shared" si="68"/>
        <v>8.1372046345565829E-3</v>
      </c>
      <c r="Q106" s="224"/>
    </row>
    <row r="107" spans="1:17" ht="15" thickBot="1" x14ac:dyDescent="0.35">
      <c r="A107" s="175">
        <v>243</v>
      </c>
      <c r="B107" s="8">
        <v>8240.5</v>
      </c>
      <c r="C107" s="8" t="s">
        <v>2554</v>
      </c>
      <c r="D107" s="8">
        <f>+I107+100</f>
        <v>244</v>
      </c>
      <c r="E107" s="8">
        <f>+J107+3319.4</f>
        <v>8124.65</v>
      </c>
      <c r="F107" s="45" t="s">
        <v>2555</v>
      </c>
      <c r="G107" s="45">
        <v>59261</v>
      </c>
      <c r="H107" s="45"/>
      <c r="I107" s="8">
        <v>144</v>
      </c>
      <c r="J107" s="9">
        <v>4805.25</v>
      </c>
      <c r="K107" s="54">
        <f t="shared" si="66"/>
        <v>-1</v>
      </c>
      <c r="L107" s="31">
        <f t="shared" si="68"/>
        <v>1.8099356337799868E-2</v>
      </c>
      <c r="Q107" s="224"/>
    </row>
    <row r="108" spans="1:17" x14ac:dyDescent="0.3">
      <c r="A108" s="875">
        <v>364</v>
      </c>
      <c r="B108" s="881">
        <v>16290</v>
      </c>
      <c r="C108" s="881" t="s">
        <v>2709</v>
      </c>
      <c r="D108" s="881">
        <f>+I108+I109+I110</f>
        <v>364</v>
      </c>
      <c r="E108" s="881">
        <f>+J108+J109+J110</f>
        <v>16963.400000000001</v>
      </c>
      <c r="F108" s="50" t="s">
        <v>2710</v>
      </c>
      <c r="G108" s="50">
        <v>59271</v>
      </c>
      <c r="H108" s="50"/>
      <c r="I108" s="15">
        <v>200</v>
      </c>
      <c r="J108" s="16">
        <v>9270.7000000000007</v>
      </c>
      <c r="K108" s="877">
        <f t="shared" si="66"/>
        <v>0</v>
      </c>
      <c r="L108" s="879">
        <f t="shared" ref="L108" si="69">(+B108-E108)/B108</f>
        <v>-4.1338244321669826E-2</v>
      </c>
      <c r="Q108" s="224"/>
    </row>
    <row r="109" spans="1:17" x14ac:dyDescent="0.3">
      <c r="A109" s="875"/>
      <c r="B109" s="881"/>
      <c r="C109" s="881"/>
      <c r="D109" s="881"/>
      <c r="E109" s="881"/>
      <c r="F109" s="50" t="s">
        <v>2710</v>
      </c>
      <c r="G109" s="50">
        <v>59271</v>
      </c>
      <c r="H109" s="50"/>
      <c r="I109" s="15">
        <v>100</v>
      </c>
      <c r="J109" s="16">
        <v>4727.7</v>
      </c>
      <c r="K109" s="886"/>
      <c r="L109" s="885"/>
      <c r="Q109" s="224"/>
    </row>
    <row r="110" spans="1:17" ht="15" thickBot="1" x14ac:dyDescent="0.35">
      <c r="A110" s="872"/>
      <c r="B110" s="874"/>
      <c r="C110" s="874"/>
      <c r="D110" s="874"/>
      <c r="E110" s="874"/>
      <c r="F110" s="42" t="s">
        <v>2710</v>
      </c>
      <c r="G110" s="42">
        <v>59271</v>
      </c>
      <c r="H110" s="42"/>
      <c r="I110" s="10">
        <f>90-26</f>
        <v>64</v>
      </c>
      <c r="J110" s="11">
        <v>2965</v>
      </c>
      <c r="K110" s="878"/>
      <c r="L110" s="880"/>
      <c r="Q110" s="224"/>
    </row>
    <row r="111" spans="1:17" x14ac:dyDescent="0.3">
      <c r="A111" s="871">
        <v>293</v>
      </c>
      <c r="B111" s="873">
        <v>15363.25</v>
      </c>
      <c r="C111" s="873" t="s">
        <v>2711</v>
      </c>
      <c r="D111" s="873">
        <f>+I111+I112</f>
        <v>293</v>
      </c>
      <c r="E111" s="873">
        <f>+J111+J112</f>
        <v>14642.2</v>
      </c>
      <c r="F111" s="39" t="s">
        <v>2712</v>
      </c>
      <c r="G111" s="39">
        <v>59281</v>
      </c>
      <c r="H111" s="39"/>
      <c r="I111" s="12">
        <v>110</v>
      </c>
      <c r="J111" s="13">
        <v>5541.2</v>
      </c>
      <c r="K111" s="877">
        <f t="shared" ref="K111" si="70">+A111-D111</f>
        <v>0</v>
      </c>
      <c r="L111" s="879">
        <f t="shared" ref="L111" si="71">(+B111-E111)/B111</f>
        <v>4.6933428799244906E-2</v>
      </c>
      <c r="Q111" s="224"/>
    </row>
    <row r="112" spans="1:17" ht="15" thickBot="1" x14ac:dyDescent="0.35">
      <c r="A112" s="872"/>
      <c r="B112" s="874"/>
      <c r="C112" s="874"/>
      <c r="D112" s="874"/>
      <c r="E112" s="874"/>
      <c r="F112" s="42" t="s">
        <v>2712</v>
      </c>
      <c r="G112" s="42">
        <v>59281</v>
      </c>
      <c r="H112" s="42"/>
      <c r="I112" s="10">
        <v>183</v>
      </c>
      <c r="J112" s="11">
        <v>9101</v>
      </c>
      <c r="K112" s="878"/>
      <c r="L112" s="880"/>
      <c r="Q112" s="224"/>
    </row>
    <row r="113" spans="1:17" ht="15" thickBot="1" x14ac:dyDescent="0.35">
      <c r="A113" s="175">
        <v>100</v>
      </c>
      <c r="B113" s="8">
        <v>3370.5</v>
      </c>
      <c r="C113" s="8" t="s">
        <v>2713</v>
      </c>
      <c r="D113" s="8">
        <f t="shared" ref="D113:E115" si="72">+I113</f>
        <v>100</v>
      </c>
      <c r="E113" s="8">
        <f t="shared" si="72"/>
        <v>3265.3999999999996</v>
      </c>
      <c r="F113" s="45" t="s">
        <v>2714</v>
      </c>
      <c r="G113" s="45">
        <v>59311</v>
      </c>
      <c r="H113" s="45"/>
      <c r="I113" s="8">
        <v>100</v>
      </c>
      <c r="J113" s="9">
        <v>3265.3999999999996</v>
      </c>
      <c r="K113" s="54">
        <f t="shared" ref="K113:K118" si="73">+A113-D113</f>
        <v>0</v>
      </c>
      <c r="L113" s="33">
        <f t="shared" ref="L113:L116" si="74">(+B113-E113)/B113</f>
        <v>3.1182317163625684E-2</v>
      </c>
      <c r="Q113" s="224"/>
    </row>
    <row r="114" spans="1:17" ht="15" thickBot="1" x14ac:dyDescent="0.35">
      <c r="A114" s="175">
        <v>80</v>
      </c>
      <c r="B114" s="8">
        <v>2686</v>
      </c>
      <c r="C114" s="8" t="s">
        <v>2715</v>
      </c>
      <c r="D114" s="8">
        <f t="shared" si="72"/>
        <v>80</v>
      </c>
      <c r="E114" s="8">
        <f t="shared" si="72"/>
        <v>2603.9</v>
      </c>
      <c r="F114" s="45" t="s">
        <v>2716</v>
      </c>
      <c r="G114" s="45">
        <v>59321</v>
      </c>
      <c r="H114" s="45"/>
      <c r="I114" s="8">
        <v>80</v>
      </c>
      <c r="J114" s="9">
        <v>2603.9</v>
      </c>
      <c r="K114" s="54">
        <f t="shared" si="73"/>
        <v>0</v>
      </c>
      <c r="L114" s="33">
        <f t="shared" si="74"/>
        <v>3.0565897244973904E-2</v>
      </c>
      <c r="Q114" s="224"/>
    </row>
    <row r="115" spans="1:17" ht="15" thickBot="1" x14ac:dyDescent="0.35">
      <c r="A115" s="175">
        <v>58</v>
      </c>
      <c r="B115" s="8">
        <v>2003</v>
      </c>
      <c r="C115" s="8" t="s">
        <v>2717</v>
      </c>
      <c r="D115" s="8">
        <f t="shared" si="72"/>
        <v>58</v>
      </c>
      <c r="E115" s="8">
        <f t="shared" si="72"/>
        <v>1956.2</v>
      </c>
      <c r="F115" s="45" t="s">
        <v>2718</v>
      </c>
      <c r="G115" s="45">
        <v>59331</v>
      </c>
      <c r="H115" s="45"/>
      <c r="I115" s="8">
        <v>58</v>
      </c>
      <c r="J115" s="9">
        <v>1956.2</v>
      </c>
      <c r="K115" s="54">
        <f t="shared" si="73"/>
        <v>0</v>
      </c>
      <c r="L115" s="33">
        <f t="shared" si="74"/>
        <v>2.3364952571143262E-2</v>
      </c>
      <c r="Q115" s="224"/>
    </row>
    <row r="116" spans="1:17" ht="15" thickBot="1" x14ac:dyDescent="0.35">
      <c r="A116" s="175">
        <v>127</v>
      </c>
      <c r="B116" s="8">
        <v>4348.25</v>
      </c>
      <c r="C116" s="8" t="s">
        <v>2846</v>
      </c>
      <c r="D116" s="8">
        <f>+I116</f>
        <v>127</v>
      </c>
      <c r="E116" s="8">
        <f>+J116</f>
        <v>4280.1000000000004</v>
      </c>
      <c r="F116" s="45" t="s">
        <v>2847</v>
      </c>
      <c r="G116" s="45">
        <v>59341</v>
      </c>
      <c r="H116" s="45"/>
      <c r="I116" s="8">
        <v>127</v>
      </c>
      <c r="J116" s="9">
        <v>4280.1000000000004</v>
      </c>
      <c r="K116" s="54">
        <f t="shared" si="73"/>
        <v>0</v>
      </c>
      <c r="L116" s="33">
        <f t="shared" si="74"/>
        <v>1.5672971885241107E-2</v>
      </c>
      <c r="Q116" s="224"/>
    </row>
    <row r="117" spans="1:17" ht="15" thickBot="1" x14ac:dyDescent="0.35">
      <c r="A117" s="199">
        <v>250</v>
      </c>
      <c r="B117" s="10">
        <v>11964.5</v>
      </c>
      <c r="C117" s="10" t="s">
        <v>2848</v>
      </c>
      <c r="D117" s="8">
        <v>257</v>
      </c>
      <c r="E117" s="8">
        <v>12142.7</v>
      </c>
      <c r="F117" s="42" t="s">
        <v>2847</v>
      </c>
      <c r="G117" s="42">
        <v>59351</v>
      </c>
      <c r="H117" s="42"/>
      <c r="I117" s="10">
        <v>125</v>
      </c>
      <c r="J117" s="11">
        <v>5981.7</v>
      </c>
      <c r="K117" s="54">
        <f t="shared" si="73"/>
        <v>-7</v>
      </c>
      <c r="L117" s="31">
        <f t="shared" ref="L117:L118" si="75">((+B117/A117)-(E117/D117))/(B117/A117)</f>
        <v>1.2748967316248231E-2</v>
      </c>
      <c r="Q117" s="224"/>
    </row>
    <row r="118" spans="1:17" x14ac:dyDescent="0.3">
      <c r="A118" s="871">
        <v>250</v>
      </c>
      <c r="B118" s="873">
        <v>11964.5</v>
      </c>
      <c r="C118" s="873" t="s">
        <v>2848</v>
      </c>
      <c r="D118" s="873">
        <f>+I118+I119</f>
        <v>257</v>
      </c>
      <c r="E118" s="873">
        <f>+J118+J119</f>
        <v>12142.7</v>
      </c>
      <c r="F118" s="39" t="s">
        <v>3134</v>
      </c>
      <c r="G118" s="39">
        <v>59351</v>
      </c>
      <c r="H118" s="39"/>
      <c r="I118" s="12">
        <v>125</v>
      </c>
      <c r="J118" s="13">
        <v>5981.7</v>
      </c>
      <c r="K118" s="877">
        <f t="shared" si="73"/>
        <v>-7</v>
      </c>
      <c r="L118" s="879">
        <f t="shared" si="75"/>
        <v>1.2748967316248231E-2</v>
      </c>
      <c r="Q118" s="224"/>
    </row>
    <row r="119" spans="1:17" ht="15" thickBot="1" x14ac:dyDescent="0.35">
      <c r="A119" s="872"/>
      <c r="B119" s="874"/>
      <c r="C119" s="874"/>
      <c r="D119" s="874"/>
      <c r="E119" s="874"/>
      <c r="F119" s="42" t="s">
        <v>3134</v>
      </c>
      <c r="G119" s="42">
        <v>59351</v>
      </c>
      <c r="H119" s="42"/>
      <c r="I119" s="10">
        <v>132</v>
      </c>
      <c r="J119" s="11">
        <v>6161</v>
      </c>
      <c r="K119" s="878"/>
      <c r="L119" s="880"/>
      <c r="Q119" s="224"/>
    </row>
    <row r="120" spans="1:17" x14ac:dyDescent="0.3">
      <c r="A120" s="871">
        <v>289</v>
      </c>
      <c r="B120" s="873">
        <v>9790.5</v>
      </c>
      <c r="C120" s="873" t="s">
        <v>3135</v>
      </c>
      <c r="D120" s="873">
        <f>+I120+I121</f>
        <v>289</v>
      </c>
      <c r="E120" s="873">
        <f>+J120+J121</f>
        <v>9612.2999999999993</v>
      </c>
      <c r="F120" s="39" t="s">
        <v>1219</v>
      </c>
      <c r="G120" s="39">
        <v>58371</v>
      </c>
      <c r="H120" s="39"/>
      <c r="I120" s="12">
        <v>200</v>
      </c>
      <c r="J120" s="13">
        <v>6662.8</v>
      </c>
      <c r="K120" s="877">
        <f t="shared" ref="K120" si="76">+A120-D120</f>
        <v>0</v>
      </c>
      <c r="L120" s="879">
        <f t="shared" ref="L120" si="77">((+B120/A120)-(E120/D120))/(B120/A120)</f>
        <v>1.8201317603799703E-2</v>
      </c>
      <c r="Q120" s="224"/>
    </row>
    <row r="121" spans="1:17" ht="15" thickBot="1" x14ac:dyDescent="0.35">
      <c r="A121" s="872"/>
      <c r="B121" s="874"/>
      <c r="C121" s="874"/>
      <c r="D121" s="874"/>
      <c r="E121" s="874"/>
      <c r="F121" s="42" t="s">
        <v>1219</v>
      </c>
      <c r="G121" s="42">
        <v>58371</v>
      </c>
      <c r="H121" s="42"/>
      <c r="I121" s="10">
        <v>89</v>
      </c>
      <c r="J121" s="11">
        <v>2949.5</v>
      </c>
      <c r="K121" s="878"/>
      <c r="L121" s="880"/>
      <c r="Q121" s="224"/>
    </row>
    <row r="122" spans="1:17" x14ac:dyDescent="0.3">
      <c r="A122" s="871">
        <v>725</v>
      </c>
      <c r="B122" s="873">
        <v>35040.25</v>
      </c>
      <c r="C122" s="873" t="s">
        <v>3136</v>
      </c>
      <c r="D122" s="873">
        <v>725</v>
      </c>
      <c r="E122" s="873">
        <v>34394.800000000003</v>
      </c>
      <c r="F122" s="39" t="s">
        <v>1213</v>
      </c>
      <c r="G122" s="39">
        <v>58381</v>
      </c>
      <c r="H122" s="39"/>
      <c r="I122" s="12">
        <v>200</v>
      </c>
      <c r="J122" s="13">
        <v>9511.7999999999993</v>
      </c>
      <c r="K122" s="877">
        <f t="shared" ref="K122" si="78">+A122-D122</f>
        <v>0</v>
      </c>
      <c r="L122" s="879">
        <f t="shared" ref="L122" si="79">((+B122/A122)-(E122/D122))/(B122/A122)</f>
        <v>1.842024528934573E-2</v>
      </c>
      <c r="Q122" s="224"/>
    </row>
    <row r="123" spans="1:17" ht="15" thickBot="1" x14ac:dyDescent="0.35">
      <c r="A123" s="872"/>
      <c r="B123" s="874"/>
      <c r="C123" s="874"/>
      <c r="D123" s="874"/>
      <c r="E123" s="874"/>
      <c r="F123" s="42" t="s">
        <v>1213</v>
      </c>
      <c r="G123" s="42">
        <v>58381</v>
      </c>
      <c r="H123" s="42"/>
      <c r="I123" s="10">
        <v>400</v>
      </c>
      <c r="J123" s="11">
        <v>19215.599999999999</v>
      </c>
      <c r="K123" s="878"/>
      <c r="L123" s="880"/>
      <c r="Q123" s="224"/>
    </row>
    <row r="124" spans="1:17" x14ac:dyDescent="0.3">
      <c r="A124" s="871">
        <v>300</v>
      </c>
      <c r="B124" s="873">
        <v>13758.5</v>
      </c>
      <c r="C124" s="873" t="s">
        <v>3266</v>
      </c>
      <c r="D124" s="873">
        <f>+I124+I125</f>
        <v>300</v>
      </c>
      <c r="E124" s="873">
        <f>+J124+J125</f>
        <v>13595.3</v>
      </c>
      <c r="F124" s="39" t="s">
        <v>3267</v>
      </c>
      <c r="G124" s="39">
        <v>59461</v>
      </c>
      <c r="H124" s="39"/>
      <c r="I124" s="12">
        <v>200</v>
      </c>
      <c r="J124" s="13">
        <v>9135.4</v>
      </c>
      <c r="K124" s="877">
        <f t="shared" ref="K124" si="80">+A124-D124</f>
        <v>0</v>
      </c>
      <c r="L124" s="879">
        <f t="shared" ref="L124" si="81">((+B124/A124)-(E124/D124))/(B124/A124)</f>
        <v>1.1861758185848682E-2</v>
      </c>
      <c r="Q124" s="224"/>
    </row>
    <row r="125" spans="1:17" ht="15" thickBot="1" x14ac:dyDescent="0.35">
      <c r="A125" s="872"/>
      <c r="B125" s="874"/>
      <c r="C125" s="874"/>
      <c r="D125" s="874"/>
      <c r="E125" s="874"/>
      <c r="F125" s="42" t="s">
        <v>3267</v>
      </c>
      <c r="G125" s="42">
        <v>59461</v>
      </c>
      <c r="H125" s="42"/>
      <c r="I125" s="10">
        <v>100</v>
      </c>
      <c r="J125" s="11">
        <v>4459.8999999999996</v>
      </c>
      <c r="K125" s="878"/>
      <c r="L125" s="880"/>
      <c r="Q125" s="224"/>
    </row>
    <row r="126" spans="1:17" ht="15" thickBot="1" x14ac:dyDescent="0.35">
      <c r="A126" s="175">
        <v>107</v>
      </c>
      <c r="B126" s="8">
        <v>4945.5</v>
      </c>
      <c r="C126" s="8" t="s">
        <v>3268</v>
      </c>
      <c r="D126" s="8">
        <f>+I126</f>
        <v>108</v>
      </c>
      <c r="E126" s="8">
        <f>+J126</f>
        <v>5004.3</v>
      </c>
      <c r="F126" s="45" t="s">
        <v>3269</v>
      </c>
      <c r="G126" s="45">
        <v>59521</v>
      </c>
      <c r="H126" s="45"/>
      <c r="I126" s="8">
        <v>108</v>
      </c>
      <c r="J126" s="9">
        <v>5004.3</v>
      </c>
      <c r="K126" s="54">
        <f t="shared" ref="K126:K130" si="82">+A126-D126</f>
        <v>-1</v>
      </c>
      <c r="L126" s="31">
        <f t="shared" ref="L126:L129" si="83">((+B126/A126)-(E126/D126))/(B126/A126)</f>
        <v>-2.5202484862782474E-3</v>
      </c>
      <c r="Q126" s="224"/>
    </row>
    <row r="127" spans="1:17" ht="15" thickBot="1" x14ac:dyDescent="0.35">
      <c r="A127" s="175">
        <v>574</v>
      </c>
      <c r="B127" s="8">
        <v>28813.25</v>
      </c>
      <c r="C127" s="8" t="s">
        <v>3270</v>
      </c>
      <c r="D127" s="8">
        <f>+I127</f>
        <v>574</v>
      </c>
      <c r="E127" s="8">
        <f>+J127</f>
        <v>27603.3</v>
      </c>
      <c r="F127" s="45" t="s">
        <v>3271</v>
      </c>
      <c r="G127" s="45">
        <v>59561</v>
      </c>
      <c r="H127" s="45"/>
      <c r="I127" s="8">
        <v>574</v>
      </c>
      <c r="J127" s="9">
        <v>27603.3</v>
      </c>
      <c r="K127" s="54">
        <f t="shared" si="82"/>
        <v>0</v>
      </c>
      <c r="L127" s="31">
        <f t="shared" si="83"/>
        <v>4.1992833158355988E-2</v>
      </c>
      <c r="Q127" s="224"/>
    </row>
    <row r="128" spans="1:17" ht="15" thickBot="1" x14ac:dyDescent="0.35">
      <c r="A128" s="175">
        <v>361</v>
      </c>
      <c r="B128" s="8">
        <v>16302.5</v>
      </c>
      <c r="C128" s="8" t="s">
        <v>3368</v>
      </c>
      <c r="D128" s="8">
        <f t="shared" ref="D128:E129" si="84">+I128</f>
        <v>361</v>
      </c>
      <c r="E128" s="8">
        <f t="shared" si="84"/>
        <v>15728.9</v>
      </c>
      <c r="F128" s="45" t="s">
        <v>3369</v>
      </c>
      <c r="G128" s="45">
        <v>59571</v>
      </c>
      <c r="H128" s="45"/>
      <c r="I128" s="8">
        <v>361</v>
      </c>
      <c r="J128" s="9">
        <v>15728.9</v>
      </c>
      <c r="K128" s="54">
        <f t="shared" si="82"/>
        <v>0</v>
      </c>
      <c r="L128" s="31">
        <f t="shared" si="83"/>
        <v>3.5184787609262511E-2</v>
      </c>
      <c r="Q128" s="224"/>
    </row>
    <row r="129" spans="1:17" ht="15" thickBot="1" x14ac:dyDescent="0.35">
      <c r="A129" s="174">
        <v>178</v>
      </c>
      <c r="B129" s="12">
        <v>8894.25</v>
      </c>
      <c r="C129" s="12" t="s">
        <v>3370</v>
      </c>
      <c r="D129" s="12">
        <f t="shared" si="84"/>
        <v>178</v>
      </c>
      <c r="E129" s="12">
        <f t="shared" si="84"/>
        <v>8529.1</v>
      </c>
      <c r="F129" s="39" t="s">
        <v>2551</v>
      </c>
      <c r="G129" s="39">
        <v>59601</v>
      </c>
      <c r="H129" s="39"/>
      <c r="I129" s="12">
        <v>178</v>
      </c>
      <c r="J129" s="13">
        <v>8529.1</v>
      </c>
      <c r="K129" s="54">
        <f t="shared" si="82"/>
        <v>0</v>
      </c>
      <c r="L129" s="31">
        <f t="shared" si="83"/>
        <v>4.1054613935969805E-2</v>
      </c>
      <c r="Q129" s="224"/>
    </row>
    <row r="130" spans="1:17" x14ac:dyDescent="0.3">
      <c r="A130" s="871">
        <v>300</v>
      </c>
      <c r="B130" s="873">
        <v>11436.25</v>
      </c>
      <c r="C130" s="873" t="s">
        <v>3371</v>
      </c>
      <c r="D130" s="873">
        <f>+I130+I131</f>
        <v>302</v>
      </c>
      <c r="E130" s="873">
        <f>+J130+J131</f>
        <v>11105.3</v>
      </c>
      <c r="F130" s="39" t="s">
        <v>3372</v>
      </c>
      <c r="G130" s="39">
        <v>59621</v>
      </c>
      <c r="H130" s="39"/>
      <c r="I130" s="12">
        <v>222</v>
      </c>
      <c r="J130" s="13">
        <v>8214.6</v>
      </c>
      <c r="K130" s="877">
        <f t="shared" si="82"/>
        <v>-2</v>
      </c>
      <c r="L130" s="879">
        <f t="shared" ref="L130" si="85">((+B130/A130)-(E130/D130))/(B130/A130)</f>
        <v>3.5369551479950447E-2</v>
      </c>
      <c r="Q130" s="224"/>
    </row>
    <row r="131" spans="1:17" ht="15" thickBot="1" x14ac:dyDescent="0.35">
      <c r="A131" s="872"/>
      <c r="B131" s="874"/>
      <c r="C131" s="874"/>
      <c r="D131" s="874"/>
      <c r="E131" s="874"/>
      <c r="F131" s="42" t="s">
        <v>3372</v>
      </c>
      <c r="G131" s="42">
        <v>59621</v>
      </c>
      <c r="H131" s="42"/>
      <c r="I131" s="10">
        <v>80</v>
      </c>
      <c r="J131" s="11">
        <v>2890.7</v>
      </c>
      <c r="K131" s="878"/>
      <c r="L131" s="880"/>
      <c r="Q131" s="224"/>
    </row>
    <row r="132" spans="1:17" ht="15" thickBot="1" x14ac:dyDescent="0.35">
      <c r="A132" s="175">
        <v>115</v>
      </c>
      <c r="B132" s="8">
        <v>3851</v>
      </c>
      <c r="C132" s="8" t="s">
        <v>3373</v>
      </c>
      <c r="D132" s="8">
        <f>+I132</f>
        <v>115</v>
      </c>
      <c r="E132" s="8">
        <f>+J132</f>
        <v>3857.4</v>
      </c>
      <c r="F132" s="45" t="s">
        <v>3374</v>
      </c>
      <c r="G132" s="45">
        <v>59641</v>
      </c>
      <c r="H132" s="45"/>
      <c r="I132" s="8">
        <v>115</v>
      </c>
      <c r="J132" s="9">
        <v>3857.4</v>
      </c>
      <c r="K132" s="54">
        <f t="shared" ref="K132:K134" si="86">+A132-D132</f>
        <v>0</v>
      </c>
      <c r="L132" s="31">
        <f t="shared" ref="L132:L133" si="87">((+B132/A132)-(E132/D132))/(B132/A132)</f>
        <v>-1.6619059984420384E-3</v>
      </c>
      <c r="Q132" s="224"/>
    </row>
    <row r="133" spans="1:17" ht="15" thickBot="1" x14ac:dyDescent="0.35">
      <c r="A133" s="175">
        <v>140</v>
      </c>
      <c r="B133" s="8">
        <v>4766.75</v>
      </c>
      <c r="C133" s="8" t="s">
        <v>3375</v>
      </c>
      <c r="D133" s="8">
        <f>+I133</f>
        <v>140</v>
      </c>
      <c r="E133" s="8">
        <f>+J133</f>
        <v>4639.2</v>
      </c>
      <c r="F133" s="45" t="s">
        <v>3376</v>
      </c>
      <c r="G133" s="45">
        <v>59651</v>
      </c>
      <c r="H133" s="45"/>
      <c r="I133" s="8">
        <v>140</v>
      </c>
      <c r="J133" s="9">
        <v>4639.2</v>
      </c>
      <c r="K133" s="54">
        <f t="shared" si="86"/>
        <v>0</v>
      </c>
      <c r="L133" s="31">
        <f t="shared" si="87"/>
        <v>2.6758273456757856E-2</v>
      </c>
      <c r="Q133" s="224"/>
    </row>
    <row r="134" spans="1:17" x14ac:dyDescent="0.3">
      <c r="A134" s="902">
        <v>328</v>
      </c>
      <c r="B134" s="905">
        <v>16393.5</v>
      </c>
      <c r="C134" s="905" t="s">
        <v>3503</v>
      </c>
      <c r="D134" s="873">
        <f>+I134+I136+I135</f>
        <v>328</v>
      </c>
      <c r="E134" s="873">
        <f>+J134+J136+J135</f>
        <v>15448.600000000002</v>
      </c>
      <c r="F134" s="39" t="s">
        <v>3504</v>
      </c>
      <c r="G134" s="39">
        <v>59681</v>
      </c>
      <c r="H134" s="39"/>
      <c r="I134" s="12">
        <v>83</v>
      </c>
      <c r="J134" s="13">
        <v>3907.3</v>
      </c>
      <c r="K134" s="877">
        <f t="shared" si="86"/>
        <v>0</v>
      </c>
      <c r="L134" s="879">
        <f t="shared" ref="L134" si="88">(+B134-E134)/B134</f>
        <v>5.7638698264555942E-2</v>
      </c>
      <c r="Q134" s="224"/>
    </row>
    <row r="135" spans="1:17" x14ac:dyDescent="0.3">
      <c r="A135" s="903"/>
      <c r="B135" s="906"/>
      <c r="C135" s="906"/>
      <c r="D135" s="881"/>
      <c r="E135" s="881"/>
      <c r="F135" s="50" t="s">
        <v>3504</v>
      </c>
      <c r="G135" s="50">
        <v>59681</v>
      </c>
      <c r="H135" s="50"/>
      <c r="I135" s="15">
        <v>35</v>
      </c>
      <c r="J135" s="16">
        <v>1649.2</v>
      </c>
      <c r="K135" s="886"/>
      <c r="L135" s="885"/>
      <c r="Q135" s="224"/>
    </row>
    <row r="136" spans="1:17" ht="15" thickBot="1" x14ac:dyDescent="0.35">
      <c r="A136" s="904"/>
      <c r="B136" s="907"/>
      <c r="C136" s="907"/>
      <c r="D136" s="874"/>
      <c r="E136" s="874"/>
      <c r="F136" s="42" t="s">
        <v>3504</v>
      </c>
      <c r="G136" s="42">
        <v>59681</v>
      </c>
      <c r="H136" s="42"/>
      <c r="I136" s="10">
        <v>210</v>
      </c>
      <c r="J136" s="11">
        <v>9892.1</v>
      </c>
      <c r="K136" s="878"/>
      <c r="L136" s="880"/>
      <c r="Q136" s="224"/>
    </row>
    <row r="137" spans="1:17" x14ac:dyDescent="0.3">
      <c r="A137" s="903">
        <v>941</v>
      </c>
      <c r="B137" s="906">
        <v>44724.75</v>
      </c>
      <c r="C137" s="906" t="s">
        <v>3505</v>
      </c>
      <c r="D137" s="881">
        <f>+I137+I138</f>
        <v>947</v>
      </c>
      <c r="E137" s="881">
        <f>+J137+J138</f>
        <v>42653.1</v>
      </c>
      <c r="F137" s="50" t="s">
        <v>3506</v>
      </c>
      <c r="G137" s="50">
        <v>59691</v>
      </c>
      <c r="H137" s="50"/>
      <c r="I137" s="15">
        <v>630</v>
      </c>
      <c r="J137" s="16">
        <v>28899.5</v>
      </c>
      <c r="K137" s="877">
        <f t="shared" ref="K137" si="89">+A137-D137</f>
        <v>-6</v>
      </c>
      <c r="L137" s="879">
        <f t="shared" ref="L137" si="90">((+B137/A137)-(E137/D137))/(B137/A137)</f>
        <v>5.2362313794384399E-2</v>
      </c>
      <c r="Q137" s="224"/>
    </row>
    <row r="138" spans="1:17" ht="15" thickBot="1" x14ac:dyDescent="0.35">
      <c r="A138" s="1068"/>
      <c r="B138" s="1069"/>
      <c r="C138" s="1069"/>
      <c r="D138" s="1070"/>
      <c r="E138" s="1070"/>
      <c r="F138" s="42" t="s">
        <v>3506</v>
      </c>
      <c r="G138" s="42">
        <v>59691</v>
      </c>
      <c r="H138" s="42"/>
      <c r="I138" s="10">
        <v>317</v>
      </c>
      <c r="J138" s="11">
        <v>13753.599999999999</v>
      </c>
      <c r="K138" s="878"/>
      <c r="L138" s="880"/>
      <c r="Q138" s="224"/>
    </row>
    <row r="139" spans="1:17" x14ac:dyDescent="0.3">
      <c r="A139" s="871">
        <v>125</v>
      </c>
      <c r="B139" s="873">
        <v>4219.25</v>
      </c>
      <c r="C139" s="873" t="s">
        <v>3627</v>
      </c>
      <c r="D139" s="873">
        <f>+I139+I140</f>
        <v>125</v>
      </c>
      <c r="E139" s="873">
        <f>+J139+J140</f>
        <v>4125.8999999999996</v>
      </c>
      <c r="F139" s="39" t="s">
        <v>3628</v>
      </c>
      <c r="G139" s="39">
        <v>59721</v>
      </c>
      <c r="H139" s="39"/>
      <c r="I139" s="12">
        <v>50</v>
      </c>
      <c r="J139" s="13">
        <v>1643.1</v>
      </c>
      <c r="K139" s="877">
        <f t="shared" ref="K139" si="91">+A139-D139</f>
        <v>0</v>
      </c>
      <c r="L139" s="879">
        <f t="shared" ref="L139" si="92">((+B139/A139)-(E139/D139))/(B139/A139)</f>
        <v>2.2124785210641713E-2</v>
      </c>
      <c r="Q139" s="224"/>
    </row>
    <row r="140" spans="1:17" ht="15" thickBot="1" x14ac:dyDescent="0.35">
      <c r="A140" s="872"/>
      <c r="B140" s="874"/>
      <c r="C140" s="874"/>
      <c r="D140" s="874"/>
      <c r="E140" s="874"/>
      <c r="F140" s="42" t="s">
        <v>3628</v>
      </c>
      <c r="G140" s="42">
        <v>59721</v>
      </c>
      <c r="H140" s="42"/>
      <c r="I140" s="102">
        <v>75</v>
      </c>
      <c r="J140" s="103">
        <v>2482.8000000000002</v>
      </c>
      <c r="K140" s="878"/>
      <c r="L140" s="880"/>
      <c r="Q140" s="224"/>
    </row>
    <row r="141" spans="1:17" ht="15" thickBot="1" x14ac:dyDescent="0.35">
      <c r="A141" s="179">
        <v>350</v>
      </c>
      <c r="B141" s="42">
        <v>16247.5</v>
      </c>
      <c r="C141" s="42" t="s">
        <v>3629</v>
      </c>
      <c r="D141" s="42">
        <f>+I141</f>
        <v>350</v>
      </c>
      <c r="E141" s="42">
        <f>+J141</f>
        <v>15613</v>
      </c>
      <c r="F141" s="42" t="s">
        <v>3630</v>
      </c>
      <c r="G141" s="42">
        <v>59741</v>
      </c>
      <c r="H141" s="42"/>
      <c r="I141" s="10">
        <v>350</v>
      </c>
      <c r="J141" s="11">
        <v>15613</v>
      </c>
      <c r="K141" s="54">
        <f t="shared" ref="K141:K142" si="93">+A141-D141</f>
        <v>0</v>
      </c>
      <c r="L141" s="31">
        <f t="shared" ref="L141:L142" si="94">((+B141/A141)-(E141/D141))/(B141/A141)</f>
        <v>3.9052161871057034E-2</v>
      </c>
      <c r="Q141" s="224"/>
    </row>
    <row r="142" spans="1:17" ht="15" thickBot="1" x14ac:dyDescent="0.35">
      <c r="A142" s="178">
        <v>180</v>
      </c>
      <c r="B142" s="45">
        <v>7388.75</v>
      </c>
      <c r="C142" s="45" t="s">
        <v>3631</v>
      </c>
      <c r="D142" s="45">
        <f>+I142</f>
        <v>180</v>
      </c>
      <c r="E142" s="45">
        <f>+J142</f>
        <v>7535.4</v>
      </c>
      <c r="F142" s="45" t="s">
        <v>3632</v>
      </c>
      <c r="G142" s="45">
        <v>59751</v>
      </c>
      <c r="H142" s="45"/>
      <c r="I142" s="8">
        <v>180</v>
      </c>
      <c r="J142" s="9">
        <v>7535.4</v>
      </c>
      <c r="K142" s="54">
        <f t="shared" si="93"/>
        <v>0</v>
      </c>
      <c r="L142" s="31">
        <f t="shared" si="94"/>
        <v>-1.9847741498900191E-2</v>
      </c>
      <c r="Q142" s="224"/>
    </row>
    <row r="143" spans="1:17" x14ac:dyDescent="0.3">
      <c r="A143" s="871">
        <v>163</v>
      </c>
      <c r="B143" s="873">
        <v>8041</v>
      </c>
      <c r="C143" s="873" t="s">
        <v>3633</v>
      </c>
      <c r="D143" s="873">
        <f>+I143+I144</f>
        <v>189</v>
      </c>
      <c r="E143" s="873">
        <f>+J143+J144</f>
        <v>8274.2999999999993</v>
      </c>
      <c r="F143" s="12" t="s">
        <v>3634</v>
      </c>
      <c r="G143" s="12">
        <v>59801</v>
      </c>
      <c r="H143" s="12"/>
      <c r="I143" s="12">
        <v>125</v>
      </c>
      <c r="J143" s="13">
        <v>5409.3</v>
      </c>
      <c r="K143" s="877">
        <f t="shared" ref="K143" si="95">+A143-D143</f>
        <v>-26</v>
      </c>
      <c r="L143" s="879">
        <f t="shared" ref="L143" si="96">((+B143/A143)-(E143/D143))/(B143/A143)</f>
        <v>0.11254365030014832</v>
      </c>
      <c r="Q143" s="224"/>
    </row>
    <row r="144" spans="1:17" ht="15" thickBot="1" x14ac:dyDescent="0.35">
      <c r="A144" s="872"/>
      <c r="B144" s="874"/>
      <c r="C144" s="874"/>
      <c r="D144" s="874"/>
      <c r="E144" s="874"/>
      <c r="F144" s="10" t="s">
        <v>3634</v>
      </c>
      <c r="G144" s="10">
        <v>59801</v>
      </c>
      <c r="H144" s="10"/>
      <c r="I144" s="10">
        <v>64</v>
      </c>
      <c r="J144" s="11">
        <v>2865</v>
      </c>
      <c r="K144" s="878"/>
      <c r="L144" s="880"/>
      <c r="Q144" s="224"/>
    </row>
    <row r="145" spans="1:17" ht="15" thickBot="1" x14ac:dyDescent="0.35">
      <c r="A145" s="179">
        <v>99</v>
      </c>
      <c r="B145" s="42">
        <v>4490.75</v>
      </c>
      <c r="C145" s="42" t="s">
        <v>3635</v>
      </c>
      <c r="D145" s="42">
        <f t="shared" ref="D145:E147" si="97">+I145</f>
        <v>99</v>
      </c>
      <c r="E145" s="42">
        <f t="shared" si="97"/>
        <v>4426.3</v>
      </c>
      <c r="F145" s="42" t="s">
        <v>3636</v>
      </c>
      <c r="G145" s="42">
        <v>59811</v>
      </c>
      <c r="H145" s="42"/>
      <c r="I145" s="10">
        <v>99</v>
      </c>
      <c r="J145" s="11">
        <v>4426.3</v>
      </c>
      <c r="K145" s="54">
        <f t="shared" ref="K145:K148" si="98">+A145-D145</f>
        <v>0</v>
      </c>
      <c r="L145" s="31">
        <f t="shared" ref="L145:L148" si="99">((+B145/A145)-(E145/D145))/(B145/A145)</f>
        <v>1.4351722986138172E-2</v>
      </c>
      <c r="Q145" s="224"/>
    </row>
    <row r="146" spans="1:17" ht="15" thickBot="1" x14ac:dyDescent="0.35">
      <c r="A146" s="178">
        <v>102</v>
      </c>
      <c r="B146" s="45">
        <v>4522.5</v>
      </c>
      <c r="C146" s="45" t="s">
        <v>3637</v>
      </c>
      <c r="D146" s="45">
        <f t="shared" si="97"/>
        <v>102</v>
      </c>
      <c r="E146" s="45">
        <f t="shared" si="97"/>
        <v>4468.7999999999993</v>
      </c>
      <c r="F146" s="45" t="s">
        <v>3638</v>
      </c>
      <c r="G146" s="45">
        <v>59821</v>
      </c>
      <c r="H146" s="45"/>
      <c r="I146" s="8">
        <v>102</v>
      </c>
      <c r="J146" s="9">
        <v>4468.7999999999993</v>
      </c>
      <c r="K146" s="54">
        <f t="shared" si="98"/>
        <v>0</v>
      </c>
      <c r="L146" s="31">
        <f t="shared" si="99"/>
        <v>1.1873963515754659E-2</v>
      </c>
      <c r="Q146" s="224"/>
    </row>
    <row r="147" spans="1:17" ht="15" thickBot="1" x14ac:dyDescent="0.35">
      <c r="A147" s="178">
        <v>277</v>
      </c>
      <c r="B147" s="45">
        <v>12569</v>
      </c>
      <c r="C147" s="45" t="s">
        <v>3639</v>
      </c>
      <c r="D147" s="45">
        <f t="shared" si="97"/>
        <v>277</v>
      </c>
      <c r="E147" s="45">
        <f t="shared" si="97"/>
        <v>12133.6</v>
      </c>
      <c r="F147" s="45" t="s">
        <v>3821</v>
      </c>
      <c r="G147" s="45">
        <v>59831</v>
      </c>
      <c r="H147" s="45"/>
      <c r="I147" s="8">
        <v>277</v>
      </c>
      <c r="J147" s="9">
        <v>12133.6</v>
      </c>
      <c r="K147" s="54">
        <f t="shared" si="98"/>
        <v>0</v>
      </c>
      <c r="L147" s="31">
        <f t="shared" si="99"/>
        <v>3.4640782878510488E-2</v>
      </c>
      <c r="Q147" s="224"/>
    </row>
    <row r="148" spans="1:17" ht="15" thickBot="1" x14ac:dyDescent="0.35">
      <c r="A148" s="179">
        <v>621</v>
      </c>
      <c r="B148" s="42">
        <v>28829.5</v>
      </c>
      <c r="C148" s="42" t="s">
        <v>3640</v>
      </c>
      <c r="D148" s="45">
        <v>622</v>
      </c>
      <c r="E148" s="45">
        <v>27363</v>
      </c>
      <c r="F148" s="42" t="s">
        <v>3641</v>
      </c>
      <c r="G148" s="42">
        <v>59841</v>
      </c>
      <c r="H148" s="42"/>
      <c r="I148" s="10">
        <v>143</v>
      </c>
      <c r="J148" s="11">
        <v>6296.3</v>
      </c>
      <c r="K148" s="54">
        <f t="shared" si="98"/>
        <v>-1</v>
      </c>
      <c r="L148" s="31">
        <f t="shared" si="99"/>
        <v>5.2393970114458746E-2</v>
      </c>
      <c r="Q148" s="224"/>
    </row>
    <row r="149" spans="1:17" ht="15" thickBot="1" x14ac:dyDescent="0.35">
      <c r="A149" s="175">
        <v>654</v>
      </c>
      <c r="B149" s="8">
        <v>30367.75</v>
      </c>
      <c r="C149" s="8" t="s">
        <v>3822</v>
      </c>
      <c r="D149" s="8">
        <f>+I149</f>
        <v>654</v>
      </c>
      <c r="E149" s="8">
        <f>+J149</f>
        <v>29113.7</v>
      </c>
      <c r="F149" s="45" t="s">
        <v>3823</v>
      </c>
      <c r="G149" s="45">
        <v>59871</v>
      </c>
      <c r="H149" s="45"/>
      <c r="I149" s="8">
        <v>654</v>
      </c>
      <c r="J149" s="9">
        <v>29113.7</v>
      </c>
      <c r="K149" s="54">
        <f t="shared" ref="K149:K150" si="100">+A149-D149</f>
        <v>0</v>
      </c>
      <c r="L149" s="31">
        <f t="shared" ref="L149:L150" si="101">((+B149/A149)-(E149/D149))/(B149/A149)</f>
        <v>4.1295453235751733E-2</v>
      </c>
      <c r="Q149" s="224"/>
    </row>
    <row r="150" spans="1:17" x14ac:dyDescent="0.3">
      <c r="A150" s="871">
        <v>478</v>
      </c>
      <c r="B150" s="873">
        <v>19050</v>
      </c>
      <c r="C150" s="873" t="s">
        <v>3824</v>
      </c>
      <c r="D150" s="873">
        <f>+I150+I151</f>
        <v>478</v>
      </c>
      <c r="E150" s="873">
        <f>+J150+J151</f>
        <v>19075.599999999999</v>
      </c>
      <c r="F150" s="39" t="s">
        <v>3825</v>
      </c>
      <c r="G150" s="39">
        <v>59901</v>
      </c>
      <c r="H150" s="39"/>
      <c r="I150" s="12">
        <v>400</v>
      </c>
      <c r="J150" s="13">
        <v>16017.4</v>
      </c>
      <c r="K150" s="877">
        <f t="shared" si="100"/>
        <v>0</v>
      </c>
      <c r="L150" s="879">
        <f t="shared" si="101"/>
        <v>-1.3438320209973966E-3</v>
      </c>
      <c r="Q150" s="224"/>
    </row>
    <row r="151" spans="1:17" ht="15" thickBot="1" x14ac:dyDescent="0.35">
      <c r="A151" s="872"/>
      <c r="B151" s="874"/>
      <c r="C151" s="874"/>
      <c r="D151" s="874"/>
      <c r="E151" s="874"/>
      <c r="F151" s="42" t="s">
        <v>3825</v>
      </c>
      <c r="G151" s="42">
        <v>59901</v>
      </c>
      <c r="H151" s="42"/>
      <c r="I151" s="10">
        <v>78</v>
      </c>
      <c r="J151" s="11">
        <v>3058.2</v>
      </c>
      <c r="K151" s="878"/>
      <c r="L151" s="880"/>
      <c r="Q151" s="224"/>
    </row>
    <row r="152" spans="1:17" ht="15" thickBot="1" x14ac:dyDescent="0.35">
      <c r="A152" s="175">
        <v>242</v>
      </c>
      <c r="B152" s="8">
        <v>10049.25</v>
      </c>
      <c r="C152" s="8" t="s">
        <v>3826</v>
      </c>
      <c r="D152" s="8">
        <v>242</v>
      </c>
      <c r="E152" s="8">
        <v>10190.5</v>
      </c>
      <c r="F152" s="45" t="s">
        <v>3827</v>
      </c>
      <c r="G152" s="46">
        <v>59921</v>
      </c>
      <c r="H152" s="50"/>
      <c r="I152" s="15">
        <v>122</v>
      </c>
      <c r="J152" s="15">
        <v>5148.8999999999996</v>
      </c>
      <c r="K152" s="54">
        <f t="shared" ref="K152:K153" si="102">+A152-D152</f>
        <v>0</v>
      </c>
      <c r="L152" s="31">
        <f t="shared" ref="L152" si="103">((+B152/A152)-(E152/D152))/(B152/A152)</f>
        <v>-1.4055775306614908E-2</v>
      </c>
      <c r="Q152" s="224"/>
    </row>
    <row r="153" spans="1:17" x14ac:dyDescent="0.3">
      <c r="A153" s="871">
        <v>493</v>
      </c>
      <c r="B153" s="873">
        <v>20277.75</v>
      </c>
      <c r="C153" s="873" t="s">
        <v>4103</v>
      </c>
      <c r="D153" s="873">
        <f>+I153+I155+I154</f>
        <v>493</v>
      </c>
      <c r="E153" s="873">
        <f>+J153+J155+J154</f>
        <v>20359.800000000003</v>
      </c>
      <c r="F153" s="39" t="s">
        <v>4104</v>
      </c>
      <c r="G153" s="39">
        <v>59951</v>
      </c>
      <c r="H153" s="39"/>
      <c r="I153" s="12">
        <v>243</v>
      </c>
      <c r="J153" s="13">
        <v>10212.4</v>
      </c>
      <c r="K153" s="877">
        <f t="shared" si="102"/>
        <v>0</v>
      </c>
      <c r="L153" s="879">
        <f t="shared" ref="L153" si="104">(+B153-E153)/B153</f>
        <v>-4.0463069127493392E-3</v>
      </c>
      <c r="Q153" s="224"/>
    </row>
    <row r="154" spans="1:17" x14ac:dyDescent="0.3">
      <c r="A154" s="875"/>
      <c r="B154" s="881"/>
      <c r="C154" s="881"/>
      <c r="D154" s="881"/>
      <c r="E154" s="881"/>
      <c r="F154" s="50" t="s">
        <v>4104</v>
      </c>
      <c r="G154" s="50">
        <v>59951</v>
      </c>
      <c r="H154" s="50"/>
      <c r="I154" s="15">
        <v>50</v>
      </c>
      <c r="J154" s="16">
        <v>2045.4</v>
      </c>
      <c r="K154" s="886"/>
      <c r="L154" s="885"/>
    </row>
    <row r="155" spans="1:17" ht="15" thickBot="1" x14ac:dyDescent="0.35">
      <c r="A155" s="872"/>
      <c r="B155" s="874"/>
      <c r="C155" s="874"/>
      <c r="D155" s="881"/>
      <c r="E155" s="881"/>
      <c r="F155" s="50" t="s">
        <v>4104</v>
      </c>
      <c r="G155" s="50">
        <v>59951</v>
      </c>
      <c r="H155" s="50"/>
      <c r="I155" s="15">
        <v>200</v>
      </c>
      <c r="J155" s="16">
        <v>8102</v>
      </c>
      <c r="K155" s="878"/>
      <c r="L155" s="880"/>
    </row>
    <row r="156" spans="1:17" x14ac:dyDescent="0.3">
      <c r="A156" s="871">
        <v>854</v>
      </c>
      <c r="B156" s="873">
        <v>34907</v>
      </c>
      <c r="C156" s="873" t="s">
        <v>4105</v>
      </c>
      <c r="D156" s="873">
        <f>+I156+I157+I158</f>
        <v>854</v>
      </c>
      <c r="E156" s="873">
        <f>+J156+J157+J158</f>
        <v>35103.4</v>
      </c>
      <c r="F156" s="39" t="s">
        <v>4106</v>
      </c>
      <c r="G156" s="39">
        <v>59961</v>
      </c>
      <c r="H156" s="39"/>
      <c r="I156" s="12">
        <v>354</v>
      </c>
      <c r="J156" s="13">
        <v>14558.3</v>
      </c>
      <c r="K156" s="877">
        <f t="shared" ref="K156" si="105">+A156-D156</f>
        <v>0</v>
      </c>
      <c r="L156" s="879">
        <f t="shared" ref="L156" si="106">(+B156-E156)/B156</f>
        <v>-5.6263786633053963E-3</v>
      </c>
    </row>
    <row r="157" spans="1:17" x14ac:dyDescent="0.3">
      <c r="A157" s="875"/>
      <c r="B157" s="881"/>
      <c r="C157" s="881"/>
      <c r="D157" s="881"/>
      <c r="E157" s="881"/>
      <c r="F157" s="50" t="s">
        <v>4106</v>
      </c>
      <c r="G157" s="50">
        <v>59961</v>
      </c>
      <c r="H157" s="50"/>
      <c r="I157" s="15">
        <v>250</v>
      </c>
      <c r="J157" s="16">
        <v>10229</v>
      </c>
      <c r="K157" s="886"/>
      <c r="L157" s="885"/>
    </row>
    <row r="158" spans="1:17" ht="15" thickBot="1" x14ac:dyDescent="0.35">
      <c r="A158" s="872"/>
      <c r="B158" s="874"/>
      <c r="C158" s="874"/>
      <c r="D158" s="874"/>
      <c r="E158" s="874"/>
      <c r="F158" s="42" t="s">
        <v>4106</v>
      </c>
      <c r="G158" s="42">
        <v>59961</v>
      </c>
      <c r="H158" s="42"/>
      <c r="I158" s="10">
        <v>250</v>
      </c>
      <c r="J158" s="11">
        <v>10316.1</v>
      </c>
      <c r="K158" s="878"/>
      <c r="L158" s="880"/>
    </row>
    <row r="159" spans="1:17" x14ac:dyDescent="0.3">
      <c r="A159" s="871">
        <v>610</v>
      </c>
      <c r="B159" s="873">
        <v>27570.75</v>
      </c>
      <c r="C159" s="873" t="s">
        <v>4377</v>
      </c>
      <c r="D159" s="873">
        <f>+I159+I160</f>
        <v>611</v>
      </c>
      <c r="E159" s="873">
        <f>+J159+J160</f>
        <v>26094.5</v>
      </c>
      <c r="F159" s="39" t="s">
        <v>4378</v>
      </c>
      <c r="G159" s="39">
        <v>59981</v>
      </c>
      <c r="H159" s="39"/>
      <c r="I159" s="12">
        <v>260</v>
      </c>
      <c r="J159" s="13">
        <v>11250</v>
      </c>
      <c r="K159" s="877">
        <f t="shared" ref="K159" si="107">+A159-D159</f>
        <v>-1</v>
      </c>
      <c r="L159" s="879">
        <f t="shared" ref="L159" si="108">((+B159/A159)-(E159/D159))/(B159/A159)</f>
        <v>5.5093091626952882E-2</v>
      </c>
    </row>
    <row r="160" spans="1:17" ht="15" thickBot="1" x14ac:dyDescent="0.35">
      <c r="A160" s="875"/>
      <c r="B160" s="881"/>
      <c r="C160" s="881"/>
      <c r="D160" s="881"/>
      <c r="E160" s="881"/>
      <c r="F160" s="50" t="s">
        <v>4378</v>
      </c>
      <c r="G160" s="50">
        <v>59981</v>
      </c>
      <c r="H160" s="50"/>
      <c r="I160" s="15">
        <v>351</v>
      </c>
      <c r="J160" s="16">
        <v>14844.5</v>
      </c>
      <c r="K160" s="878"/>
      <c r="L160" s="880"/>
    </row>
    <row r="161" spans="1:12" ht="15" thickBot="1" x14ac:dyDescent="0.35">
      <c r="A161" s="174">
        <v>132</v>
      </c>
      <c r="B161" s="12">
        <v>5514.25</v>
      </c>
      <c r="C161" s="12" t="s">
        <v>4379</v>
      </c>
      <c r="D161" s="12">
        <f>+I161</f>
        <v>132</v>
      </c>
      <c r="E161" s="12">
        <f>+J161</f>
        <v>5586.2</v>
      </c>
      <c r="F161" s="39" t="s">
        <v>4380</v>
      </c>
      <c r="G161" s="39">
        <v>60091</v>
      </c>
      <c r="H161" s="39"/>
      <c r="I161" s="12">
        <v>132</v>
      </c>
      <c r="J161" s="13">
        <v>5586.2</v>
      </c>
      <c r="K161" s="54">
        <f t="shared" ref="K161" si="109">+A161-D161</f>
        <v>0</v>
      </c>
      <c r="L161" s="31">
        <f t="shared" ref="L161" si="110">((+B161/A161)-(E161/D161))/(B161/A161)</f>
        <v>-1.3048011968989475E-2</v>
      </c>
    </row>
    <row r="162" spans="1:12" x14ac:dyDescent="0.3">
      <c r="A162" s="871">
        <v>326</v>
      </c>
      <c r="B162" s="873">
        <v>13531.75</v>
      </c>
      <c r="C162" s="873" t="s">
        <v>4381</v>
      </c>
      <c r="D162" s="873">
        <v>325</v>
      </c>
      <c r="E162" s="873">
        <v>13499.2</v>
      </c>
      <c r="F162" s="39" t="s">
        <v>4382</v>
      </c>
      <c r="G162" s="39">
        <v>60111</v>
      </c>
      <c r="H162" s="39"/>
      <c r="I162" s="12">
        <v>168</v>
      </c>
      <c r="J162" s="13">
        <v>6926.4</v>
      </c>
      <c r="K162" s="877">
        <f t="shared" ref="K162" si="111">+A162-D162</f>
        <v>1</v>
      </c>
      <c r="L162" s="879">
        <f t="shared" ref="L162" si="112">((+B162/A162)-(E162/D162))/(B162/A162)</f>
        <v>-6.6406784044929822E-4</v>
      </c>
    </row>
    <row r="163" spans="1:12" ht="15" thickBot="1" x14ac:dyDescent="0.35">
      <c r="A163" s="872"/>
      <c r="B163" s="874"/>
      <c r="C163" s="874"/>
      <c r="D163" s="874"/>
      <c r="E163" s="874"/>
      <c r="F163" s="42" t="s">
        <v>4382</v>
      </c>
      <c r="G163" s="42">
        <v>60111</v>
      </c>
      <c r="H163" s="42"/>
      <c r="I163" s="10">
        <v>45</v>
      </c>
      <c r="J163" s="11">
        <v>1961.6</v>
      </c>
      <c r="K163" s="878"/>
      <c r="L163" s="880"/>
    </row>
    <row r="164" spans="1:12" ht="15" thickBot="1" x14ac:dyDescent="0.35">
      <c r="A164" s="175">
        <v>57</v>
      </c>
      <c r="B164" s="8">
        <v>2500.75</v>
      </c>
      <c r="C164" s="8" t="s">
        <v>4565</v>
      </c>
      <c r="D164" s="8">
        <f>+I164</f>
        <v>57</v>
      </c>
      <c r="E164" s="8">
        <f>+J164</f>
        <v>2485.1</v>
      </c>
      <c r="F164" s="45" t="s">
        <v>1189</v>
      </c>
      <c r="G164" s="45">
        <v>60151</v>
      </c>
      <c r="H164" s="45"/>
      <c r="I164" s="8">
        <v>57</v>
      </c>
      <c r="J164" s="9">
        <v>2485.1</v>
      </c>
      <c r="K164" s="54">
        <f t="shared" ref="K164:K165" si="113">+A164-D164</f>
        <v>0</v>
      </c>
      <c r="L164" s="31">
        <f t="shared" ref="L164:L165" si="114">((+B164/A164)-(E164/D164))/(B164/A164)</f>
        <v>6.2581225632311437E-3</v>
      </c>
    </row>
    <row r="165" spans="1:12" ht="15" thickBot="1" x14ac:dyDescent="0.35">
      <c r="A165" s="175">
        <v>250</v>
      </c>
      <c r="B165" s="8">
        <v>11757.75</v>
      </c>
      <c r="C165" s="8" t="s">
        <v>4566</v>
      </c>
      <c r="D165" s="8">
        <v>250</v>
      </c>
      <c r="E165" s="8">
        <v>11545.9</v>
      </c>
      <c r="F165" s="45" t="s">
        <v>1150</v>
      </c>
      <c r="G165" s="46">
        <v>60161</v>
      </c>
      <c r="H165" s="50"/>
      <c r="I165" s="15">
        <v>200</v>
      </c>
      <c r="J165" s="15">
        <v>9243</v>
      </c>
      <c r="K165" s="54">
        <f t="shared" si="113"/>
        <v>0</v>
      </c>
      <c r="L165" s="31">
        <f t="shared" si="114"/>
        <v>1.8017903085199131E-2</v>
      </c>
    </row>
    <row r="166" spans="1:12" ht="15" thickBot="1" x14ac:dyDescent="0.35">
      <c r="A166" s="199">
        <v>99</v>
      </c>
      <c r="B166" s="10">
        <v>4119.75</v>
      </c>
      <c r="C166" s="10" t="s">
        <v>4664</v>
      </c>
      <c r="D166" s="10">
        <f t="shared" ref="D166:E167" si="115">+I166</f>
        <v>99</v>
      </c>
      <c r="E166" s="10">
        <f t="shared" si="115"/>
        <v>4111.7</v>
      </c>
      <c r="F166" s="42" t="s">
        <v>1162</v>
      </c>
      <c r="G166" s="42">
        <v>60191</v>
      </c>
      <c r="H166" s="42"/>
      <c r="I166" s="10">
        <v>99</v>
      </c>
      <c r="J166" s="11">
        <v>4111.7</v>
      </c>
      <c r="K166" s="54">
        <f t="shared" ref="K166:K168" si="116">+A166-D166</f>
        <v>0</v>
      </c>
      <c r="L166" s="31">
        <f t="shared" ref="L166:L168" si="117">((+B166/A166)-(E166/D166))/(B166/A166)</f>
        <v>1.9540020632321502E-3</v>
      </c>
    </row>
    <row r="167" spans="1:12" ht="15" thickBot="1" x14ac:dyDescent="0.35">
      <c r="A167" s="175">
        <v>169</v>
      </c>
      <c r="B167" s="8">
        <v>7696.75</v>
      </c>
      <c r="C167" s="8" t="s">
        <v>4665</v>
      </c>
      <c r="D167" s="8">
        <f t="shared" si="115"/>
        <v>169</v>
      </c>
      <c r="E167" s="8">
        <f t="shared" si="115"/>
        <v>7535.0999999999995</v>
      </c>
      <c r="F167" s="45" t="s">
        <v>1191</v>
      </c>
      <c r="G167" s="45">
        <v>60201</v>
      </c>
      <c r="H167" s="45"/>
      <c r="I167" s="8">
        <v>169</v>
      </c>
      <c r="J167" s="9">
        <v>7535.0999999999995</v>
      </c>
      <c r="K167" s="54">
        <f t="shared" si="116"/>
        <v>0</v>
      </c>
      <c r="L167" s="31">
        <f t="shared" si="117"/>
        <v>2.1002371130672014E-2</v>
      </c>
    </row>
    <row r="168" spans="1:12" x14ac:dyDescent="0.3">
      <c r="A168" s="871">
        <v>570</v>
      </c>
      <c r="B168" s="873">
        <v>24552.25</v>
      </c>
      <c r="C168" s="873" t="s">
        <v>4666</v>
      </c>
      <c r="D168" s="873">
        <v>570</v>
      </c>
      <c r="E168" s="873">
        <v>24104.5</v>
      </c>
      <c r="F168" s="39" t="s">
        <v>1181</v>
      </c>
      <c r="G168" s="39">
        <v>60211</v>
      </c>
      <c r="H168" s="39"/>
      <c r="I168" s="12">
        <v>350</v>
      </c>
      <c r="J168" s="13">
        <v>14796.3</v>
      </c>
      <c r="K168" s="877">
        <f t="shared" si="116"/>
        <v>0</v>
      </c>
      <c r="L168" s="879">
        <f t="shared" si="117"/>
        <v>1.8236617825250271E-2</v>
      </c>
    </row>
    <row r="169" spans="1:12" ht="15" thickBot="1" x14ac:dyDescent="0.35">
      <c r="A169" s="872"/>
      <c r="B169" s="874"/>
      <c r="C169" s="874"/>
      <c r="D169" s="874"/>
      <c r="E169" s="874"/>
      <c r="F169" s="42" t="s">
        <v>1181</v>
      </c>
      <c r="G169" s="42">
        <v>60211</v>
      </c>
      <c r="H169" s="42"/>
      <c r="I169" s="10">
        <v>110</v>
      </c>
      <c r="J169" s="11">
        <v>4716.3</v>
      </c>
      <c r="K169" s="878"/>
      <c r="L169" s="880"/>
    </row>
    <row r="170" spans="1:12" x14ac:dyDescent="0.3">
      <c r="A170" s="871">
        <v>500</v>
      </c>
      <c r="B170" s="873">
        <v>23502.25</v>
      </c>
      <c r="C170" s="873" t="s">
        <v>4742</v>
      </c>
      <c r="D170" s="873">
        <f>+I170+I171+I172</f>
        <v>500</v>
      </c>
      <c r="E170" s="873">
        <f>+J170+J171+J172</f>
        <v>23138.2</v>
      </c>
      <c r="F170" s="39" t="s">
        <v>4743</v>
      </c>
      <c r="G170" s="39" t="s">
        <v>4744</v>
      </c>
      <c r="H170" s="39"/>
      <c r="I170" s="12">
        <v>30</v>
      </c>
      <c r="J170" s="13">
        <v>1357</v>
      </c>
      <c r="K170" s="877">
        <f t="shared" ref="K170" si="118">+A170-D170</f>
        <v>0</v>
      </c>
      <c r="L170" s="879">
        <f t="shared" ref="L170" si="119">(+B170-E170)/B170</f>
        <v>1.5490006275994821E-2</v>
      </c>
    </row>
    <row r="171" spans="1:12" x14ac:dyDescent="0.3">
      <c r="A171" s="875"/>
      <c r="B171" s="881"/>
      <c r="C171" s="881"/>
      <c r="D171" s="881"/>
      <c r="E171" s="881"/>
      <c r="F171" s="50" t="s">
        <v>4743</v>
      </c>
      <c r="G171" s="50" t="s">
        <v>4744</v>
      </c>
      <c r="H171" s="50"/>
      <c r="I171" s="15">
        <v>220</v>
      </c>
      <c r="J171" s="16">
        <v>10165.700000000001</v>
      </c>
      <c r="K171" s="886"/>
      <c r="L171" s="885"/>
    </row>
    <row r="172" spans="1:12" ht="15" thickBot="1" x14ac:dyDescent="0.35">
      <c r="A172" s="872"/>
      <c r="B172" s="874"/>
      <c r="C172" s="874"/>
      <c r="D172" s="874"/>
      <c r="E172" s="874"/>
      <c r="F172" s="42" t="s">
        <v>4743</v>
      </c>
      <c r="G172" s="42" t="s">
        <v>4744</v>
      </c>
      <c r="H172" s="42"/>
      <c r="I172" s="10">
        <v>250</v>
      </c>
      <c r="J172" s="11">
        <v>11615.5</v>
      </c>
      <c r="K172" s="878"/>
      <c r="L172" s="880"/>
    </row>
    <row r="173" spans="1:12" ht="15" thickBot="1" x14ac:dyDescent="0.35">
      <c r="A173" s="175">
        <v>723</v>
      </c>
      <c r="B173" s="8">
        <v>33163</v>
      </c>
      <c r="C173" s="8" t="s">
        <v>4745</v>
      </c>
      <c r="D173" s="8">
        <v>723</v>
      </c>
      <c r="E173" s="8">
        <v>32091.200000000001</v>
      </c>
      <c r="F173" s="45" t="s">
        <v>4746</v>
      </c>
      <c r="G173" s="45" t="s">
        <v>4747</v>
      </c>
      <c r="H173" s="45"/>
      <c r="I173" s="8">
        <v>391</v>
      </c>
      <c r="J173" s="9">
        <v>17415.400000000001</v>
      </c>
      <c r="K173" s="54">
        <f t="shared" ref="K173" si="120">+A173-D173</f>
        <v>0</v>
      </c>
      <c r="L173" s="31">
        <f t="shared" ref="L173" si="121">((+B173/A173)-(E173/D173))/(B173/A173)</f>
        <v>3.2319150860899162E-2</v>
      </c>
    </row>
    <row r="174" spans="1:12" ht="15" thickBot="1" x14ac:dyDescent="0.35">
      <c r="A174" s="175">
        <v>428</v>
      </c>
      <c r="B174" s="8">
        <v>19541.75</v>
      </c>
      <c r="C174" s="8" t="s">
        <v>4814</v>
      </c>
      <c r="D174" s="8">
        <f>+I174+159</f>
        <v>427</v>
      </c>
      <c r="E174" s="8">
        <f>+J174+7426.7</f>
        <v>19131.599999999999</v>
      </c>
      <c r="F174" s="45" t="s">
        <v>4815</v>
      </c>
      <c r="G174" s="45" t="s">
        <v>4816</v>
      </c>
      <c r="H174" s="45"/>
      <c r="I174" s="8">
        <v>268</v>
      </c>
      <c r="J174" s="9">
        <v>11704.9</v>
      </c>
      <c r="K174" s="54">
        <f t="shared" ref="K174:K175" si="122">+A174-D174</f>
        <v>1</v>
      </c>
      <c r="L174" s="31">
        <f t="shared" ref="L174:L175" si="123">((+B174/A174)-(E174/D174))/(B174/A174)</f>
        <v>1.8695629416979154E-2</v>
      </c>
    </row>
    <row r="175" spans="1:12" x14ac:dyDescent="0.3">
      <c r="A175" s="871">
        <v>205</v>
      </c>
      <c r="B175" s="873">
        <v>8296.7999999999993</v>
      </c>
      <c r="C175" s="873" t="s">
        <v>4929</v>
      </c>
      <c r="D175" s="873">
        <f>+I175+I176</f>
        <v>205</v>
      </c>
      <c r="E175" s="873">
        <f>+J175+J176</f>
        <v>8078.9</v>
      </c>
      <c r="F175" s="39" t="s">
        <v>4930</v>
      </c>
      <c r="G175" s="39" t="s">
        <v>4931</v>
      </c>
      <c r="H175" s="39"/>
      <c r="I175" s="12">
        <v>161</v>
      </c>
      <c r="J175" s="13">
        <v>6313.9</v>
      </c>
      <c r="K175" s="877">
        <f t="shared" si="122"/>
        <v>0</v>
      </c>
      <c r="L175" s="879">
        <f t="shared" si="123"/>
        <v>2.6263137595217426E-2</v>
      </c>
    </row>
    <row r="176" spans="1:12" ht="15" thickBot="1" x14ac:dyDescent="0.35">
      <c r="A176" s="872"/>
      <c r="B176" s="874"/>
      <c r="C176" s="874"/>
      <c r="D176" s="874"/>
      <c r="E176" s="874"/>
      <c r="F176" s="42" t="s">
        <v>4930</v>
      </c>
      <c r="G176" s="42" t="s">
        <v>4931</v>
      </c>
      <c r="H176" s="42"/>
      <c r="I176" s="10">
        <v>44</v>
      </c>
      <c r="J176" s="11">
        <v>1765</v>
      </c>
      <c r="K176" s="878"/>
      <c r="L176" s="880"/>
    </row>
    <row r="177" spans="1:12" ht="15" thickBot="1" x14ac:dyDescent="0.35">
      <c r="A177" s="175">
        <v>250</v>
      </c>
      <c r="B177" s="8">
        <v>10742.75</v>
      </c>
      <c r="C177" s="8" t="s">
        <v>4932</v>
      </c>
      <c r="D177" s="8">
        <f>+I177</f>
        <v>250</v>
      </c>
      <c r="E177" s="8">
        <f>+J177</f>
        <v>10440.4</v>
      </c>
      <c r="F177" s="45" t="s">
        <v>4933</v>
      </c>
      <c r="G177" s="45" t="s">
        <v>4934</v>
      </c>
      <c r="H177" s="45"/>
      <c r="I177" s="8">
        <v>250</v>
      </c>
      <c r="J177" s="9">
        <v>10440.4</v>
      </c>
      <c r="K177" s="54">
        <f t="shared" ref="K177" si="124">+A177-D177</f>
        <v>0</v>
      </c>
      <c r="L177" s="31">
        <f t="shared" ref="L177" si="125">((+B177/A177)-(E177/D177))/(B177/A177)</f>
        <v>2.8144562611994026E-2</v>
      </c>
    </row>
    <row r="178" spans="1:12" x14ac:dyDescent="0.3">
      <c r="A178" s="15"/>
      <c r="B178" s="15"/>
      <c r="C178" s="15"/>
      <c r="D178" s="15"/>
      <c r="E178" s="15"/>
      <c r="F178" s="50"/>
      <c r="G178" s="50"/>
      <c r="H178" s="50"/>
      <c r="I178" s="15"/>
      <c r="J178" s="15"/>
    </row>
    <row r="179" spans="1:12" x14ac:dyDescent="0.3">
      <c r="A179" s="124">
        <f>SUM(A5:A178)</f>
        <v>46888</v>
      </c>
      <c r="B179" s="124">
        <f>SUM(B5:B178)</f>
        <v>2182935</v>
      </c>
      <c r="D179" s="124">
        <f>SUM(D5:D178)</f>
        <v>46969</v>
      </c>
      <c r="E179" s="124">
        <f>SUM(E5:E178)</f>
        <v>2122890.5999999996</v>
      </c>
    </row>
    <row r="180" spans="1:12" x14ac:dyDescent="0.3">
      <c r="A180" s="172"/>
    </row>
    <row r="181" spans="1:12" x14ac:dyDescent="0.3">
      <c r="A181" s="172"/>
    </row>
    <row r="182" spans="1:12" x14ac:dyDescent="0.3">
      <c r="A182" s="172"/>
    </row>
  </sheetData>
  <mergeCells count="285">
    <mergeCell ref="A175:A176"/>
    <mergeCell ref="B175:B176"/>
    <mergeCell ref="C175:C176"/>
    <mergeCell ref="D175:D176"/>
    <mergeCell ref="E175:E176"/>
    <mergeCell ref="K175:K176"/>
    <mergeCell ref="L175:L176"/>
    <mergeCell ref="L162:L163"/>
    <mergeCell ref="A159:A160"/>
    <mergeCell ref="B159:B160"/>
    <mergeCell ref="C159:C160"/>
    <mergeCell ref="D159:D160"/>
    <mergeCell ref="E159:E160"/>
    <mergeCell ref="A162:A163"/>
    <mergeCell ref="B162:B163"/>
    <mergeCell ref="C162:C163"/>
    <mergeCell ref="D162:D163"/>
    <mergeCell ref="E162:E163"/>
    <mergeCell ref="K159:K160"/>
    <mergeCell ref="L159:L160"/>
    <mergeCell ref="K162:K163"/>
    <mergeCell ref="A170:A172"/>
    <mergeCell ref="B170:B172"/>
    <mergeCell ref="C170:C172"/>
    <mergeCell ref="K139:K140"/>
    <mergeCell ref="L139:L140"/>
    <mergeCell ref="K143:K144"/>
    <mergeCell ref="L143:L144"/>
    <mergeCell ref="A139:A140"/>
    <mergeCell ref="B139:B140"/>
    <mergeCell ref="C139:C140"/>
    <mergeCell ref="D139:D140"/>
    <mergeCell ref="E139:E140"/>
    <mergeCell ref="A143:A144"/>
    <mergeCell ref="B143:B144"/>
    <mergeCell ref="C143:C144"/>
    <mergeCell ref="D143:D144"/>
    <mergeCell ref="E143:E144"/>
    <mergeCell ref="K130:K131"/>
    <mergeCell ref="L130:L131"/>
    <mergeCell ref="K118:K119"/>
    <mergeCell ref="K120:K121"/>
    <mergeCell ref="K122:K123"/>
    <mergeCell ref="L118:L119"/>
    <mergeCell ref="L120:L121"/>
    <mergeCell ref="L122:L123"/>
    <mergeCell ref="A118:A119"/>
    <mergeCell ref="B118:B119"/>
    <mergeCell ref="C118:C119"/>
    <mergeCell ref="D118:D119"/>
    <mergeCell ref="E118:E119"/>
    <mergeCell ref="A120:A121"/>
    <mergeCell ref="B120:B121"/>
    <mergeCell ref="C120:C121"/>
    <mergeCell ref="D120:D121"/>
    <mergeCell ref="E120:E121"/>
    <mergeCell ref="A124:A125"/>
    <mergeCell ref="K124:K125"/>
    <mergeCell ref="L124:L125"/>
    <mergeCell ref="A122:A123"/>
    <mergeCell ref="B122:B123"/>
    <mergeCell ref="C122:C123"/>
    <mergeCell ref="D122:D123"/>
    <mergeCell ref="E122:E123"/>
    <mergeCell ref="A130:A131"/>
    <mergeCell ref="B130:B131"/>
    <mergeCell ref="C130:C131"/>
    <mergeCell ref="D130:D131"/>
    <mergeCell ref="E130:E131"/>
    <mergeCell ref="B124:B125"/>
    <mergeCell ref="C124:C125"/>
    <mergeCell ref="D124:D125"/>
    <mergeCell ref="E124:E125"/>
    <mergeCell ref="A79:A80"/>
    <mergeCell ref="B79:B80"/>
    <mergeCell ref="C79:C80"/>
    <mergeCell ref="D79:D80"/>
    <mergeCell ref="E79:E80"/>
    <mergeCell ref="K79:K80"/>
    <mergeCell ref="L79:L80"/>
    <mergeCell ref="A74:A75"/>
    <mergeCell ref="B74:B75"/>
    <mergeCell ref="C74:C75"/>
    <mergeCell ref="D74:D75"/>
    <mergeCell ref="E74:E75"/>
    <mergeCell ref="K74:K75"/>
    <mergeCell ref="L74:L75"/>
    <mergeCell ref="B62:B63"/>
    <mergeCell ref="C62:C63"/>
    <mergeCell ref="D62:D63"/>
    <mergeCell ref="E62:E63"/>
    <mergeCell ref="A66:A69"/>
    <mergeCell ref="B66:B69"/>
    <mergeCell ref="C66:C69"/>
    <mergeCell ref="D66:D69"/>
    <mergeCell ref="E66:E69"/>
    <mergeCell ref="K66:K69"/>
    <mergeCell ref="L66:L69"/>
    <mergeCell ref="K62:K63"/>
    <mergeCell ref="L62:L63"/>
    <mergeCell ref="A62:A63"/>
    <mergeCell ref="L39:L40"/>
    <mergeCell ref="K42:K43"/>
    <mergeCell ref="L42:L43"/>
    <mergeCell ref="A42:A43"/>
    <mergeCell ref="B42:B43"/>
    <mergeCell ref="C42:C43"/>
    <mergeCell ref="D42:D43"/>
    <mergeCell ref="E42:E43"/>
    <mergeCell ref="K51:K53"/>
    <mergeCell ref="L51:L53"/>
    <mergeCell ref="K54:K55"/>
    <mergeCell ref="L54:L55"/>
    <mergeCell ref="A54:A55"/>
    <mergeCell ref="B54:B55"/>
    <mergeCell ref="C54:C55"/>
    <mergeCell ref="D54:D55"/>
    <mergeCell ref="E54:E55"/>
    <mergeCell ref="A51:A53"/>
    <mergeCell ref="B51:B53"/>
    <mergeCell ref="L24:L25"/>
    <mergeCell ref="A24:A25"/>
    <mergeCell ref="B24:B25"/>
    <mergeCell ref="C24:C25"/>
    <mergeCell ref="D24:D25"/>
    <mergeCell ref="E24:E25"/>
    <mergeCell ref="L26:L27"/>
    <mergeCell ref="L28:L29"/>
    <mergeCell ref="A28:A29"/>
    <mergeCell ref="B28:B29"/>
    <mergeCell ref="C28:C29"/>
    <mergeCell ref="D28:D29"/>
    <mergeCell ref="E28:E29"/>
    <mergeCell ref="A26:A27"/>
    <mergeCell ref="B26:B27"/>
    <mergeCell ref="C26:C27"/>
    <mergeCell ref="D26:D27"/>
    <mergeCell ref="C10:C12"/>
    <mergeCell ref="D10:D12"/>
    <mergeCell ref="E10:E12"/>
    <mergeCell ref="A14:A16"/>
    <mergeCell ref="B14:B16"/>
    <mergeCell ref="C14:C16"/>
    <mergeCell ref="D14:D16"/>
    <mergeCell ref="E14:E16"/>
    <mergeCell ref="K39:K40"/>
    <mergeCell ref="E26:E27"/>
    <mergeCell ref="K28:K29"/>
    <mergeCell ref="K14:K16"/>
    <mergeCell ref="A39:A40"/>
    <mergeCell ref="B39:B40"/>
    <mergeCell ref="C39:C40"/>
    <mergeCell ref="D39:D40"/>
    <mergeCell ref="E39:E40"/>
    <mergeCell ref="K21:K23"/>
    <mergeCell ref="K24:K25"/>
    <mergeCell ref="L21:L23"/>
    <mergeCell ref="A21:A23"/>
    <mergeCell ref="B21:B23"/>
    <mergeCell ref="C21:C23"/>
    <mergeCell ref="D21:D23"/>
    <mergeCell ref="E21:E23"/>
    <mergeCell ref="L3:L4"/>
    <mergeCell ref="A18:A19"/>
    <mergeCell ref="B18:B19"/>
    <mergeCell ref="C18:C19"/>
    <mergeCell ref="D18:D19"/>
    <mergeCell ref="E18:E19"/>
    <mergeCell ref="K18:K19"/>
    <mergeCell ref="A3:C3"/>
    <mergeCell ref="D3:E3"/>
    <mergeCell ref="G3:G4"/>
    <mergeCell ref="J3:J4"/>
    <mergeCell ref="K3:K4"/>
    <mergeCell ref="L10:L12"/>
    <mergeCell ref="L14:L16"/>
    <mergeCell ref="K10:K12"/>
    <mergeCell ref="A10:A12"/>
    <mergeCell ref="L18:L19"/>
    <mergeCell ref="B10:B12"/>
    <mergeCell ref="A87:A89"/>
    <mergeCell ref="B87:B89"/>
    <mergeCell ref="C87:C89"/>
    <mergeCell ref="D87:D89"/>
    <mergeCell ref="E87:E89"/>
    <mergeCell ref="K87:K89"/>
    <mergeCell ref="L87:L89"/>
    <mergeCell ref="C51:C53"/>
    <mergeCell ref="D51:D53"/>
    <mergeCell ref="E51:E53"/>
    <mergeCell ref="K56:K58"/>
    <mergeCell ref="L56:L58"/>
    <mergeCell ref="K59:K61"/>
    <mergeCell ref="L59:L61"/>
    <mergeCell ref="A59:A61"/>
    <mergeCell ref="B59:B61"/>
    <mergeCell ref="C59:C61"/>
    <mergeCell ref="D59:D61"/>
    <mergeCell ref="E59:E61"/>
    <mergeCell ref="A56:A58"/>
    <mergeCell ref="B56:B58"/>
    <mergeCell ref="C56:C58"/>
    <mergeCell ref="D56:D58"/>
    <mergeCell ref="E56:E58"/>
    <mergeCell ref="K92:K93"/>
    <mergeCell ref="K95:K96"/>
    <mergeCell ref="L92:L93"/>
    <mergeCell ref="L95:L96"/>
    <mergeCell ref="A92:A93"/>
    <mergeCell ref="B92:B93"/>
    <mergeCell ref="C92:C93"/>
    <mergeCell ref="D92:D93"/>
    <mergeCell ref="E92:E93"/>
    <mergeCell ref="A95:A96"/>
    <mergeCell ref="B95:B96"/>
    <mergeCell ref="C95:C96"/>
    <mergeCell ref="D95:D96"/>
    <mergeCell ref="E95:E96"/>
    <mergeCell ref="A100:A102"/>
    <mergeCell ref="B100:B102"/>
    <mergeCell ref="C100:C102"/>
    <mergeCell ref="D100:D102"/>
    <mergeCell ref="E100:E102"/>
    <mergeCell ref="K100:K102"/>
    <mergeCell ref="L100:L102"/>
    <mergeCell ref="K108:K110"/>
    <mergeCell ref="K111:K112"/>
    <mergeCell ref="L111:L112"/>
    <mergeCell ref="L108:L110"/>
    <mergeCell ref="A108:A110"/>
    <mergeCell ref="B108:B110"/>
    <mergeCell ref="C108:C110"/>
    <mergeCell ref="D108:D110"/>
    <mergeCell ref="E108:E110"/>
    <mergeCell ref="A111:A112"/>
    <mergeCell ref="B111:B112"/>
    <mergeCell ref="C111:C112"/>
    <mergeCell ref="D111:D112"/>
    <mergeCell ref="E111:E112"/>
    <mergeCell ref="K134:K136"/>
    <mergeCell ref="L134:L136"/>
    <mergeCell ref="K137:K138"/>
    <mergeCell ref="L137:L138"/>
    <mergeCell ref="A134:A136"/>
    <mergeCell ref="B134:B136"/>
    <mergeCell ref="C134:C136"/>
    <mergeCell ref="D134:D136"/>
    <mergeCell ref="E134:E136"/>
    <mergeCell ref="A137:A138"/>
    <mergeCell ref="B137:B138"/>
    <mergeCell ref="C137:C138"/>
    <mergeCell ref="D137:D138"/>
    <mergeCell ref="E137:E138"/>
    <mergeCell ref="A150:A151"/>
    <mergeCell ref="B150:B151"/>
    <mergeCell ref="C150:C151"/>
    <mergeCell ref="D150:D151"/>
    <mergeCell ref="E150:E151"/>
    <mergeCell ref="K150:K151"/>
    <mergeCell ref="L150:L151"/>
    <mergeCell ref="K153:K155"/>
    <mergeCell ref="L153:L155"/>
    <mergeCell ref="K156:K158"/>
    <mergeCell ref="L156:L158"/>
    <mergeCell ref="A153:A155"/>
    <mergeCell ref="B153:B155"/>
    <mergeCell ref="C153:C155"/>
    <mergeCell ref="D153:D155"/>
    <mergeCell ref="E153:E155"/>
    <mergeCell ref="A156:A158"/>
    <mergeCell ref="B156:B158"/>
    <mergeCell ref="C156:C158"/>
    <mergeCell ref="D156:D158"/>
    <mergeCell ref="E156:E158"/>
    <mergeCell ref="D170:D172"/>
    <mergeCell ref="E170:E172"/>
    <mergeCell ref="K170:K172"/>
    <mergeCell ref="L170:L172"/>
    <mergeCell ref="A168:A169"/>
    <mergeCell ref="B168:B169"/>
    <mergeCell ref="C168:C169"/>
    <mergeCell ref="D168:D169"/>
    <mergeCell ref="E168:E169"/>
    <mergeCell ref="K168:K169"/>
    <mergeCell ref="L168:L169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103"/>
  <sheetViews>
    <sheetView topLeftCell="A46" zoomScale="80" zoomScaleNormal="80" workbookViewId="0">
      <selection activeCell="B106" sqref="B106"/>
    </sheetView>
  </sheetViews>
  <sheetFormatPr baseColWidth="10" defaultColWidth="8.88671875" defaultRowHeight="14.4" x14ac:dyDescent="0.3"/>
  <cols>
    <col min="1" max="1" width="13.109375" customWidth="1"/>
    <col min="2" max="2" width="14.44140625" customWidth="1"/>
    <col min="3" max="3" width="11" bestFit="1" customWidth="1"/>
    <col min="4" max="4" width="12.109375" customWidth="1"/>
    <col min="5" max="5" width="14" customWidth="1"/>
    <col min="8" max="8" width="13.109375" hidden="1" customWidth="1"/>
    <col min="9" max="9" width="6.33203125" hidden="1" customWidth="1"/>
    <col min="10" max="10" width="11" hidden="1" customWidth="1"/>
    <col min="12" max="12" width="12.109375" customWidth="1"/>
  </cols>
  <sheetData>
    <row r="1" spans="1:12" ht="24" customHeight="1" x14ac:dyDescent="0.65">
      <c r="A1" s="104" t="s">
        <v>303</v>
      </c>
      <c r="D1" s="95"/>
      <c r="E1" s="95"/>
      <c r="F1" s="95"/>
      <c r="G1" s="95"/>
      <c r="H1" s="95"/>
      <c r="I1" s="95"/>
    </row>
    <row r="2" spans="1:12" ht="15" thickBot="1" x14ac:dyDescent="0.35">
      <c r="D2" s="50"/>
      <c r="E2" s="50"/>
      <c r="F2" s="50"/>
      <c r="G2" s="50"/>
    </row>
    <row r="3" spans="1:12" ht="29.4" thickBot="1" x14ac:dyDescent="0.35">
      <c r="A3" s="1084" t="s">
        <v>270</v>
      </c>
      <c r="B3" s="1085"/>
      <c r="C3" s="1086"/>
      <c r="D3" s="920" t="s">
        <v>2</v>
      </c>
      <c r="E3" s="922"/>
      <c r="F3" s="67"/>
      <c r="G3" s="915" t="s">
        <v>3</v>
      </c>
      <c r="H3" s="96" t="s">
        <v>4</v>
      </c>
      <c r="I3" s="98"/>
      <c r="J3" s="97" t="s">
        <v>254</v>
      </c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94" t="s">
        <v>4</v>
      </c>
      <c r="D4" s="70" t="s">
        <v>7</v>
      </c>
      <c r="E4" s="71" t="s">
        <v>6</v>
      </c>
      <c r="F4" s="72" t="s">
        <v>8</v>
      </c>
      <c r="G4" s="923"/>
      <c r="H4" s="100" t="s">
        <v>9</v>
      </c>
      <c r="I4" s="99" t="s">
        <v>5</v>
      </c>
      <c r="J4" s="99"/>
      <c r="K4" s="916"/>
      <c r="L4" s="985"/>
    </row>
    <row r="5" spans="1:12" ht="15" thickBot="1" x14ac:dyDescent="0.35">
      <c r="A5" s="19">
        <v>85</v>
      </c>
      <c r="B5" s="20">
        <v>4133.3315970000003</v>
      </c>
      <c r="C5" s="122" t="s">
        <v>304</v>
      </c>
      <c r="D5" s="27">
        <f>+I5</f>
        <v>85</v>
      </c>
      <c r="E5" s="27">
        <f>+J5</f>
        <v>3849.5</v>
      </c>
      <c r="F5" s="65" t="s">
        <v>305</v>
      </c>
      <c r="G5" s="65">
        <v>57451</v>
      </c>
      <c r="H5" s="14"/>
      <c r="I5" s="116">
        <v>85</v>
      </c>
      <c r="J5" s="117">
        <v>3849.5</v>
      </c>
      <c r="K5" s="120">
        <f t="shared" ref="K5:K11" si="0">+A5-D5</f>
        <v>0</v>
      </c>
      <c r="L5" s="32">
        <f t="shared" ref="L5:L6" si="1">(+B5-E5)/B5</f>
        <v>6.8668963604567118E-2</v>
      </c>
    </row>
    <row r="6" spans="1:12" ht="15" thickBot="1" x14ac:dyDescent="0.35">
      <c r="A6" s="23">
        <v>210</v>
      </c>
      <c r="B6" s="24">
        <v>10203.25</v>
      </c>
      <c r="C6" s="123" t="s">
        <v>306</v>
      </c>
      <c r="D6" s="29">
        <f>+I6</f>
        <v>210</v>
      </c>
      <c r="E6" s="29">
        <f>+J6</f>
        <v>10092.900000000001</v>
      </c>
      <c r="F6" s="63" t="s">
        <v>307</v>
      </c>
      <c r="G6" s="63">
        <v>57511</v>
      </c>
      <c r="H6" s="40"/>
      <c r="I6" s="78">
        <v>210</v>
      </c>
      <c r="J6" s="79">
        <v>10092.900000000001</v>
      </c>
      <c r="K6" s="121">
        <f t="shared" si="0"/>
        <v>0</v>
      </c>
      <c r="L6" s="32">
        <f t="shared" si="1"/>
        <v>1.0815181437286997E-2</v>
      </c>
    </row>
    <row r="7" spans="1:12" x14ac:dyDescent="0.3">
      <c r="A7" s="891">
        <v>343</v>
      </c>
      <c r="B7" s="894">
        <v>16111.75</v>
      </c>
      <c r="C7" s="1078" t="s">
        <v>308</v>
      </c>
      <c r="D7" s="905">
        <f>+I7+I8</f>
        <v>342</v>
      </c>
      <c r="E7" s="905">
        <f>+J7+J8</f>
        <v>15411.800000000001</v>
      </c>
      <c r="F7" s="63" t="s">
        <v>309</v>
      </c>
      <c r="G7" s="63">
        <v>57521</v>
      </c>
      <c r="H7" s="40"/>
      <c r="I7" s="78">
        <v>201</v>
      </c>
      <c r="J7" s="79">
        <v>9108.2000000000007</v>
      </c>
      <c r="K7" s="1081">
        <f t="shared" si="0"/>
        <v>1</v>
      </c>
      <c r="L7" s="879">
        <f>((+B7/A7)-(E7/D7))/(B7/A7)</f>
        <v>4.064650067869359E-2</v>
      </c>
    </row>
    <row r="8" spans="1:12" ht="15" thickBot="1" x14ac:dyDescent="0.35">
      <c r="A8" s="893"/>
      <c r="B8" s="896"/>
      <c r="C8" s="1079"/>
      <c r="D8" s="907"/>
      <c r="E8" s="907"/>
      <c r="F8" s="64" t="s">
        <v>309</v>
      </c>
      <c r="G8" s="64">
        <v>57521</v>
      </c>
      <c r="H8" s="43"/>
      <c r="I8" s="102">
        <v>141</v>
      </c>
      <c r="J8" s="103">
        <v>6303.6</v>
      </c>
      <c r="K8" s="1082"/>
      <c r="L8" s="880"/>
    </row>
    <row r="9" spans="1:12" x14ac:dyDescent="0.3">
      <c r="A9" s="892">
        <v>383</v>
      </c>
      <c r="B9" s="895">
        <v>19056.75</v>
      </c>
      <c r="C9" s="1080" t="s">
        <v>310</v>
      </c>
      <c r="D9" s="906">
        <f>+I9+I10</f>
        <v>384</v>
      </c>
      <c r="E9" s="906">
        <f>+J9+J10</f>
        <v>18643.099999999999</v>
      </c>
      <c r="F9" s="66" t="s">
        <v>311</v>
      </c>
      <c r="G9" s="66">
        <v>57541</v>
      </c>
      <c r="I9" s="118">
        <v>201</v>
      </c>
      <c r="J9" s="119">
        <v>10042</v>
      </c>
      <c r="K9" s="1081">
        <f t="shared" si="0"/>
        <v>-1</v>
      </c>
      <c r="L9" s="879">
        <f>((+B9/A9)-(E9/D9))/(B9/A9)</f>
        <v>2.4253859634162964E-2</v>
      </c>
    </row>
    <row r="10" spans="1:12" ht="15" thickBot="1" x14ac:dyDescent="0.35">
      <c r="A10" s="893"/>
      <c r="B10" s="896"/>
      <c r="C10" s="1079"/>
      <c r="D10" s="907"/>
      <c r="E10" s="907"/>
      <c r="F10" s="64" t="s">
        <v>312</v>
      </c>
      <c r="G10" s="64">
        <v>57541</v>
      </c>
      <c r="H10" s="43"/>
      <c r="I10" s="102">
        <v>183</v>
      </c>
      <c r="J10" s="103">
        <v>8601.1</v>
      </c>
      <c r="K10" s="1082"/>
      <c r="L10" s="880"/>
    </row>
    <row r="11" spans="1:12" ht="15" thickBot="1" x14ac:dyDescent="0.35">
      <c r="A11" s="23">
        <v>338</v>
      </c>
      <c r="B11" s="24">
        <v>14489.5</v>
      </c>
      <c r="C11" s="123" t="s">
        <v>313</v>
      </c>
      <c r="D11" s="29">
        <v>336</v>
      </c>
      <c r="E11" s="29">
        <v>13854.9</v>
      </c>
      <c r="F11" s="63" t="s">
        <v>314</v>
      </c>
      <c r="G11" s="63">
        <v>57561</v>
      </c>
      <c r="H11" s="40"/>
      <c r="I11" s="78">
        <v>336</v>
      </c>
      <c r="J11" s="148">
        <v>13854.9</v>
      </c>
      <c r="K11" s="121">
        <f t="shared" si="0"/>
        <v>2</v>
      </c>
      <c r="L11" s="127">
        <f>((+B11/A11)-(E11/D11))/(B11/A11)</f>
        <v>3.8105549338683618E-2</v>
      </c>
    </row>
    <row r="12" spans="1:12" x14ac:dyDescent="0.3">
      <c r="A12" s="891">
        <v>863</v>
      </c>
      <c r="B12" s="894">
        <v>39231.5</v>
      </c>
      <c r="C12" s="1078" t="s">
        <v>315</v>
      </c>
      <c r="D12" s="905">
        <f>+I12+I13+I14</f>
        <v>864</v>
      </c>
      <c r="E12" s="905">
        <f>+J12+J13+J14</f>
        <v>38503.199999999997</v>
      </c>
      <c r="F12" s="63" t="s">
        <v>316</v>
      </c>
      <c r="G12" s="63">
        <v>57621</v>
      </c>
      <c r="H12" s="40"/>
      <c r="I12" s="78">
        <v>356</v>
      </c>
      <c r="J12" s="148">
        <v>15906.699999999999</v>
      </c>
      <c r="K12" s="1081">
        <f>+A12-D12</f>
        <v>-1</v>
      </c>
      <c r="L12" s="879">
        <f>((+B12/A12)-(E12/D12))/(B12/A12)</f>
        <v>1.9700085107347221E-2</v>
      </c>
    </row>
    <row r="13" spans="1:12" x14ac:dyDescent="0.3">
      <c r="A13" s="892"/>
      <c r="B13" s="895"/>
      <c r="C13" s="1080"/>
      <c r="D13" s="906"/>
      <c r="E13" s="906"/>
      <c r="F13" s="66" t="s">
        <v>316</v>
      </c>
      <c r="G13" s="66">
        <v>57621</v>
      </c>
      <c r="I13" s="118">
        <v>208</v>
      </c>
      <c r="J13" s="139">
        <v>9106.5</v>
      </c>
      <c r="K13" s="1083"/>
      <c r="L13" s="885"/>
    </row>
    <row r="14" spans="1:12" ht="15" thickBot="1" x14ac:dyDescent="0.35">
      <c r="A14" s="893"/>
      <c r="B14" s="896"/>
      <c r="C14" s="1079"/>
      <c r="D14" s="907"/>
      <c r="E14" s="907"/>
      <c r="F14" s="64" t="s">
        <v>316</v>
      </c>
      <c r="G14" s="64">
        <v>57621</v>
      </c>
      <c r="H14" s="43"/>
      <c r="I14" s="102">
        <v>300</v>
      </c>
      <c r="J14" s="149">
        <v>13490</v>
      </c>
      <c r="K14" s="1082"/>
      <c r="L14" s="880"/>
    </row>
    <row r="15" spans="1:12" ht="15" thickBot="1" x14ac:dyDescent="0.35">
      <c r="A15" s="19">
        <v>224</v>
      </c>
      <c r="B15" s="20">
        <v>9943.75</v>
      </c>
      <c r="C15" s="122" t="s">
        <v>393</v>
      </c>
      <c r="D15" s="27">
        <f t="shared" ref="D15:E16" si="2">+I15</f>
        <v>224</v>
      </c>
      <c r="E15" s="150">
        <f t="shared" si="2"/>
        <v>9675.7000000000007</v>
      </c>
      <c r="F15" s="65" t="s">
        <v>394</v>
      </c>
      <c r="G15" s="65">
        <v>57641</v>
      </c>
      <c r="H15" s="14"/>
      <c r="I15" s="116">
        <v>224</v>
      </c>
      <c r="J15" s="140">
        <v>9675.7000000000007</v>
      </c>
      <c r="K15" s="151">
        <f t="shared" ref="K15:K17" si="3">+A15-D15</f>
        <v>0</v>
      </c>
      <c r="L15" s="32">
        <f t="shared" ref="L15:L16" si="4">(+B15-E15)/B15</f>
        <v>2.6956631049654234E-2</v>
      </c>
    </row>
    <row r="16" spans="1:12" ht="15" thickBot="1" x14ac:dyDescent="0.35">
      <c r="A16" s="23">
        <v>303</v>
      </c>
      <c r="B16" s="24">
        <v>13135.75</v>
      </c>
      <c r="C16" s="123" t="s">
        <v>395</v>
      </c>
      <c r="D16" s="29">
        <f t="shared" si="2"/>
        <v>303</v>
      </c>
      <c r="E16" s="29">
        <f t="shared" si="2"/>
        <v>12719.2</v>
      </c>
      <c r="F16" s="63" t="s">
        <v>396</v>
      </c>
      <c r="G16" s="63">
        <v>57671</v>
      </c>
      <c r="H16" s="40"/>
      <c r="I16" s="78">
        <v>303</v>
      </c>
      <c r="J16" s="148">
        <v>12719.2</v>
      </c>
      <c r="K16" s="160">
        <f t="shared" si="3"/>
        <v>0</v>
      </c>
      <c r="L16" s="32">
        <f t="shared" si="4"/>
        <v>3.1711169898939857E-2</v>
      </c>
    </row>
    <row r="17" spans="1:12" x14ac:dyDescent="0.3">
      <c r="A17" s="891">
        <v>391</v>
      </c>
      <c r="B17" s="894">
        <v>17823.75</v>
      </c>
      <c r="C17" s="1078" t="s">
        <v>397</v>
      </c>
      <c r="D17" s="905">
        <f>+I17+I18</f>
        <v>356</v>
      </c>
      <c r="E17" s="905">
        <f>+J17+J18</f>
        <v>15803.699999999999</v>
      </c>
      <c r="F17" s="63" t="s">
        <v>398</v>
      </c>
      <c r="G17" s="63">
        <v>57721</v>
      </c>
      <c r="H17" s="40"/>
      <c r="I17" s="78">
        <v>196</v>
      </c>
      <c r="J17" s="148">
        <v>8773.2999999999993</v>
      </c>
      <c r="K17" s="1073">
        <f t="shared" si="3"/>
        <v>35</v>
      </c>
      <c r="L17" s="879">
        <f>((+B17/A17)-(E17/D17))/(B17/A17)</f>
        <v>2.6162589210362755E-2</v>
      </c>
    </row>
    <row r="18" spans="1:12" ht="15" thickBot="1" x14ac:dyDescent="0.35">
      <c r="A18" s="893"/>
      <c r="B18" s="896"/>
      <c r="C18" s="1079"/>
      <c r="D18" s="907"/>
      <c r="E18" s="907"/>
      <c r="F18" s="64" t="s">
        <v>398</v>
      </c>
      <c r="G18" s="64">
        <v>57721</v>
      </c>
      <c r="H18" s="43"/>
      <c r="I18" s="102">
        <v>160</v>
      </c>
      <c r="J18" s="149">
        <v>7030.4</v>
      </c>
      <c r="K18" s="1074"/>
      <c r="L18" s="880"/>
    </row>
    <row r="19" spans="1:12" ht="15" thickBot="1" x14ac:dyDescent="0.35">
      <c r="A19" s="19">
        <v>302</v>
      </c>
      <c r="B19" s="20">
        <v>13169.75</v>
      </c>
      <c r="C19" s="122" t="s">
        <v>473</v>
      </c>
      <c r="D19" s="27">
        <f t="shared" ref="D19:E20" si="5">+I19</f>
        <v>302</v>
      </c>
      <c r="E19" s="27">
        <f t="shared" si="5"/>
        <v>12859.099999999999</v>
      </c>
      <c r="F19" s="65" t="s">
        <v>474</v>
      </c>
      <c r="G19" s="65">
        <v>57771</v>
      </c>
      <c r="H19" s="14"/>
      <c r="I19" s="116">
        <v>302</v>
      </c>
      <c r="J19" s="140">
        <v>12859.099999999999</v>
      </c>
      <c r="K19" s="151">
        <f t="shared" ref="K19:K21" si="6">+A19-D19</f>
        <v>0</v>
      </c>
      <c r="L19" s="32">
        <f t="shared" ref="L19:L23" si="7">(+B19-E19)/B19</f>
        <v>2.3588147079481498E-2</v>
      </c>
    </row>
    <row r="20" spans="1:12" ht="15" thickBot="1" x14ac:dyDescent="0.35">
      <c r="A20" s="19">
        <v>231</v>
      </c>
      <c r="B20" s="20">
        <v>10201.75</v>
      </c>
      <c r="C20" s="122" t="s">
        <v>475</v>
      </c>
      <c r="D20" s="27">
        <f t="shared" si="5"/>
        <v>231</v>
      </c>
      <c r="E20" s="27">
        <f t="shared" si="5"/>
        <v>9941.2000000000007</v>
      </c>
      <c r="F20" s="65" t="s">
        <v>476</v>
      </c>
      <c r="G20" s="65">
        <v>57811</v>
      </c>
      <c r="H20" s="14"/>
      <c r="I20" s="116">
        <v>231</v>
      </c>
      <c r="J20" s="140">
        <v>9941.2000000000007</v>
      </c>
      <c r="K20" s="151">
        <f t="shared" si="6"/>
        <v>0</v>
      </c>
      <c r="L20" s="32">
        <f t="shared" si="7"/>
        <v>2.5539735829637002E-2</v>
      </c>
    </row>
    <row r="21" spans="1:12" x14ac:dyDescent="0.3">
      <c r="A21" s="891">
        <v>155</v>
      </c>
      <c r="B21" s="894">
        <v>7098.5</v>
      </c>
      <c r="C21" s="1078" t="s">
        <v>477</v>
      </c>
      <c r="D21" s="905">
        <f>+I21+I22</f>
        <v>155</v>
      </c>
      <c r="E21" s="905">
        <f>+J21+J22</f>
        <v>6914.3</v>
      </c>
      <c r="F21" s="63" t="s">
        <v>478</v>
      </c>
      <c r="G21" s="63">
        <v>57851</v>
      </c>
      <c r="H21" s="40"/>
      <c r="I21" s="78">
        <v>100</v>
      </c>
      <c r="J21" s="148">
        <v>4519.1000000000004</v>
      </c>
      <c r="K21" s="1073">
        <f t="shared" si="6"/>
        <v>0</v>
      </c>
      <c r="L21" s="879">
        <f t="shared" si="7"/>
        <v>2.5949144185391255E-2</v>
      </c>
    </row>
    <row r="22" spans="1:12" ht="15" thickBot="1" x14ac:dyDescent="0.35">
      <c r="A22" s="893"/>
      <c r="B22" s="896"/>
      <c r="C22" s="1079"/>
      <c r="D22" s="907"/>
      <c r="E22" s="907"/>
      <c r="F22" s="64" t="s">
        <v>478</v>
      </c>
      <c r="G22" s="64">
        <v>57851</v>
      </c>
      <c r="H22" s="43"/>
      <c r="I22" s="102">
        <v>55</v>
      </c>
      <c r="J22" s="149">
        <v>2395.1999999999998</v>
      </c>
      <c r="K22" s="1074"/>
      <c r="L22" s="880"/>
    </row>
    <row r="23" spans="1:12" ht="15" thickBot="1" x14ac:dyDescent="0.35">
      <c r="A23" s="19">
        <v>425</v>
      </c>
      <c r="B23" s="20">
        <v>18957.25</v>
      </c>
      <c r="C23" s="122" t="s">
        <v>479</v>
      </c>
      <c r="D23" s="27">
        <f>+I23</f>
        <v>425</v>
      </c>
      <c r="E23" s="27">
        <f>+J23</f>
        <v>18548</v>
      </c>
      <c r="F23" s="65" t="s">
        <v>480</v>
      </c>
      <c r="G23" s="65">
        <v>57891</v>
      </c>
      <c r="H23" s="14"/>
      <c r="I23" s="116">
        <v>425</v>
      </c>
      <c r="J23" s="140">
        <v>18548</v>
      </c>
      <c r="K23" s="151">
        <f>+A23-D23</f>
        <v>0</v>
      </c>
      <c r="L23" s="32">
        <f t="shared" si="7"/>
        <v>2.1588046789486871E-2</v>
      </c>
    </row>
    <row r="24" spans="1:12" ht="15" thickBot="1" x14ac:dyDescent="0.35">
      <c r="A24" s="19">
        <v>607</v>
      </c>
      <c r="B24" s="20">
        <v>28843.75</v>
      </c>
      <c r="C24" s="122" t="s">
        <v>555</v>
      </c>
      <c r="D24" s="27">
        <f t="shared" ref="D24" si="8">+I24</f>
        <v>604</v>
      </c>
      <c r="E24" s="27">
        <f t="shared" ref="E24" si="9">+J24</f>
        <v>27871</v>
      </c>
      <c r="F24" s="65" t="s">
        <v>557</v>
      </c>
      <c r="G24" s="65">
        <v>57911</v>
      </c>
      <c r="H24" s="14"/>
      <c r="I24" s="116">
        <v>604</v>
      </c>
      <c r="J24" s="140">
        <v>27871</v>
      </c>
      <c r="K24" s="151">
        <f t="shared" ref="K24:K25" si="10">+A24-D24</f>
        <v>3</v>
      </c>
      <c r="L24" s="138">
        <f t="shared" ref="L24:L26" si="11">((+B24/A24)-(E24/D24))/(B24/A24)</f>
        <v>2.8925430320076297E-2</v>
      </c>
    </row>
    <row r="25" spans="1:12" ht="15" thickBot="1" x14ac:dyDescent="0.35">
      <c r="A25" s="19">
        <v>648</v>
      </c>
      <c r="B25" s="20">
        <v>29861.75</v>
      </c>
      <c r="C25" s="122" t="s">
        <v>556</v>
      </c>
      <c r="D25" s="27">
        <v>640</v>
      </c>
      <c r="E25" s="27">
        <v>29501.5</v>
      </c>
      <c r="F25" s="65" t="s">
        <v>558</v>
      </c>
      <c r="G25" s="65">
        <v>57951</v>
      </c>
      <c r="H25" s="14"/>
      <c r="I25" s="116">
        <v>540</v>
      </c>
      <c r="J25" s="140">
        <v>24801.9</v>
      </c>
      <c r="K25" s="151">
        <f t="shared" si="10"/>
        <v>8</v>
      </c>
      <c r="L25" s="138">
        <f t="shared" si="11"/>
        <v>-2.8527296625287826E-4</v>
      </c>
    </row>
    <row r="26" spans="1:12" ht="15" thickBot="1" x14ac:dyDescent="0.35">
      <c r="A26" s="19">
        <v>417</v>
      </c>
      <c r="B26" s="20">
        <v>18679</v>
      </c>
      <c r="C26" s="122" t="s">
        <v>858</v>
      </c>
      <c r="D26" s="27">
        <v>416</v>
      </c>
      <c r="E26" s="27">
        <v>18518.900000000001</v>
      </c>
      <c r="F26" s="65" t="s">
        <v>553</v>
      </c>
      <c r="G26" s="65">
        <v>57951</v>
      </c>
      <c r="H26" s="14"/>
      <c r="I26" s="116">
        <v>540</v>
      </c>
      <c r="J26" s="140">
        <v>24801.9</v>
      </c>
      <c r="K26" s="151">
        <f t="shared" ref="K26" si="12">+A26-D26</f>
        <v>1</v>
      </c>
      <c r="L26" s="138">
        <f t="shared" si="11"/>
        <v>6.1878801574783539E-3</v>
      </c>
    </row>
    <row r="27" spans="1:12" ht="15" thickBot="1" x14ac:dyDescent="0.35">
      <c r="A27" s="175">
        <v>322</v>
      </c>
      <c r="B27" s="8">
        <v>14703.75</v>
      </c>
      <c r="C27" s="189" t="s">
        <v>918</v>
      </c>
      <c r="D27" s="8">
        <v>321</v>
      </c>
      <c r="E27" s="8">
        <v>14493.8</v>
      </c>
      <c r="F27" s="45" t="s">
        <v>919</v>
      </c>
      <c r="G27" s="45">
        <v>58161</v>
      </c>
      <c r="H27" s="14"/>
      <c r="I27" s="116">
        <v>140</v>
      </c>
      <c r="J27" s="117">
        <v>6217.8</v>
      </c>
      <c r="K27" s="151">
        <f t="shared" ref="K27:K28" si="13">+A27-D27</f>
        <v>1</v>
      </c>
      <c r="L27" s="138">
        <f t="shared" ref="L27" si="14">((+B27/A27)-(E27/D27))/(B27/A27)</f>
        <v>1.1207887448976073E-2</v>
      </c>
    </row>
    <row r="28" spans="1:12" x14ac:dyDescent="0.3">
      <c r="A28" s="1076">
        <v>279</v>
      </c>
      <c r="B28" s="1076">
        <v>11875</v>
      </c>
      <c r="C28" s="1076" t="s">
        <v>1007</v>
      </c>
      <c r="D28" s="873">
        <f>+I28+I29</f>
        <v>279</v>
      </c>
      <c r="E28" s="873">
        <f>+J28+J29</f>
        <v>11427.099999999999</v>
      </c>
      <c r="F28" s="39" t="s">
        <v>1008</v>
      </c>
      <c r="G28" s="39">
        <v>58211</v>
      </c>
      <c r="H28" s="40"/>
      <c r="I28" s="78">
        <v>120</v>
      </c>
      <c r="J28" s="79">
        <v>4986.7</v>
      </c>
      <c r="K28" s="1073">
        <f t="shared" si="13"/>
        <v>0</v>
      </c>
      <c r="L28" s="879">
        <f t="shared" ref="L28" si="15">(+B28-E28)/B28</f>
        <v>3.7717894736842228E-2</v>
      </c>
    </row>
    <row r="29" spans="1:12" ht="15" thickBot="1" x14ac:dyDescent="0.35">
      <c r="A29" s="1077"/>
      <c r="B29" s="1077"/>
      <c r="C29" s="1077"/>
      <c r="D29" s="874"/>
      <c r="E29" s="874"/>
      <c r="F29" s="42" t="s">
        <v>1008</v>
      </c>
      <c r="G29" s="42">
        <v>58211</v>
      </c>
      <c r="H29" s="43"/>
      <c r="I29" s="102">
        <v>159</v>
      </c>
      <c r="J29" s="103">
        <v>6440.4</v>
      </c>
      <c r="K29" s="1074"/>
      <c r="L29" s="880"/>
    </row>
    <row r="30" spans="1:12" x14ac:dyDescent="0.3">
      <c r="A30" s="871">
        <v>388</v>
      </c>
      <c r="B30" s="873">
        <v>15881.25</v>
      </c>
      <c r="C30" s="1076" t="s">
        <v>1009</v>
      </c>
      <c r="D30" s="873">
        <f>+I30+I31</f>
        <v>388</v>
      </c>
      <c r="E30" s="873">
        <f>+J30+J31</f>
        <v>15720.4</v>
      </c>
      <c r="F30" s="39" t="s">
        <v>1010</v>
      </c>
      <c r="G30" s="39">
        <v>58251</v>
      </c>
      <c r="H30" s="40"/>
      <c r="I30" s="78">
        <v>41</v>
      </c>
      <c r="J30" s="79">
        <v>1594.4</v>
      </c>
      <c r="K30" s="1073">
        <f t="shared" ref="K30" si="16">+A30-D30</f>
        <v>0</v>
      </c>
      <c r="L30" s="879">
        <f t="shared" ref="L30" si="17">(+B30-E30)/B30</f>
        <v>1.0128295946477787E-2</v>
      </c>
    </row>
    <row r="31" spans="1:12" ht="15" thickBot="1" x14ac:dyDescent="0.35">
      <c r="A31" s="872"/>
      <c r="B31" s="874"/>
      <c r="C31" s="1077"/>
      <c r="D31" s="874"/>
      <c r="E31" s="874"/>
      <c r="F31" s="42" t="s">
        <v>1010</v>
      </c>
      <c r="G31" s="42">
        <v>58251</v>
      </c>
      <c r="H31" s="43"/>
      <c r="I31" s="102">
        <v>347</v>
      </c>
      <c r="J31" s="103">
        <v>14126</v>
      </c>
      <c r="K31" s="1074"/>
      <c r="L31" s="880"/>
    </row>
    <row r="32" spans="1:12" x14ac:dyDescent="0.3">
      <c r="A32" s="871">
        <v>538</v>
      </c>
      <c r="B32" s="873">
        <v>28748.25</v>
      </c>
      <c r="C32" s="1076" t="s">
        <v>1080</v>
      </c>
      <c r="D32" s="873">
        <f>+I32+I35+I33+I34</f>
        <v>539</v>
      </c>
      <c r="E32" s="873">
        <f>+J32+J35+J33+J34</f>
        <v>27188.6</v>
      </c>
      <c r="F32" s="39" t="s">
        <v>1081</v>
      </c>
      <c r="G32" s="39">
        <v>58301</v>
      </c>
      <c r="H32" s="40"/>
      <c r="I32" s="78">
        <v>200</v>
      </c>
      <c r="J32" s="79">
        <v>9954.7999999999993</v>
      </c>
      <c r="K32" s="1073">
        <f t="shared" ref="K32" si="18">+A32-D32</f>
        <v>-1</v>
      </c>
      <c r="L32" s="879">
        <f t="shared" ref="L32" si="19">((+B32/A32)-(E32/D32))/(B32/A32)</f>
        <v>5.6006632459857639E-2</v>
      </c>
    </row>
    <row r="33" spans="1:12" x14ac:dyDescent="0.3">
      <c r="A33" s="875"/>
      <c r="B33" s="881"/>
      <c r="C33" s="1087"/>
      <c r="D33" s="881"/>
      <c r="E33" s="881"/>
      <c r="F33" s="50" t="s">
        <v>1081</v>
      </c>
      <c r="G33" s="50">
        <v>58301</v>
      </c>
      <c r="I33" s="118">
        <v>87</v>
      </c>
      <c r="J33" s="119">
        <v>4345.6000000000004</v>
      </c>
      <c r="K33" s="1075"/>
      <c r="L33" s="885"/>
    </row>
    <row r="34" spans="1:12" x14ac:dyDescent="0.3">
      <c r="A34" s="875"/>
      <c r="B34" s="881"/>
      <c r="C34" s="1087"/>
      <c r="D34" s="881"/>
      <c r="E34" s="881"/>
      <c r="F34" s="50" t="s">
        <v>1081</v>
      </c>
      <c r="G34" s="50">
        <v>58301</v>
      </c>
      <c r="I34" s="118">
        <v>52</v>
      </c>
      <c r="J34" s="119">
        <v>2559.9</v>
      </c>
      <c r="K34" s="1075"/>
      <c r="L34" s="885"/>
    </row>
    <row r="35" spans="1:12" ht="15" thickBot="1" x14ac:dyDescent="0.35">
      <c r="A35" s="872"/>
      <c r="B35" s="874"/>
      <c r="C35" s="1077"/>
      <c r="D35" s="874"/>
      <c r="E35" s="874"/>
      <c r="F35" s="42" t="s">
        <v>1081</v>
      </c>
      <c r="G35" s="42">
        <v>58301</v>
      </c>
      <c r="H35" s="43"/>
      <c r="I35" s="102">
        <v>200</v>
      </c>
      <c r="J35" s="103">
        <v>10328.299999999999</v>
      </c>
      <c r="K35" s="1074"/>
      <c r="L35" s="880"/>
    </row>
    <row r="36" spans="1:12" ht="15" thickBot="1" x14ac:dyDescent="0.35">
      <c r="A36" s="199">
        <v>122</v>
      </c>
      <c r="B36" s="10">
        <v>6454.75</v>
      </c>
      <c r="C36" s="200" t="s">
        <v>1077</v>
      </c>
      <c r="D36" s="10">
        <f>+I36</f>
        <v>121</v>
      </c>
      <c r="E36" s="10">
        <f>+J36</f>
        <v>6028.6</v>
      </c>
      <c r="F36" s="42" t="s">
        <v>1078</v>
      </c>
      <c r="G36" s="42">
        <v>58331</v>
      </c>
      <c r="H36" s="43"/>
      <c r="I36" s="102">
        <v>121</v>
      </c>
      <c r="J36" s="103">
        <v>6028.6</v>
      </c>
      <c r="K36" s="151">
        <f t="shared" ref="K36:K40" si="20">+A36-D36</f>
        <v>1</v>
      </c>
      <c r="L36" s="138">
        <f t="shared" ref="L36:L40" si="21">((+B36/A36)-(E36/D36))/(B36/A36)</f>
        <v>5.8302313723092698E-2</v>
      </c>
    </row>
    <row r="37" spans="1:12" ht="15" thickBot="1" x14ac:dyDescent="0.35">
      <c r="A37" s="174">
        <v>85</v>
      </c>
      <c r="B37" s="12">
        <v>5125</v>
      </c>
      <c r="C37" s="223" t="s">
        <v>1216</v>
      </c>
      <c r="D37" s="15">
        <f>+I37</f>
        <v>85</v>
      </c>
      <c r="E37" s="15">
        <f>+J37</f>
        <v>4809</v>
      </c>
      <c r="F37" s="39" t="s">
        <v>1217</v>
      </c>
      <c r="G37" s="39">
        <v>58351</v>
      </c>
      <c r="H37" s="40"/>
      <c r="I37" s="78">
        <v>85</v>
      </c>
      <c r="J37" s="79">
        <v>4809</v>
      </c>
      <c r="K37" s="151">
        <f t="shared" si="20"/>
        <v>0</v>
      </c>
      <c r="L37" s="32">
        <f t="shared" ref="L37:L38" si="22">(+B37-E37)/B37</f>
        <v>6.1658536585365853E-2</v>
      </c>
    </row>
    <row r="38" spans="1:12" x14ac:dyDescent="0.3">
      <c r="A38" s="1076">
        <v>233</v>
      </c>
      <c r="B38" s="1076">
        <v>12781.25</v>
      </c>
      <c r="C38" s="1076" t="s">
        <v>1218</v>
      </c>
      <c r="D38" s="873">
        <v>233</v>
      </c>
      <c r="E38" s="873">
        <v>12099</v>
      </c>
      <c r="F38" s="39" t="s">
        <v>1219</v>
      </c>
      <c r="G38" s="39">
        <v>58371</v>
      </c>
      <c r="H38" s="40"/>
      <c r="I38" s="78">
        <v>100</v>
      </c>
      <c r="J38" s="79">
        <v>5115.2</v>
      </c>
      <c r="K38" s="1073">
        <f t="shared" si="20"/>
        <v>0</v>
      </c>
      <c r="L38" s="879">
        <f t="shared" si="22"/>
        <v>5.3378973105134474E-2</v>
      </c>
    </row>
    <row r="39" spans="1:12" ht="15" thickBot="1" x14ac:dyDescent="0.35">
      <c r="A39" s="1087"/>
      <c r="B39" s="1087"/>
      <c r="C39" s="1087"/>
      <c r="D39" s="881"/>
      <c r="E39" s="881"/>
      <c r="F39" s="50" t="s">
        <v>1219</v>
      </c>
      <c r="G39" s="50">
        <v>58371</v>
      </c>
      <c r="I39" s="118">
        <v>116</v>
      </c>
      <c r="J39" s="119">
        <v>6156.8</v>
      </c>
      <c r="K39" s="1074"/>
      <c r="L39" s="880"/>
    </row>
    <row r="40" spans="1:12" x14ac:dyDescent="0.3">
      <c r="A40" s="871">
        <v>564</v>
      </c>
      <c r="B40" s="873">
        <v>26841</v>
      </c>
      <c r="C40" s="1076" t="s">
        <v>1220</v>
      </c>
      <c r="D40" s="873">
        <v>567</v>
      </c>
      <c r="E40" s="873">
        <v>26577</v>
      </c>
      <c r="F40" s="39" t="s">
        <v>1221</v>
      </c>
      <c r="G40" s="39">
        <v>58391</v>
      </c>
      <c r="H40" s="40"/>
      <c r="I40" s="78">
        <v>139</v>
      </c>
      <c r="J40" s="79">
        <v>6211</v>
      </c>
      <c r="K40" s="1073">
        <f t="shared" si="20"/>
        <v>-3</v>
      </c>
      <c r="L40" s="879">
        <f t="shared" si="21"/>
        <v>1.5074663671958892E-2</v>
      </c>
    </row>
    <row r="41" spans="1:12" ht="15" thickBot="1" x14ac:dyDescent="0.35">
      <c r="A41" s="872"/>
      <c r="B41" s="874"/>
      <c r="C41" s="1077"/>
      <c r="D41" s="874"/>
      <c r="E41" s="874"/>
      <c r="F41" s="42" t="s">
        <v>1221</v>
      </c>
      <c r="G41" s="42">
        <v>58391</v>
      </c>
      <c r="H41" s="43"/>
      <c r="I41" s="102">
        <v>162</v>
      </c>
      <c r="J41" s="103">
        <v>7425.5</v>
      </c>
      <c r="K41" s="1074"/>
      <c r="L41" s="880"/>
    </row>
    <row r="42" spans="1:12" ht="15" thickBot="1" x14ac:dyDescent="0.35">
      <c r="A42" s="239">
        <v>289</v>
      </c>
      <c r="B42" s="238">
        <v>15256.75</v>
      </c>
      <c r="C42" s="238" t="s">
        <v>1458</v>
      </c>
      <c r="D42" s="8">
        <f>275+14</f>
        <v>289</v>
      </c>
      <c r="E42" s="8">
        <f>14161.8+611.5</f>
        <v>14773.3</v>
      </c>
      <c r="F42" s="45" t="s">
        <v>1457</v>
      </c>
      <c r="G42" s="45">
        <v>58431</v>
      </c>
      <c r="H42" s="14"/>
      <c r="I42" s="116">
        <v>146</v>
      </c>
      <c r="J42" s="117">
        <v>7591.7</v>
      </c>
      <c r="K42" s="151">
        <f t="shared" ref="K42:K44" si="23">+A42-D42</f>
        <v>0</v>
      </c>
      <c r="L42" s="53">
        <f t="shared" ref="L42:L43" si="24">(+B42-E42)/B42</f>
        <v>3.1687613679191227E-2</v>
      </c>
    </row>
    <row r="43" spans="1:12" ht="15" thickBot="1" x14ac:dyDescent="0.35">
      <c r="A43" s="175">
        <v>237</v>
      </c>
      <c r="B43" s="8">
        <v>12440.5</v>
      </c>
      <c r="C43" s="8" t="s">
        <v>1456</v>
      </c>
      <c r="D43" s="8">
        <f>+I43</f>
        <v>237</v>
      </c>
      <c r="E43" s="8">
        <f>+J43</f>
        <v>11964.599999999999</v>
      </c>
      <c r="F43" s="45" t="s">
        <v>1455</v>
      </c>
      <c r="G43" s="45">
        <v>58471</v>
      </c>
      <c r="H43" s="14"/>
      <c r="I43" s="116">
        <v>237</v>
      </c>
      <c r="J43" s="117">
        <v>11964.599999999999</v>
      </c>
      <c r="K43" s="151">
        <f t="shared" si="23"/>
        <v>0</v>
      </c>
      <c r="L43" s="53">
        <f t="shared" si="24"/>
        <v>3.8254089465857601E-2</v>
      </c>
    </row>
    <row r="44" spans="1:12" ht="15" thickBot="1" x14ac:dyDescent="0.35">
      <c r="A44" s="175">
        <v>272</v>
      </c>
      <c r="B44" s="8">
        <v>14322.75</v>
      </c>
      <c r="C44" s="8" t="s">
        <v>1634</v>
      </c>
      <c r="D44" s="8">
        <v>274</v>
      </c>
      <c r="E44" s="8">
        <v>13704.8</v>
      </c>
      <c r="F44" s="45" t="s">
        <v>1635</v>
      </c>
      <c r="G44" s="45">
        <v>58481</v>
      </c>
      <c r="H44" s="14"/>
      <c r="I44" s="116">
        <v>184</v>
      </c>
      <c r="J44" s="248">
        <v>9246.5999999999985</v>
      </c>
      <c r="K44" s="151">
        <f t="shared" si="23"/>
        <v>-2</v>
      </c>
      <c r="L44" s="138">
        <f t="shared" ref="L44" si="25">((+B44/A44)-(E44/D44))/(B44/A44)</f>
        <v>5.0128993140029054E-2</v>
      </c>
    </row>
    <row r="45" spans="1:12" x14ac:dyDescent="0.3">
      <c r="A45" s="873">
        <v>698</v>
      </c>
      <c r="B45" s="873">
        <v>34801.5</v>
      </c>
      <c r="C45" s="873" t="s">
        <v>1737</v>
      </c>
      <c r="D45" s="873">
        <f>+I45+I46+I47</f>
        <v>698</v>
      </c>
      <c r="E45" s="873">
        <f>+J45+J46+J47</f>
        <v>33597</v>
      </c>
      <c r="F45" s="39" t="s">
        <v>1738</v>
      </c>
      <c r="G45" s="39">
        <v>58571</v>
      </c>
      <c r="H45" s="40"/>
      <c r="I45" s="78">
        <v>121</v>
      </c>
      <c r="J45" s="79">
        <v>5844.3</v>
      </c>
      <c r="K45" s="1073">
        <f t="shared" ref="K45" si="26">+A45-D45</f>
        <v>0</v>
      </c>
      <c r="L45" s="879">
        <f t="shared" ref="L45" si="27">(+B45-E45)/B45</f>
        <v>3.4610577130296111E-2</v>
      </c>
    </row>
    <row r="46" spans="1:12" x14ac:dyDescent="0.3">
      <c r="A46" s="881"/>
      <c r="B46" s="881"/>
      <c r="C46" s="881"/>
      <c r="D46" s="881"/>
      <c r="E46" s="881"/>
      <c r="F46" s="50" t="s">
        <v>1738</v>
      </c>
      <c r="G46" s="50">
        <v>58571</v>
      </c>
      <c r="I46" s="118">
        <v>277</v>
      </c>
      <c r="J46" s="119">
        <v>13365.900000000001</v>
      </c>
      <c r="K46" s="1075"/>
      <c r="L46" s="885"/>
    </row>
    <row r="47" spans="1:12" ht="15" thickBot="1" x14ac:dyDescent="0.35">
      <c r="A47" s="874"/>
      <c r="B47" s="874"/>
      <c r="C47" s="874"/>
      <c r="D47" s="874"/>
      <c r="E47" s="874"/>
      <c r="F47" s="42" t="s">
        <v>1738</v>
      </c>
      <c r="G47" s="42">
        <v>58571</v>
      </c>
      <c r="H47" s="43"/>
      <c r="I47" s="102">
        <v>300</v>
      </c>
      <c r="J47" s="103">
        <v>14386.8</v>
      </c>
      <c r="K47" s="1074"/>
      <c r="L47" s="880"/>
    </row>
    <row r="48" spans="1:12" x14ac:dyDescent="0.3">
      <c r="A48" s="871">
        <v>414</v>
      </c>
      <c r="B48" s="873">
        <v>17167.25</v>
      </c>
      <c r="C48" s="873" t="s">
        <v>1826</v>
      </c>
      <c r="D48" s="873">
        <f>+I48+I49</f>
        <v>409</v>
      </c>
      <c r="E48" s="873">
        <f>+J48+J49</f>
        <v>16638.5</v>
      </c>
      <c r="F48" s="39" t="s">
        <v>1827</v>
      </c>
      <c r="G48" s="39">
        <v>58651</v>
      </c>
      <c r="H48" s="40"/>
      <c r="I48" s="78">
        <v>303</v>
      </c>
      <c r="J48" s="79">
        <v>12318.5</v>
      </c>
      <c r="K48" s="1073">
        <f t="shared" ref="K48" si="28">+A48-D48</f>
        <v>5</v>
      </c>
      <c r="L48" s="879">
        <f t="shared" ref="L48" si="29">((+B48/A48)-(E48/D48))/(B48/A48)</f>
        <v>1.8951512590731065E-2</v>
      </c>
    </row>
    <row r="49" spans="1:12" ht="15" thickBot="1" x14ac:dyDescent="0.35">
      <c r="A49" s="872"/>
      <c r="B49" s="874"/>
      <c r="C49" s="874"/>
      <c r="D49" s="874"/>
      <c r="E49" s="874"/>
      <c r="F49" s="42" t="s">
        <v>1827</v>
      </c>
      <c r="G49" s="42">
        <v>58651</v>
      </c>
      <c r="H49" s="43"/>
      <c r="I49" s="102">
        <v>106</v>
      </c>
      <c r="J49" s="103">
        <v>4320</v>
      </c>
      <c r="K49" s="1074"/>
      <c r="L49" s="880"/>
    </row>
    <row r="50" spans="1:12" ht="15" thickBot="1" x14ac:dyDescent="0.35">
      <c r="A50" s="15">
        <v>424</v>
      </c>
      <c r="B50" s="15">
        <v>20598.849999999999</v>
      </c>
      <c r="C50" s="15" t="s">
        <v>2092</v>
      </c>
      <c r="D50" s="15">
        <f>+I50+300</f>
        <v>424</v>
      </c>
      <c r="E50" s="260">
        <f>+J50+14206.2</f>
        <v>20065.900000000001</v>
      </c>
      <c r="F50" s="50" t="s">
        <v>2093</v>
      </c>
      <c r="G50" s="50">
        <v>58751</v>
      </c>
      <c r="I50" s="118">
        <v>124</v>
      </c>
      <c r="J50" s="139">
        <v>5859.7</v>
      </c>
      <c r="K50" s="151">
        <f t="shared" ref="K50:K57" si="30">+A50-D50</f>
        <v>0</v>
      </c>
      <c r="L50" s="53">
        <f t="shared" ref="L50:L54" si="31">(+B50-E50)/B50</f>
        <v>2.5872803578840427E-2</v>
      </c>
    </row>
    <row r="51" spans="1:12" ht="15" thickBot="1" x14ac:dyDescent="0.35">
      <c r="A51" s="175">
        <v>246</v>
      </c>
      <c r="B51" s="8">
        <v>12689.75</v>
      </c>
      <c r="C51" s="8" t="s">
        <v>2094</v>
      </c>
      <c r="D51" s="8">
        <f>+I51</f>
        <v>246</v>
      </c>
      <c r="E51" s="8">
        <f>+J51</f>
        <v>12400</v>
      </c>
      <c r="F51" s="45" t="s">
        <v>2095</v>
      </c>
      <c r="G51" s="45">
        <v>58781</v>
      </c>
      <c r="H51" s="14"/>
      <c r="I51" s="116">
        <v>246</v>
      </c>
      <c r="J51" s="117">
        <v>12400</v>
      </c>
      <c r="K51" s="151">
        <f t="shared" si="30"/>
        <v>0</v>
      </c>
      <c r="L51" s="53">
        <f t="shared" si="31"/>
        <v>2.2833389152662583E-2</v>
      </c>
    </row>
    <row r="52" spans="1:12" ht="15" thickBot="1" x14ac:dyDescent="0.35">
      <c r="A52" s="175">
        <v>267</v>
      </c>
      <c r="B52" s="8">
        <v>13223.75</v>
      </c>
      <c r="C52" s="8" t="s">
        <v>2236</v>
      </c>
      <c r="D52" s="8">
        <f t="shared" ref="D52:E54" si="32">+I52</f>
        <v>265</v>
      </c>
      <c r="E52" s="8">
        <f t="shared" si="32"/>
        <v>12482.5</v>
      </c>
      <c r="F52" s="45" t="s">
        <v>2237</v>
      </c>
      <c r="G52" s="45">
        <v>58821</v>
      </c>
      <c r="H52" s="14"/>
      <c r="I52" s="116">
        <v>265</v>
      </c>
      <c r="J52" s="117">
        <v>12482.5</v>
      </c>
      <c r="K52" s="151">
        <f t="shared" si="30"/>
        <v>2</v>
      </c>
      <c r="L52" s="138">
        <f t="shared" ref="L52" si="33">((+B52/A52)-(E52/D52))/(B52/A52)</f>
        <v>4.8930330112879353E-2</v>
      </c>
    </row>
    <row r="53" spans="1:12" ht="15" thickBot="1" x14ac:dyDescent="0.35">
      <c r="A53" s="175">
        <v>121</v>
      </c>
      <c r="B53" s="8">
        <v>4056.25</v>
      </c>
      <c r="C53" s="8" t="s">
        <v>3272</v>
      </c>
      <c r="D53" s="8">
        <f t="shared" si="32"/>
        <v>121</v>
      </c>
      <c r="E53" s="8">
        <f t="shared" si="32"/>
        <v>3955.7</v>
      </c>
      <c r="F53" s="45" t="s">
        <v>2238</v>
      </c>
      <c r="G53" s="45">
        <v>58981</v>
      </c>
      <c r="H53" s="14"/>
      <c r="I53" s="116">
        <v>121</v>
      </c>
      <c r="J53" s="117">
        <v>3955.7</v>
      </c>
      <c r="K53" s="151">
        <f t="shared" si="30"/>
        <v>0</v>
      </c>
      <c r="L53" s="53">
        <f t="shared" si="31"/>
        <v>2.4788906009245038E-2</v>
      </c>
    </row>
    <row r="54" spans="1:12" ht="15" thickBot="1" x14ac:dyDescent="0.35">
      <c r="A54" s="175">
        <v>117</v>
      </c>
      <c r="B54" s="8">
        <v>3896.75</v>
      </c>
      <c r="C54" s="8" t="s">
        <v>3273</v>
      </c>
      <c r="D54" s="8">
        <f t="shared" si="32"/>
        <v>117</v>
      </c>
      <c r="E54" s="8">
        <f t="shared" si="32"/>
        <v>3823.5</v>
      </c>
      <c r="F54" s="45" t="s">
        <v>2239</v>
      </c>
      <c r="G54" s="45">
        <v>58991</v>
      </c>
      <c r="H54" s="14"/>
      <c r="I54" s="116">
        <v>117</v>
      </c>
      <c r="J54" s="117">
        <v>3823.5</v>
      </c>
      <c r="K54" s="151">
        <f t="shared" si="30"/>
        <v>0</v>
      </c>
      <c r="L54" s="53">
        <f t="shared" si="31"/>
        <v>1.8797716045422467E-2</v>
      </c>
    </row>
    <row r="55" spans="1:12" x14ac:dyDescent="0.3">
      <c r="A55" s="871">
        <v>179</v>
      </c>
      <c r="B55" s="873">
        <v>9528</v>
      </c>
      <c r="C55" s="873" t="s">
        <v>2410</v>
      </c>
      <c r="D55" s="873">
        <f>+I55+I56</f>
        <v>180</v>
      </c>
      <c r="E55" s="873">
        <f>+J55+J56</f>
        <v>9036.2000000000007</v>
      </c>
      <c r="F55" s="39" t="s">
        <v>2411</v>
      </c>
      <c r="G55" s="39">
        <v>59021</v>
      </c>
      <c r="H55" s="40"/>
      <c r="I55" s="78">
        <v>100</v>
      </c>
      <c r="J55" s="79">
        <v>5043.1000000000004</v>
      </c>
      <c r="K55" s="1073">
        <f t="shared" si="30"/>
        <v>-1</v>
      </c>
      <c r="L55" s="879">
        <f t="shared" ref="L55" si="34">((+B55/A55)-(E55/D55))/(B55/A55)</f>
        <v>5.6885087228286037E-2</v>
      </c>
    </row>
    <row r="56" spans="1:12" ht="15" thickBot="1" x14ac:dyDescent="0.35">
      <c r="A56" s="872"/>
      <c r="B56" s="874"/>
      <c r="C56" s="874"/>
      <c r="D56" s="874"/>
      <c r="E56" s="874"/>
      <c r="F56" s="42" t="s">
        <v>2411</v>
      </c>
      <c r="G56" s="42">
        <v>59021</v>
      </c>
      <c r="H56" s="43"/>
      <c r="I56" s="102">
        <v>80</v>
      </c>
      <c r="J56" s="103">
        <v>3993.1</v>
      </c>
      <c r="K56" s="1074"/>
      <c r="L56" s="880"/>
    </row>
    <row r="57" spans="1:12" ht="15" thickBot="1" x14ac:dyDescent="0.35">
      <c r="A57" s="175">
        <v>76</v>
      </c>
      <c r="B57" s="8">
        <v>3597.75</v>
      </c>
      <c r="C57" s="8" t="s">
        <v>2412</v>
      </c>
      <c r="D57" s="8">
        <f>+I57</f>
        <v>76</v>
      </c>
      <c r="E57" s="8">
        <f>+J57</f>
        <v>3395.9</v>
      </c>
      <c r="F57" s="45" t="s">
        <v>2413</v>
      </c>
      <c r="G57" s="45">
        <v>59031</v>
      </c>
      <c r="H57" s="14"/>
      <c r="I57" s="116">
        <v>76</v>
      </c>
      <c r="J57" s="117">
        <v>3395.9</v>
      </c>
      <c r="K57" s="151">
        <f t="shared" si="30"/>
        <v>0</v>
      </c>
      <c r="L57" s="53">
        <f t="shared" ref="L57" si="35">(+B57-E57)/B57</f>
        <v>5.6104509763046324E-2</v>
      </c>
    </row>
    <row r="58" spans="1:12" x14ac:dyDescent="0.3">
      <c r="A58" s="871">
        <v>342</v>
      </c>
      <c r="B58" s="873">
        <v>17143.75</v>
      </c>
      <c r="C58" s="873" t="s">
        <v>2414</v>
      </c>
      <c r="D58" s="873">
        <f>+I58+I59</f>
        <v>342</v>
      </c>
      <c r="E58" s="873">
        <f>+J58+J59</f>
        <v>16180.9</v>
      </c>
      <c r="F58" s="39" t="s">
        <v>2415</v>
      </c>
      <c r="G58" s="39">
        <v>59111</v>
      </c>
      <c r="H58" s="40"/>
      <c r="I58" s="78">
        <v>200</v>
      </c>
      <c r="J58" s="79">
        <v>9175.4</v>
      </c>
      <c r="K58" s="1073">
        <f t="shared" ref="K58" si="36">+A58-D58</f>
        <v>0</v>
      </c>
      <c r="L58" s="879">
        <f t="shared" ref="L58" si="37">(+B58-E58)/B58</f>
        <v>5.6163324826831958E-2</v>
      </c>
    </row>
    <row r="59" spans="1:12" ht="15" thickBot="1" x14ac:dyDescent="0.35">
      <c r="A59" s="872"/>
      <c r="B59" s="874"/>
      <c r="C59" s="874"/>
      <c r="D59" s="874"/>
      <c r="E59" s="874"/>
      <c r="F59" s="42" t="s">
        <v>2415</v>
      </c>
      <c r="G59" s="42">
        <v>59111</v>
      </c>
      <c r="H59" s="43"/>
      <c r="I59" s="102">
        <v>142</v>
      </c>
      <c r="J59" s="103">
        <v>7005.5</v>
      </c>
      <c r="K59" s="1074"/>
      <c r="L59" s="880"/>
    </row>
    <row r="60" spans="1:12" ht="15" thickBot="1" x14ac:dyDescent="0.35">
      <c r="A60" s="174">
        <v>306</v>
      </c>
      <c r="B60" s="12">
        <v>14880.5</v>
      </c>
      <c r="C60" s="12" t="s">
        <v>2416</v>
      </c>
      <c r="D60" s="12">
        <f>+I60</f>
        <v>306</v>
      </c>
      <c r="E60" s="12">
        <f>+J60</f>
        <v>13873.5</v>
      </c>
      <c r="F60" s="39" t="s">
        <v>2417</v>
      </c>
      <c r="G60" s="39">
        <v>59151</v>
      </c>
      <c r="H60" s="40"/>
      <c r="I60" s="78">
        <v>306</v>
      </c>
      <c r="J60" s="79">
        <v>13873.5</v>
      </c>
      <c r="K60" s="160">
        <f t="shared" ref="K60:K61" si="38">+A60-D60</f>
        <v>0</v>
      </c>
      <c r="L60" s="53">
        <f t="shared" ref="L60" si="39">(+B60-E60)/B60</f>
        <v>6.7672457242700185E-2</v>
      </c>
    </row>
    <row r="61" spans="1:12" ht="15" thickBot="1" x14ac:dyDescent="0.35">
      <c r="A61" s="175">
        <v>659</v>
      </c>
      <c r="B61" s="8">
        <v>34165.25</v>
      </c>
      <c r="C61" s="8" t="s">
        <v>2418</v>
      </c>
      <c r="D61" s="8">
        <f>435+100+125</f>
        <v>660</v>
      </c>
      <c r="E61" s="8">
        <f>20970.2+4751.7+6037</f>
        <v>31758.9</v>
      </c>
      <c r="F61" s="45" t="s">
        <v>2419</v>
      </c>
      <c r="G61" s="45">
        <v>59221</v>
      </c>
      <c r="H61" s="14"/>
      <c r="I61" s="116">
        <v>100</v>
      </c>
      <c r="J61" s="140">
        <v>4907.6000000000004</v>
      </c>
      <c r="K61" s="151">
        <f t="shared" si="38"/>
        <v>-1</v>
      </c>
      <c r="L61" s="138">
        <f t="shared" ref="L61" si="40">((+B61/A61)-(E61/D61))/(B61/A61)</f>
        <v>7.1841111815500847E-2</v>
      </c>
    </row>
    <row r="62" spans="1:12" ht="15" thickBot="1" x14ac:dyDescent="0.35">
      <c r="A62" s="175">
        <v>342</v>
      </c>
      <c r="B62" s="8">
        <v>17621.75</v>
      </c>
      <c r="C62" s="8" t="s">
        <v>2719</v>
      </c>
      <c r="D62" s="8">
        <v>342</v>
      </c>
      <c r="E62" s="8">
        <v>16819.5</v>
      </c>
      <c r="F62" s="45" t="s">
        <v>2720</v>
      </c>
      <c r="G62" s="45">
        <v>59361</v>
      </c>
      <c r="H62" s="14"/>
      <c r="I62" s="116">
        <v>100</v>
      </c>
      <c r="J62" s="140">
        <v>4907.6000000000004</v>
      </c>
      <c r="K62" s="151">
        <f t="shared" ref="K62:K66" si="41">+A62-D62</f>
        <v>0</v>
      </c>
      <c r="L62" s="53">
        <f t="shared" ref="L62:L63" si="42">(+B62-E62)/B62</f>
        <v>4.552612538482273E-2</v>
      </c>
    </row>
    <row r="63" spans="1:12" ht="15" thickBot="1" x14ac:dyDescent="0.35">
      <c r="A63" s="175">
        <v>108</v>
      </c>
      <c r="B63" s="8">
        <v>5967</v>
      </c>
      <c r="C63" s="8" t="s">
        <v>2849</v>
      </c>
      <c r="D63" s="8">
        <f>+I63</f>
        <v>108</v>
      </c>
      <c r="E63" s="8">
        <f>+J63</f>
        <v>5459.8</v>
      </c>
      <c r="F63" s="45" t="s">
        <v>2850</v>
      </c>
      <c r="G63" s="45">
        <v>59391</v>
      </c>
      <c r="H63" s="14"/>
      <c r="I63" s="116">
        <v>108</v>
      </c>
      <c r="J63" s="117">
        <v>5459.8</v>
      </c>
      <c r="K63" s="151">
        <f t="shared" si="41"/>
        <v>0</v>
      </c>
      <c r="L63" s="53">
        <f t="shared" si="42"/>
        <v>8.5000837942014379E-2</v>
      </c>
    </row>
    <row r="64" spans="1:12" ht="15" thickBot="1" x14ac:dyDescent="0.35">
      <c r="A64" s="199">
        <v>352</v>
      </c>
      <c r="B64" s="10">
        <v>17903.25</v>
      </c>
      <c r="C64" s="200" t="s">
        <v>2851</v>
      </c>
      <c r="D64" s="8">
        <v>352</v>
      </c>
      <c r="E64" s="8">
        <v>17062.3</v>
      </c>
      <c r="F64" s="42" t="s">
        <v>2852</v>
      </c>
      <c r="G64" s="42">
        <v>59411</v>
      </c>
      <c r="H64" s="43"/>
      <c r="I64" s="102">
        <v>92</v>
      </c>
      <c r="J64" s="103">
        <v>4603.8999999999996</v>
      </c>
      <c r="K64" s="151">
        <f t="shared" si="41"/>
        <v>0</v>
      </c>
      <c r="L64" s="138">
        <f t="shared" ref="L64:L65" si="43">((+B64/A64)-(E64/D64))/(B64/A64)</f>
        <v>4.6971918506416466E-2</v>
      </c>
    </row>
    <row r="65" spans="1:12" ht="15" thickBot="1" x14ac:dyDescent="0.35">
      <c r="A65" s="199">
        <v>86</v>
      </c>
      <c r="B65" s="10">
        <v>2897.25</v>
      </c>
      <c r="C65" s="10" t="s">
        <v>3274</v>
      </c>
      <c r="D65" s="10">
        <f>+I65</f>
        <v>86</v>
      </c>
      <c r="E65" s="10">
        <f>+J65</f>
        <v>2900.6</v>
      </c>
      <c r="F65" s="42" t="s">
        <v>3275</v>
      </c>
      <c r="G65" s="42">
        <v>59481</v>
      </c>
      <c r="H65" s="43"/>
      <c r="I65" s="102">
        <v>86</v>
      </c>
      <c r="J65" s="103">
        <v>2900.6</v>
      </c>
      <c r="K65" s="151">
        <f t="shared" si="41"/>
        <v>0</v>
      </c>
      <c r="L65" s="138">
        <f t="shared" si="43"/>
        <v>-1.1562688756579838E-3</v>
      </c>
    </row>
    <row r="66" spans="1:12" x14ac:dyDescent="0.3">
      <c r="A66" s="871">
        <v>177</v>
      </c>
      <c r="B66" s="873">
        <v>5931.25</v>
      </c>
      <c r="C66" s="873" t="s">
        <v>3276</v>
      </c>
      <c r="D66" s="873">
        <f>+I66+I67</f>
        <v>177</v>
      </c>
      <c r="E66" s="873">
        <f>+J66+J67</f>
        <v>6010.8</v>
      </c>
      <c r="F66" s="39" t="s">
        <v>3277</v>
      </c>
      <c r="G66" s="39">
        <v>59491</v>
      </c>
      <c r="H66" s="40"/>
      <c r="I66" s="78">
        <v>114</v>
      </c>
      <c r="J66" s="79">
        <v>3863.4</v>
      </c>
      <c r="K66" s="1073">
        <f t="shared" si="41"/>
        <v>0</v>
      </c>
      <c r="L66" s="879">
        <f t="shared" ref="L66" si="44">(+B66-E66)/B66</f>
        <v>-1.3412012644889388E-2</v>
      </c>
    </row>
    <row r="67" spans="1:12" ht="15" thickBot="1" x14ac:dyDescent="0.35">
      <c r="A67" s="872"/>
      <c r="B67" s="874"/>
      <c r="C67" s="874"/>
      <c r="D67" s="874"/>
      <c r="E67" s="874"/>
      <c r="F67" s="42" t="s">
        <v>3277</v>
      </c>
      <c r="G67" s="42">
        <v>59491</v>
      </c>
      <c r="H67" s="43"/>
      <c r="I67" s="102">
        <v>63</v>
      </c>
      <c r="J67" s="103">
        <v>2147.4</v>
      </c>
      <c r="K67" s="1074"/>
      <c r="L67" s="880"/>
    </row>
    <row r="68" spans="1:12" ht="15" thickBot="1" x14ac:dyDescent="0.35">
      <c r="A68" s="175">
        <v>78</v>
      </c>
      <c r="B68" s="8">
        <v>2622</v>
      </c>
      <c r="C68" s="8" t="s">
        <v>3278</v>
      </c>
      <c r="D68" s="8">
        <f t="shared" ref="D68:E71" si="45">+I68</f>
        <v>78</v>
      </c>
      <c r="E68" s="8">
        <f t="shared" si="45"/>
        <v>2608.3000000000002</v>
      </c>
      <c r="F68" s="45" t="s">
        <v>3279</v>
      </c>
      <c r="G68" s="45">
        <v>59511</v>
      </c>
      <c r="H68" s="14"/>
      <c r="I68" s="116">
        <v>78</v>
      </c>
      <c r="J68" s="117">
        <v>2608.3000000000002</v>
      </c>
      <c r="K68" s="151">
        <f t="shared" ref="K68:K70" si="46">+A68-D68</f>
        <v>0</v>
      </c>
      <c r="L68" s="138">
        <f t="shared" ref="L68:L70" si="47">((+B68/A68)-(E68/D68))/(B68/A68)</f>
        <v>5.2250190694125113E-3</v>
      </c>
    </row>
    <row r="69" spans="1:12" ht="15" thickBot="1" x14ac:dyDescent="0.35">
      <c r="A69" s="175">
        <v>21</v>
      </c>
      <c r="B69" s="8">
        <v>706.25</v>
      </c>
      <c r="C69" s="8" t="s">
        <v>3280</v>
      </c>
      <c r="D69" s="8">
        <f t="shared" si="45"/>
        <v>21</v>
      </c>
      <c r="E69" s="8">
        <f t="shared" si="45"/>
        <v>714.3</v>
      </c>
      <c r="F69" s="45" t="s">
        <v>3281</v>
      </c>
      <c r="G69" s="45">
        <v>59531</v>
      </c>
      <c r="H69" s="14"/>
      <c r="I69" s="116">
        <v>21</v>
      </c>
      <c r="J69" s="117">
        <v>714.3</v>
      </c>
      <c r="K69" s="151">
        <f t="shared" si="46"/>
        <v>0</v>
      </c>
      <c r="L69" s="138">
        <f t="shared" si="47"/>
        <v>-1.1398230088495562E-2</v>
      </c>
    </row>
    <row r="70" spans="1:12" ht="15" thickBot="1" x14ac:dyDescent="0.35">
      <c r="A70" s="175">
        <v>134</v>
      </c>
      <c r="B70" s="8">
        <v>4525.25</v>
      </c>
      <c r="C70" s="8" t="s">
        <v>3282</v>
      </c>
      <c r="D70" s="8">
        <f t="shared" si="45"/>
        <v>134</v>
      </c>
      <c r="E70" s="8">
        <f t="shared" si="45"/>
        <v>4514.2</v>
      </c>
      <c r="F70" s="45" t="s">
        <v>3283</v>
      </c>
      <c r="G70" s="45">
        <v>59541</v>
      </c>
      <c r="H70" s="14"/>
      <c r="I70" s="116">
        <v>134</v>
      </c>
      <c r="J70" s="117">
        <v>4514.2</v>
      </c>
      <c r="K70" s="151">
        <f t="shared" si="46"/>
        <v>0</v>
      </c>
      <c r="L70" s="138">
        <f t="shared" si="47"/>
        <v>2.4418540412133333E-3</v>
      </c>
    </row>
    <row r="71" spans="1:12" ht="15" thickBot="1" x14ac:dyDescent="0.35">
      <c r="A71" s="175">
        <v>130</v>
      </c>
      <c r="B71" s="8">
        <v>4368.25</v>
      </c>
      <c r="C71" s="8" t="s">
        <v>3377</v>
      </c>
      <c r="D71" s="8">
        <f t="shared" si="45"/>
        <v>130</v>
      </c>
      <c r="E71" s="8">
        <f t="shared" si="45"/>
        <v>4284.5</v>
      </c>
      <c r="F71" s="45" t="s">
        <v>3378</v>
      </c>
      <c r="G71" s="45">
        <v>59581</v>
      </c>
      <c r="H71" s="14"/>
      <c r="I71" s="116">
        <v>130</v>
      </c>
      <c r="J71" s="117">
        <v>4284.5</v>
      </c>
      <c r="K71" s="151">
        <f t="shared" ref="K71:K72" si="48">+A71-D71</f>
        <v>0</v>
      </c>
      <c r="L71" s="138">
        <f t="shared" ref="L71" si="49">((+B71/A71)-(E71/D71))/(B71/A71)</f>
        <v>1.9172437474961498E-2</v>
      </c>
    </row>
    <row r="72" spans="1:12" x14ac:dyDescent="0.3">
      <c r="A72" s="871">
        <v>229</v>
      </c>
      <c r="B72" s="873">
        <v>10434.5</v>
      </c>
      <c r="C72" s="873" t="s">
        <v>3379</v>
      </c>
      <c r="D72" s="873">
        <f>+I72+I73+I74</f>
        <v>229</v>
      </c>
      <c r="E72" s="873">
        <f>+J72+J73+J74</f>
        <v>10187.900000000001</v>
      </c>
      <c r="F72" s="39" t="s">
        <v>3380</v>
      </c>
      <c r="G72" s="39">
        <v>59631</v>
      </c>
      <c r="H72" s="40"/>
      <c r="I72" s="78">
        <v>100</v>
      </c>
      <c r="J72" s="79">
        <v>4423</v>
      </c>
      <c r="K72" s="1073">
        <f t="shared" si="48"/>
        <v>0</v>
      </c>
      <c r="L72" s="879">
        <f t="shared" ref="L72" si="50">(+B72-E72)/B72</f>
        <v>2.3633140064209933E-2</v>
      </c>
    </row>
    <row r="73" spans="1:12" x14ac:dyDescent="0.3">
      <c r="A73" s="875"/>
      <c r="B73" s="881"/>
      <c r="C73" s="881"/>
      <c r="D73" s="881"/>
      <c r="E73" s="881"/>
      <c r="F73" s="50" t="s">
        <v>3380</v>
      </c>
      <c r="G73" s="50">
        <v>59631</v>
      </c>
      <c r="I73" s="118">
        <v>70</v>
      </c>
      <c r="J73" s="119">
        <v>3095.6</v>
      </c>
      <c r="K73" s="1075"/>
      <c r="L73" s="885"/>
    </row>
    <row r="74" spans="1:12" ht="15" thickBot="1" x14ac:dyDescent="0.35">
      <c r="A74" s="872"/>
      <c r="B74" s="874"/>
      <c r="C74" s="874"/>
      <c r="D74" s="874"/>
      <c r="E74" s="874"/>
      <c r="F74" s="42" t="s">
        <v>3380</v>
      </c>
      <c r="G74" s="42">
        <v>59631</v>
      </c>
      <c r="H74" s="43"/>
      <c r="I74" s="102">
        <v>59</v>
      </c>
      <c r="J74" s="103">
        <v>2669.3</v>
      </c>
      <c r="K74" s="1074"/>
      <c r="L74" s="880"/>
    </row>
    <row r="75" spans="1:12" ht="15" thickBot="1" x14ac:dyDescent="0.35">
      <c r="A75" s="313">
        <v>266</v>
      </c>
      <c r="B75" s="27">
        <v>10527.5</v>
      </c>
      <c r="C75" s="27" t="s">
        <v>3507</v>
      </c>
      <c r="D75" s="8">
        <f>+I75</f>
        <v>266</v>
      </c>
      <c r="E75" s="8">
        <f>+J75</f>
        <v>10133.099999999999</v>
      </c>
      <c r="F75" s="45" t="s">
        <v>3508</v>
      </c>
      <c r="G75" s="45">
        <v>59661</v>
      </c>
      <c r="H75" s="14"/>
      <c r="I75" s="116">
        <v>266</v>
      </c>
      <c r="J75" s="117">
        <v>10133.099999999999</v>
      </c>
      <c r="K75" s="151">
        <f t="shared" ref="K75:K76" si="51">+A75-D75</f>
        <v>0</v>
      </c>
      <c r="L75" s="138">
        <f t="shared" ref="L75:L76" si="52">((+B75/A75)-(E75/D75))/(B75/A75)</f>
        <v>3.7463785324151289E-2</v>
      </c>
    </row>
    <row r="76" spans="1:12" x14ac:dyDescent="0.3">
      <c r="A76" s="902">
        <v>250</v>
      </c>
      <c r="B76" s="905">
        <v>11575</v>
      </c>
      <c r="C76" s="905" t="s">
        <v>3509</v>
      </c>
      <c r="D76" s="873">
        <f>+I76+I77</f>
        <v>250</v>
      </c>
      <c r="E76" s="873">
        <f>+J76+J77</f>
        <v>11078.5</v>
      </c>
      <c r="F76" s="39" t="s">
        <v>3510</v>
      </c>
      <c r="G76" s="39">
        <v>59701</v>
      </c>
      <c r="H76" s="40"/>
      <c r="I76" s="78">
        <v>200</v>
      </c>
      <c r="J76" s="79">
        <v>8891.9</v>
      </c>
      <c r="K76" s="1073">
        <f t="shared" si="51"/>
        <v>0</v>
      </c>
      <c r="L76" s="879">
        <f t="shared" si="52"/>
        <v>4.2894168466522616E-2</v>
      </c>
    </row>
    <row r="77" spans="1:12" ht="15" thickBot="1" x14ac:dyDescent="0.35">
      <c r="A77" s="904"/>
      <c r="B77" s="907"/>
      <c r="C77" s="907"/>
      <c r="D77" s="874"/>
      <c r="E77" s="874"/>
      <c r="F77" s="42" t="s">
        <v>3510</v>
      </c>
      <c r="G77" s="42">
        <v>59701</v>
      </c>
      <c r="H77" s="43"/>
      <c r="I77" s="102">
        <v>50</v>
      </c>
      <c r="J77" s="103">
        <v>2186.6</v>
      </c>
      <c r="K77" s="1074"/>
      <c r="L77" s="880"/>
    </row>
    <row r="78" spans="1:12" ht="15" thickBot="1" x14ac:dyDescent="0.35">
      <c r="A78" s="174">
        <v>259</v>
      </c>
      <c r="B78" s="12">
        <v>11890.75</v>
      </c>
      <c r="C78" s="12" t="s">
        <v>3511</v>
      </c>
      <c r="D78" s="12">
        <f>+I78</f>
        <v>259</v>
      </c>
      <c r="E78" s="318">
        <f>+J78</f>
        <v>11465.199999999999</v>
      </c>
      <c r="F78" s="39" t="s">
        <v>3512</v>
      </c>
      <c r="G78" s="39">
        <v>59731</v>
      </c>
      <c r="H78" s="40"/>
      <c r="I78" s="78">
        <v>259</v>
      </c>
      <c r="J78" s="79">
        <v>11465.199999999999</v>
      </c>
      <c r="K78" s="151">
        <f t="shared" ref="K78:K80" si="53">+A78-D78</f>
        <v>0</v>
      </c>
      <c r="L78" s="138">
        <f t="shared" ref="L78:L79" si="54">((+B78/A78)-(E78/D78))/(B78/A78)</f>
        <v>3.5788322856001517E-2</v>
      </c>
    </row>
    <row r="79" spans="1:12" ht="15" thickBot="1" x14ac:dyDescent="0.35">
      <c r="A79" s="175">
        <v>329</v>
      </c>
      <c r="B79" s="8">
        <v>15157.5</v>
      </c>
      <c r="C79" s="8" t="s">
        <v>3513</v>
      </c>
      <c r="D79" s="8">
        <f>+I79</f>
        <v>329</v>
      </c>
      <c r="E79" s="317">
        <f>+J79</f>
        <v>14686.2</v>
      </c>
      <c r="F79" s="45" t="s">
        <v>3514</v>
      </c>
      <c r="G79" s="45">
        <v>59761</v>
      </c>
      <c r="H79" s="14"/>
      <c r="I79" s="116">
        <v>329</v>
      </c>
      <c r="J79" s="117">
        <v>14686.2</v>
      </c>
      <c r="K79" s="151">
        <f t="shared" si="53"/>
        <v>0</v>
      </c>
      <c r="L79" s="138">
        <f t="shared" si="54"/>
        <v>3.109351806036606E-2</v>
      </c>
    </row>
    <row r="80" spans="1:12" x14ac:dyDescent="0.3">
      <c r="A80" s="871">
        <v>281</v>
      </c>
      <c r="B80" s="873">
        <v>11324.5</v>
      </c>
      <c r="C80" s="873" t="s">
        <v>3828</v>
      </c>
      <c r="D80" s="873">
        <f>+I80+I82+I81</f>
        <v>281</v>
      </c>
      <c r="E80" s="873">
        <f>+J80+J82+J81</f>
        <v>11277.3</v>
      </c>
      <c r="F80" s="39" t="s">
        <v>3829</v>
      </c>
      <c r="G80" s="39">
        <v>59791</v>
      </c>
      <c r="H80" s="40"/>
      <c r="I80" s="78">
        <v>128</v>
      </c>
      <c r="J80" s="79">
        <v>5127.7</v>
      </c>
      <c r="K80" s="1073">
        <f t="shared" si="53"/>
        <v>0</v>
      </c>
      <c r="L80" s="879">
        <f t="shared" ref="L80" si="55">(+B80-E80)/B80</f>
        <v>4.1679544350744606E-3</v>
      </c>
    </row>
    <row r="81" spans="1:12" x14ac:dyDescent="0.3">
      <c r="A81" s="875"/>
      <c r="B81" s="881"/>
      <c r="C81" s="881"/>
      <c r="D81" s="881"/>
      <c r="E81" s="881"/>
      <c r="F81" s="50" t="s">
        <v>3829</v>
      </c>
      <c r="G81" s="50">
        <v>59791</v>
      </c>
      <c r="I81" s="331">
        <v>96</v>
      </c>
      <c r="J81" s="332">
        <v>3834.7</v>
      </c>
      <c r="K81" s="1075"/>
      <c r="L81" s="885"/>
    </row>
    <row r="82" spans="1:12" ht="15" thickBot="1" x14ac:dyDescent="0.35">
      <c r="A82" s="872"/>
      <c r="B82" s="874"/>
      <c r="C82" s="874"/>
      <c r="D82" s="874"/>
      <c r="E82" s="874"/>
      <c r="F82" s="42" t="s">
        <v>3829</v>
      </c>
      <c r="G82" s="42">
        <v>59791</v>
      </c>
      <c r="H82" s="43"/>
      <c r="I82" s="102">
        <v>57</v>
      </c>
      <c r="J82" s="103">
        <v>2314.9</v>
      </c>
      <c r="K82" s="1074"/>
      <c r="L82" s="880"/>
    </row>
    <row r="83" spans="1:12" ht="15" thickBot="1" x14ac:dyDescent="0.35">
      <c r="A83" s="175">
        <v>147</v>
      </c>
      <c r="B83" s="8">
        <v>6063.75</v>
      </c>
      <c r="C83" s="8" t="s">
        <v>3830</v>
      </c>
      <c r="D83" s="8">
        <f>+I83</f>
        <v>147</v>
      </c>
      <c r="E83" s="8">
        <f>+J83</f>
        <v>6111.4</v>
      </c>
      <c r="F83" s="45" t="s">
        <v>3831</v>
      </c>
      <c r="G83" s="45">
        <v>59851</v>
      </c>
      <c r="H83" s="14"/>
      <c r="I83" s="116">
        <v>147</v>
      </c>
      <c r="J83" s="117">
        <v>6111.4</v>
      </c>
      <c r="K83" s="151">
        <f t="shared" ref="K83:K84" si="56">+A83-D83</f>
        <v>0</v>
      </c>
      <c r="L83" s="138">
        <f t="shared" ref="L83:L84" si="57">((+B83/A83)-(E83/D83))/(B83/A83)</f>
        <v>-7.8581735724591872E-3</v>
      </c>
    </row>
    <row r="84" spans="1:12" x14ac:dyDescent="0.3">
      <c r="A84" s="871">
        <v>172</v>
      </c>
      <c r="B84" s="873">
        <v>7730.75</v>
      </c>
      <c r="C84" s="873" t="s">
        <v>3832</v>
      </c>
      <c r="D84" s="873">
        <f>+I84+I85</f>
        <v>172</v>
      </c>
      <c r="E84" s="873">
        <f>+J84+J85</f>
        <v>7398.1</v>
      </c>
      <c r="F84" s="39" t="s">
        <v>3833</v>
      </c>
      <c r="G84" s="39">
        <v>59861</v>
      </c>
      <c r="H84" s="40"/>
      <c r="I84" s="78">
        <v>96</v>
      </c>
      <c r="J84" s="79">
        <v>4184</v>
      </c>
      <c r="K84" s="1073">
        <f t="shared" si="56"/>
        <v>0</v>
      </c>
      <c r="L84" s="879">
        <f t="shared" si="57"/>
        <v>4.3029460272289224E-2</v>
      </c>
    </row>
    <row r="85" spans="1:12" ht="15" thickBot="1" x14ac:dyDescent="0.35">
      <c r="A85" s="872"/>
      <c r="B85" s="874"/>
      <c r="C85" s="874"/>
      <c r="D85" s="874"/>
      <c r="E85" s="874"/>
      <c r="F85" s="42" t="s">
        <v>3833</v>
      </c>
      <c r="G85" s="42">
        <v>59861</v>
      </c>
      <c r="H85" s="43"/>
      <c r="I85" s="102">
        <v>76</v>
      </c>
      <c r="J85" s="103">
        <v>3214.1</v>
      </c>
      <c r="K85" s="1074"/>
      <c r="L85" s="880"/>
    </row>
    <row r="86" spans="1:12" ht="15" thickBot="1" x14ac:dyDescent="0.35">
      <c r="A86" s="175">
        <v>140</v>
      </c>
      <c r="B86" s="8">
        <v>5835.1</v>
      </c>
      <c r="C86" s="8" t="s">
        <v>3834</v>
      </c>
      <c r="D86" s="8">
        <f>+I86</f>
        <v>140</v>
      </c>
      <c r="E86" s="8">
        <f>+J86</f>
        <v>5765.1</v>
      </c>
      <c r="F86" s="45" t="s">
        <v>3835</v>
      </c>
      <c r="G86" s="45">
        <v>59891</v>
      </c>
      <c r="H86" s="14"/>
      <c r="I86" s="116">
        <v>140</v>
      </c>
      <c r="J86" s="117">
        <v>5765.1</v>
      </c>
      <c r="K86" s="151">
        <f t="shared" ref="K86:K87" si="58">+A86-D86</f>
        <v>0</v>
      </c>
      <c r="L86" s="138">
        <f t="shared" ref="L86:L87" si="59">((+B86/A86)-(E86/D86))/(B86/A86)</f>
        <v>1.1996366814621856E-2</v>
      </c>
    </row>
    <row r="87" spans="1:12" x14ac:dyDescent="0.3">
      <c r="A87" s="871">
        <v>319</v>
      </c>
      <c r="B87" s="873">
        <v>14858</v>
      </c>
      <c r="C87" s="873" t="s">
        <v>3836</v>
      </c>
      <c r="D87" s="873">
        <f>+I87+I88</f>
        <v>319</v>
      </c>
      <c r="E87" s="873">
        <f>+J87+J88</f>
        <v>14233.400000000001</v>
      </c>
      <c r="F87" s="39" t="s">
        <v>3837</v>
      </c>
      <c r="G87" s="39">
        <v>59931</v>
      </c>
      <c r="H87" s="40"/>
      <c r="I87" s="78">
        <v>260</v>
      </c>
      <c r="J87" s="79">
        <v>11696.7</v>
      </c>
      <c r="K87" s="1073">
        <f t="shared" si="58"/>
        <v>0</v>
      </c>
      <c r="L87" s="879">
        <f t="shared" si="59"/>
        <v>4.2037959348498966E-2</v>
      </c>
    </row>
    <row r="88" spans="1:12" ht="15" thickBot="1" x14ac:dyDescent="0.35">
      <c r="A88" s="872"/>
      <c r="B88" s="874"/>
      <c r="C88" s="874"/>
      <c r="D88" s="874"/>
      <c r="E88" s="874"/>
      <c r="F88" s="42" t="s">
        <v>3837</v>
      </c>
      <c r="G88" s="42">
        <v>59931</v>
      </c>
      <c r="H88" s="43"/>
      <c r="I88" s="102">
        <v>59</v>
      </c>
      <c r="J88" s="103">
        <v>2536.6999999999998</v>
      </c>
      <c r="K88" s="1074"/>
      <c r="L88" s="880"/>
    </row>
    <row r="89" spans="1:12" ht="15" thickBot="1" x14ac:dyDescent="0.35">
      <c r="A89" s="175">
        <v>300</v>
      </c>
      <c r="B89" s="8">
        <v>13669.5</v>
      </c>
      <c r="C89" s="8" t="s">
        <v>3838</v>
      </c>
      <c r="D89" s="8">
        <v>297</v>
      </c>
      <c r="E89" s="8">
        <v>12882.4</v>
      </c>
      <c r="F89" s="45" t="s">
        <v>3839</v>
      </c>
      <c r="G89" s="46">
        <v>59941</v>
      </c>
      <c r="I89" s="118">
        <v>200</v>
      </c>
      <c r="J89" s="139">
        <v>8706.2999999999993</v>
      </c>
      <c r="K89" s="151">
        <f t="shared" ref="K89" si="60">+A89-D89</f>
        <v>3</v>
      </c>
      <c r="L89" s="138">
        <f t="shared" ref="L89" si="61">((+B89/A89)-(E89/D89))/(B89/A89)</f>
        <v>4.8061359045667114E-2</v>
      </c>
    </row>
    <row r="90" spans="1:12" ht="15" thickBot="1" x14ac:dyDescent="0.35">
      <c r="A90" s="199">
        <v>300</v>
      </c>
      <c r="B90" s="10">
        <v>13490.5</v>
      </c>
      <c r="C90" s="10" t="s">
        <v>4107</v>
      </c>
      <c r="D90" s="10">
        <f t="shared" ref="D90:E92" si="62">+I90</f>
        <v>300</v>
      </c>
      <c r="E90" s="10">
        <f t="shared" si="62"/>
        <v>12636.3</v>
      </c>
      <c r="F90" s="42" t="s">
        <v>4108</v>
      </c>
      <c r="G90" s="42">
        <v>59971</v>
      </c>
      <c r="H90" s="43"/>
      <c r="I90" s="102">
        <v>300</v>
      </c>
      <c r="J90" s="103">
        <v>12636.3</v>
      </c>
      <c r="K90" s="151">
        <f t="shared" ref="K90:K93" si="63">+A90-D90</f>
        <v>0</v>
      </c>
      <c r="L90" s="138">
        <f t="shared" ref="L90:L93" si="64">((+B90/A90)-(E90/D90))/(B90/A90)</f>
        <v>6.3318631629665431E-2</v>
      </c>
    </row>
    <row r="91" spans="1:12" ht="15" thickBot="1" x14ac:dyDescent="0.35">
      <c r="A91" s="175">
        <v>138</v>
      </c>
      <c r="B91" s="8">
        <v>5848.75</v>
      </c>
      <c r="C91" s="8" t="s">
        <v>4109</v>
      </c>
      <c r="D91" s="10">
        <f t="shared" si="62"/>
        <v>138</v>
      </c>
      <c r="E91" s="10">
        <f t="shared" si="62"/>
        <v>5797.7</v>
      </c>
      <c r="F91" s="45" t="s">
        <v>4110</v>
      </c>
      <c r="G91" s="45">
        <v>60001</v>
      </c>
      <c r="H91" s="14"/>
      <c r="I91" s="116">
        <v>138</v>
      </c>
      <c r="J91" s="117">
        <v>5797.7</v>
      </c>
      <c r="K91" s="151">
        <f t="shared" si="63"/>
        <v>0</v>
      </c>
      <c r="L91" s="138">
        <f t="shared" si="64"/>
        <v>8.7283607608463418E-3</v>
      </c>
    </row>
    <row r="92" spans="1:12" ht="15" thickBot="1" x14ac:dyDescent="0.35">
      <c r="A92" s="199">
        <v>62</v>
      </c>
      <c r="B92" s="10">
        <v>2626.75</v>
      </c>
      <c r="C92" s="10" t="s">
        <v>4111</v>
      </c>
      <c r="D92" s="10">
        <f t="shared" si="62"/>
        <v>62</v>
      </c>
      <c r="E92" s="10">
        <f t="shared" si="62"/>
        <v>2587.1999999999998</v>
      </c>
      <c r="F92" s="42" t="s">
        <v>2467</v>
      </c>
      <c r="G92" s="42">
        <v>60011</v>
      </c>
      <c r="H92" s="43"/>
      <c r="I92" s="102">
        <v>62</v>
      </c>
      <c r="J92" s="103">
        <v>2587.1999999999998</v>
      </c>
      <c r="K92" s="151">
        <f t="shared" si="63"/>
        <v>0</v>
      </c>
      <c r="L92" s="138">
        <f t="shared" si="64"/>
        <v>1.5056628914057353E-2</v>
      </c>
    </row>
    <row r="93" spans="1:12" ht="15" thickBot="1" x14ac:dyDescent="0.35">
      <c r="A93" s="175">
        <v>300</v>
      </c>
      <c r="B93" s="8">
        <v>14386.75</v>
      </c>
      <c r="C93" s="8" t="s">
        <v>4112</v>
      </c>
      <c r="D93" s="10">
        <v>300</v>
      </c>
      <c r="E93" s="10">
        <v>13372</v>
      </c>
      <c r="F93" s="45" t="s">
        <v>1169</v>
      </c>
      <c r="G93" s="45">
        <v>60021</v>
      </c>
      <c r="H93" s="14"/>
      <c r="I93" s="116">
        <v>121</v>
      </c>
      <c r="J93" s="117">
        <v>5382.7</v>
      </c>
      <c r="K93" s="151">
        <f t="shared" si="63"/>
        <v>0</v>
      </c>
      <c r="L93" s="138">
        <f t="shared" si="64"/>
        <v>7.0533650755035024E-2</v>
      </c>
    </row>
    <row r="94" spans="1:12" ht="15" thickBot="1" x14ac:dyDescent="0.35">
      <c r="A94" s="175">
        <v>241</v>
      </c>
      <c r="B94" s="8">
        <v>10721</v>
      </c>
      <c r="C94" s="8" t="s">
        <v>4383</v>
      </c>
      <c r="D94" s="8">
        <f>+I94</f>
        <v>241</v>
      </c>
      <c r="E94" s="8">
        <f>+J94</f>
        <v>10470.4</v>
      </c>
      <c r="F94" s="45" t="s">
        <v>4384</v>
      </c>
      <c r="G94" s="45">
        <v>60071</v>
      </c>
      <c r="H94" s="14"/>
      <c r="I94" s="116">
        <v>241</v>
      </c>
      <c r="J94" s="117">
        <v>10470.4</v>
      </c>
      <c r="K94" s="151">
        <f t="shared" ref="K94" si="65">+A94-D94</f>
        <v>0</v>
      </c>
      <c r="L94" s="138">
        <f t="shared" ref="L94" si="66">((+B94/A94)-(E94/D94))/(B94/A94)</f>
        <v>2.3374685197276368E-2</v>
      </c>
    </row>
    <row r="95" spans="1:12" ht="15" thickBot="1" x14ac:dyDescent="0.35">
      <c r="A95" s="175">
        <v>338</v>
      </c>
      <c r="B95" s="8">
        <v>15275.75</v>
      </c>
      <c r="C95" s="8" t="s">
        <v>4567</v>
      </c>
      <c r="D95" s="8">
        <v>336</v>
      </c>
      <c r="E95" s="8">
        <v>14908.5</v>
      </c>
      <c r="F95" s="45" t="s">
        <v>4568</v>
      </c>
      <c r="G95" s="46">
        <v>60101</v>
      </c>
      <c r="I95" s="118">
        <v>100</v>
      </c>
      <c r="J95" s="139">
        <v>4395.2</v>
      </c>
      <c r="K95" s="151">
        <f t="shared" ref="K95" si="67">+A95-D95</f>
        <v>2</v>
      </c>
      <c r="L95" s="138">
        <f t="shared" ref="L95" si="68">((+B95/A95)-(E95/D95))/(B95/A95)</f>
        <v>1.8232095220950071E-2</v>
      </c>
    </row>
    <row r="96" spans="1:12" ht="15" thickBot="1" x14ac:dyDescent="0.35">
      <c r="A96" s="175">
        <v>93</v>
      </c>
      <c r="B96" s="8">
        <v>4159.25</v>
      </c>
      <c r="C96" s="8" t="s">
        <v>4748</v>
      </c>
      <c r="D96" s="8">
        <f>+I96</f>
        <v>93</v>
      </c>
      <c r="E96" s="8">
        <f>+J96</f>
        <v>4053.3</v>
      </c>
      <c r="F96" s="45" t="s">
        <v>4749</v>
      </c>
      <c r="G96" s="45" t="s">
        <v>4758</v>
      </c>
      <c r="H96" s="14"/>
      <c r="I96" s="116">
        <v>93</v>
      </c>
      <c r="J96" s="117">
        <v>4053.3</v>
      </c>
      <c r="K96" s="151">
        <f t="shared" ref="K96" si="69">+A96-D96</f>
        <v>0</v>
      </c>
      <c r="L96" s="138">
        <f t="shared" ref="L96" si="70">((+B96/A96)-(E96/D96))/(B96/A96)</f>
        <v>2.547334254973856E-2</v>
      </c>
    </row>
    <row r="97" spans="1:12" ht="15" thickBot="1" x14ac:dyDescent="0.35">
      <c r="A97" s="175">
        <v>225</v>
      </c>
      <c r="B97" s="8">
        <v>9733.5</v>
      </c>
      <c r="C97" s="8" t="s">
        <v>4667</v>
      </c>
      <c r="D97" s="8">
        <v>225</v>
      </c>
      <c r="E97" s="8">
        <v>9546.4</v>
      </c>
      <c r="F97" s="45" t="s">
        <v>4756</v>
      </c>
      <c r="G97" s="46" t="s">
        <v>4757</v>
      </c>
      <c r="I97" s="118">
        <v>100</v>
      </c>
      <c r="J97" s="139">
        <v>4221.8</v>
      </c>
      <c r="K97" s="151">
        <f t="shared" ref="K97" si="71">+A97-D97</f>
        <v>0</v>
      </c>
      <c r="L97" s="138">
        <f t="shared" ref="L97" si="72">((+B97/A97)-(E97/D97))/(B97/A97)</f>
        <v>1.9222273591205579E-2</v>
      </c>
    </row>
    <row r="98" spans="1:12" ht="15" thickBot="1" x14ac:dyDescent="0.35">
      <c r="A98" s="175">
        <v>269</v>
      </c>
      <c r="B98" s="8">
        <v>11504.5</v>
      </c>
      <c r="C98" s="8" t="s">
        <v>4750</v>
      </c>
      <c r="D98" s="8">
        <f>+I98</f>
        <v>269</v>
      </c>
      <c r="E98" s="8">
        <f>+J98</f>
        <v>11488.5</v>
      </c>
      <c r="F98" s="45" t="s">
        <v>4751</v>
      </c>
      <c r="G98" s="45" t="s">
        <v>4752</v>
      </c>
      <c r="H98" s="14"/>
      <c r="I98" s="116">
        <v>269</v>
      </c>
      <c r="J98" s="117">
        <v>11488.5</v>
      </c>
      <c r="K98" s="151">
        <f t="shared" ref="K98:K99" si="73">+A98-D98</f>
        <v>0</v>
      </c>
      <c r="L98" s="138">
        <f t="shared" ref="L98:L99" si="74">((+B98/A98)-(E98/D98))/(B98/A98)</f>
        <v>1.3907601373375266E-3</v>
      </c>
    </row>
    <row r="99" spans="1:12" x14ac:dyDescent="0.3">
      <c r="A99" s="871">
        <v>359</v>
      </c>
      <c r="B99" s="873">
        <v>16886</v>
      </c>
      <c r="C99" s="873" t="s">
        <v>4753</v>
      </c>
      <c r="D99" s="873">
        <f>+I99+I100</f>
        <v>360</v>
      </c>
      <c r="E99" s="873">
        <f>+J99+J100</f>
        <v>16485.8</v>
      </c>
      <c r="F99" s="39" t="s">
        <v>4754</v>
      </c>
      <c r="G99" s="39" t="s">
        <v>4755</v>
      </c>
      <c r="H99" s="40"/>
      <c r="I99" s="78">
        <v>200</v>
      </c>
      <c r="J99" s="79">
        <v>9255.6</v>
      </c>
      <c r="K99" s="1073">
        <f t="shared" si="73"/>
        <v>-1</v>
      </c>
      <c r="L99" s="879">
        <f t="shared" si="74"/>
        <v>2.6412050745522348E-2</v>
      </c>
    </row>
    <row r="100" spans="1:12" ht="15" thickBot="1" x14ac:dyDescent="0.35">
      <c r="A100" s="872"/>
      <c r="B100" s="874"/>
      <c r="C100" s="874"/>
      <c r="D100" s="874"/>
      <c r="E100" s="874"/>
      <c r="F100" s="42" t="s">
        <v>4754</v>
      </c>
      <c r="G100" s="42" t="s">
        <v>4755</v>
      </c>
      <c r="H100" s="43"/>
      <c r="I100" s="102">
        <v>160</v>
      </c>
      <c r="J100" s="103">
        <v>7230.2</v>
      </c>
      <c r="K100" s="1074"/>
      <c r="L100" s="880"/>
    </row>
    <row r="101" spans="1:12" ht="15" thickBot="1" x14ac:dyDescent="0.35">
      <c r="A101" s="175">
        <v>300</v>
      </c>
      <c r="B101" s="8">
        <v>13505.5</v>
      </c>
      <c r="C101" s="8" t="s">
        <v>4935</v>
      </c>
      <c r="D101" s="8">
        <f>+I101</f>
        <v>300</v>
      </c>
      <c r="E101" s="8">
        <f>+J101</f>
        <v>13494.7</v>
      </c>
      <c r="F101" s="45" t="s">
        <v>4936</v>
      </c>
      <c r="G101" s="45" t="s">
        <v>4937</v>
      </c>
      <c r="H101" s="14"/>
      <c r="I101" s="116">
        <v>300</v>
      </c>
      <c r="J101" s="117">
        <v>13494.7</v>
      </c>
      <c r="K101" s="151">
        <f t="shared" ref="K101" si="75">+A101-D101</f>
        <v>0</v>
      </c>
      <c r="L101" s="138">
        <f t="shared" ref="L101" si="76">((+B101/A101)-(E101/D101))/(B101/A101)</f>
        <v>7.9967420680450766E-4</v>
      </c>
    </row>
    <row r="103" spans="1:12" x14ac:dyDescent="0.3">
      <c r="A103" s="124">
        <f>SUM(A5:A101)</f>
        <v>19848</v>
      </c>
      <c r="B103" s="124">
        <f>SUM(B5:B101)</f>
        <v>920868.03159699996</v>
      </c>
      <c r="D103" s="124">
        <f>SUM(D5:D101)</f>
        <v>19795</v>
      </c>
      <c r="E103" s="124">
        <f>SUM(E5:E101)</f>
        <v>889136.40000000014</v>
      </c>
    </row>
  </sheetData>
  <mergeCells count="152">
    <mergeCell ref="D55:D56"/>
    <mergeCell ref="A87:A88"/>
    <mergeCell ref="B87:B88"/>
    <mergeCell ref="C87:C88"/>
    <mergeCell ref="D87:D88"/>
    <mergeCell ref="E87:E88"/>
    <mergeCell ref="K80:K82"/>
    <mergeCell ref="L80:L82"/>
    <mergeCell ref="K84:K85"/>
    <mergeCell ref="L84:L85"/>
    <mergeCell ref="K87:K88"/>
    <mergeCell ref="L87:L88"/>
    <mergeCell ref="A80:A82"/>
    <mergeCell ref="B80:B82"/>
    <mergeCell ref="C80:C82"/>
    <mergeCell ref="D80:D82"/>
    <mergeCell ref="E80:E82"/>
    <mergeCell ref="A84:A85"/>
    <mergeCell ref="B84:B85"/>
    <mergeCell ref="C84:C85"/>
    <mergeCell ref="D84:D85"/>
    <mergeCell ref="E84:E85"/>
    <mergeCell ref="K45:K47"/>
    <mergeCell ref="L45:L47"/>
    <mergeCell ref="A45:A47"/>
    <mergeCell ref="B45:B47"/>
    <mergeCell ref="C45:C47"/>
    <mergeCell ref="D45:D47"/>
    <mergeCell ref="E45:E47"/>
    <mergeCell ref="K48:K49"/>
    <mergeCell ref="L48:L49"/>
    <mergeCell ref="A48:A49"/>
    <mergeCell ref="B48:B49"/>
    <mergeCell ref="C48:C49"/>
    <mergeCell ref="D48:D49"/>
    <mergeCell ref="E48:E49"/>
    <mergeCell ref="L40:L41"/>
    <mergeCell ref="A40:A41"/>
    <mergeCell ref="B40:B41"/>
    <mergeCell ref="C40:C41"/>
    <mergeCell ref="D40:D41"/>
    <mergeCell ref="E40:E41"/>
    <mergeCell ref="A38:A39"/>
    <mergeCell ref="B38:B39"/>
    <mergeCell ref="C38:C39"/>
    <mergeCell ref="D38:D39"/>
    <mergeCell ref="E38:E39"/>
    <mergeCell ref="C12:C14"/>
    <mergeCell ref="D12:D14"/>
    <mergeCell ref="E12:E14"/>
    <mergeCell ref="A3:C3"/>
    <mergeCell ref="D3:E3"/>
    <mergeCell ref="G3:G4"/>
    <mergeCell ref="A7:A8"/>
    <mergeCell ref="K32:K35"/>
    <mergeCell ref="L32:L35"/>
    <mergeCell ref="A32:A35"/>
    <mergeCell ref="B32:B35"/>
    <mergeCell ref="C32:C35"/>
    <mergeCell ref="D32:D35"/>
    <mergeCell ref="E32:E35"/>
    <mergeCell ref="K28:K29"/>
    <mergeCell ref="L28:L29"/>
    <mergeCell ref="K30:K31"/>
    <mergeCell ref="L30:L31"/>
    <mergeCell ref="A30:A31"/>
    <mergeCell ref="B30:B31"/>
    <mergeCell ref="C30:C31"/>
    <mergeCell ref="D30:D31"/>
    <mergeCell ref="E30:E31"/>
    <mergeCell ref="A28:A29"/>
    <mergeCell ref="K21:K22"/>
    <mergeCell ref="L21:L22"/>
    <mergeCell ref="A21:A22"/>
    <mergeCell ref="B21:B22"/>
    <mergeCell ref="C21:C22"/>
    <mergeCell ref="D21:D22"/>
    <mergeCell ref="E21:E22"/>
    <mergeCell ref="K3:K4"/>
    <mergeCell ref="L3:L4"/>
    <mergeCell ref="L7:L8"/>
    <mergeCell ref="L9:L10"/>
    <mergeCell ref="K9:K10"/>
    <mergeCell ref="K7:K8"/>
    <mergeCell ref="K12:K14"/>
    <mergeCell ref="L12:L14"/>
    <mergeCell ref="A17:A18"/>
    <mergeCell ref="B17:B18"/>
    <mergeCell ref="C17:C18"/>
    <mergeCell ref="D17:D18"/>
    <mergeCell ref="E17:E18"/>
    <mergeCell ref="K17:K18"/>
    <mergeCell ref="L17:L18"/>
    <mergeCell ref="A12:A14"/>
    <mergeCell ref="B12:B14"/>
    <mergeCell ref="B7:B8"/>
    <mergeCell ref="C7:C8"/>
    <mergeCell ref="D7:D8"/>
    <mergeCell ref="E7:E8"/>
    <mergeCell ref="A9:A10"/>
    <mergeCell ref="B9:B10"/>
    <mergeCell ref="C9:C10"/>
    <mergeCell ref="D9:D10"/>
    <mergeCell ref="E9:E10"/>
    <mergeCell ref="B28:B29"/>
    <mergeCell ref="C28:C29"/>
    <mergeCell ref="D28:D29"/>
    <mergeCell ref="E28:E29"/>
    <mergeCell ref="K38:K39"/>
    <mergeCell ref="L38:L39"/>
    <mergeCell ref="K40:K41"/>
    <mergeCell ref="A66:A67"/>
    <mergeCell ref="B66:B67"/>
    <mergeCell ref="C66:C67"/>
    <mergeCell ref="D66:D67"/>
    <mergeCell ref="E66:E67"/>
    <mergeCell ref="K66:K67"/>
    <mergeCell ref="L66:L67"/>
    <mergeCell ref="K55:K56"/>
    <mergeCell ref="L55:L56"/>
    <mergeCell ref="K58:K59"/>
    <mergeCell ref="L58:L59"/>
    <mergeCell ref="A58:A59"/>
    <mergeCell ref="B58:B59"/>
    <mergeCell ref="C58:C59"/>
    <mergeCell ref="D58:D59"/>
    <mergeCell ref="E58:E59"/>
    <mergeCell ref="A55:A56"/>
    <mergeCell ref="A99:A100"/>
    <mergeCell ref="B99:B100"/>
    <mergeCell ref="C99:C100"/>
    <mergeCell ref="D99:D100"/>
    <mergeCell ref="E99:E100"/>
    <mergeCell ref="K99:K100"/>
    <mergeCell ref="L99:L100"/>
    <mergeCell ref="E55:E56"/>
    <mergeCell ref="A76:A77"/>
    <mergeCell ref="B76:B77"/>
    <mergeCell ref="C76:C77"/>
    <mergeCell ref="D76:D77"/>
    <mergeCell ref="E76:E77"/>
    <mergeCell ref="K76:K77"/>
    <mergeCell ref="L76:L77"/>
    <mergeCell ref="A72:A74"/>
    <mergeCell ref="B72:B74"/>
    <mergeCell ref="C72:C74"/>
    <mergeCell ref="D72:D74"/>
    <mergeCell ref="E72:E74"/>
    <mergeCell ref="K72:K74"/>
    <mergeCell ref="L72:L74"/>
    <mergeCell ref="B55:B56"/>
    <mergeCell ref="C55:C5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364"/>
  <sheetViews>
    <sheetView tabSelected="1" topLeftCell="A337" zoomScale="80" zoomScaleNormal="80" workbookViewId="0">
      <selection activeCell="R355" sqref="R355"/>
    </sheetView>
  </sheetViews>
  <sheetFormatPr baseColWidth="10" defaultColWidth="8.88671875" defaultRowHeight="14.4" x14ac:dyDescent="0.3"/>
  <cols>
    <col min="2" max="2" width="10.5546875" customWidth="1"/>
    <col min="3" max="3" width="12.5546875" customWidth="1"/>
    <col min="4" max="4" width="16" customWidth="1"/>
    <col min="6" max="6" width="10.44140625" customWidth="1"/>
    <col min="8" max="8" width="6.33203125" hidden="1" customWidth="1"/>
    <col min="9" max="9" width="7.33203125" customWidth="1"/>
    <col min="10" max="10" width="7.88671875" customWidth="1"/>
    <col min="11" max="11" width="11.33203125" bestFit="1" customWidth="1"/>
  </cols>
  <sheetData>
    <row r="1" spans="1:11" ht="33.6" x14ac:dyDescent="0.65">
      <c r="A1" s="104" t="s">
        <v>1148</v>
      </c>
      <c r="D1" s="95"/>
      <c r="E1" s="95"/>
      <c r="F1" s="95"/>
      <c r="G1" s="95"/>
      <c r="H1" s="95"/>
      <c r="I1" s="95"/>
    </row>
    <row r="2" spans="1:11" ht="15" thickBot="1" x14ac:dyDescent="0.35">
      <c r="D2" s="50"/>
      <c r="E2" s="50"/>
      <c r="F2" s="50"/>
      <c r="G2" s="50"/>
    </row>
    <row r="3" spans="1:11" x14ac:dyDescent="0.3">
      <c r="A3" s="1021" t="s">
        <v>1</v>
      </c>
      <c r="B3" s="1022"/>
      <c r="C3" s="1023"/>
      <c r="D3" s="1021" t="s">
        <v>2</v>
      </c>
      <c r="E3" s="1023"/>
      <c r="F3" s="4"/>
      <c r="G3" s="1024" t="s">
        <v>3</v>
      </c>
      <c r="H3" s="5"/>
      <c r="I3" s="5"/>
      <c r="J3" s="915" t="s">
        <v>91</v>
      </c>
      <c r="K3" s="984" t="s">
        <v>92</v>
      </c>
    </row>
    <row r="4" spans="1:11" ht="15" thickBot="1" x14ac:dyDescent="0.35">
      <c r="A4" s="220" t="s">
        <v>5</v>
      </c>
      <c r="B4" s="221" t="s">
        <v>6</v>
      </c>
      <c r="C4" s="222" t="s">
        <v>4</v>
      </c>
      <c r="D4" s="221" t="s">
        <v>7</v>
      </c>
      <c r="E4" s="222" t="s">
        <v>6</v>
      </c>
      <c r="F4" s="17" t="s">
        <v>8</v>
      </c>
      <c r="G4" s="1097"/>
      <c r="H4" s="17" t="s">
        <v>5</v>
      </c>
      <c r="I4" s="17" t="s">
        <v>10</v>
      </c>
      <c r="J4" s="916"/>
      <c r="K4" s="985"/>
    </row>
    <row r="5" spans="1:11" ht="15" hidden="1" thickBot="1" x14ac:dyDescent="0.35">
      <c r="A5" s="174">
        <v>111</v>
      </c>
      <c r="B5" s="12">
        <v>4810.75</v>
      </c>
      <c r="C5" s="12" t="s">
        <v>2466</v>
      </c>
      <c r="D5" s="12">
        <f>+H5</f>
        <v>111</v>
      </c>
      <c r="E5" s="12">
        <f>+I5</f>
        <v>4510.8999999999996</v>
      </c>
      <c r="F5" s="12" t="s">
        <v>2467</v>
      </c>
      <c r="G5" s="12">
        <v>60011</v>
      </c>
      <c r="H5" s="12">
        <v>111</v>
      </c>
      <c r="I5" s="12">
        <v>4510.8999999999996</v>
      </c>
      <c r="J5" s="52">
        <f>+A5-D5</f>
        <v>0</v>
      </c>
      <c r="K5" s="33">
        <f>(+B5-E5)/B5</f>
        <v>6.2329158655095432E-2</v>
      </c>
    </row>
    <row r="6" spans="1:11" x14ac:dyDescent="0.3">
      <c r="A6" s="871">
        <f>100-100+451</f>
        <v>451</v>
      </c>
      <c r="B6" s="873">
        <f>4496.75-4496.75+21816.25</f>
        <v>21816.25</v>
      </c>
      <c r="C6" s="873" t="s">
        <v>2468</v>
      </c>
      <c r="D6" s="873">
        <f>+H6+H7+H8</f>
        <v>450</v>
      </c>
      <c r="E6" s="873">
        <f>+I6+I7+I8</f>
        <v>21444.600000000002</v>
      </c>
      <c r="F6" s="12" t="s">
        <v>2469</v>
      </c>
      <c r="G6" s="12">
        <v>60031</v>
      </c>
      <c r="H6" s="12">
        <v>99</v>
      </c>
      <c r="I6" s="12">
        <v>4532.3</v>
      </c>
      <c r="J6" s="877">
        <f>+A6-D6</f>
        <v>1</v>
      </c>
      <c r="K6" s="879">
        <f t="shared" ref="K6" si="0">+((B6/A6)-(E6/D6))/(B6/A6)</f>
        <v>1.4851101052350069E-2</v>
      </c>
    </row>
    <row r="7" spans="1:11" x14ac:dyDescent="0.3">
      <c r="A7" s="875"/>
      <c r="B7" s="881"/>
      <c r="C7" s="881"/>
      <c r="D7" s="881"/>
      <c r="E7" s="881"/>
      <c r="F7" s="226" t="s">
        <v>2470</v>
      </c>
      <c r="G7" s="226">
        <v>34581</v>
      </c>
      <c r="H7" s="15">
        <v>51</v>
      </c>
      <c r="I7" s="15">
        <v>2332.4</v>
      </c>
      <c r="J7" s="886"/>
      <c r="K7" s="885"/>
    </row>
    <row r="8" spans="1:11" ht="15" thickBot="1" x14ac:dyDescent="0.35">
      <c r="A8" s="875"/>
      <c r="B8" s="881"/>
      <c r="C8" s="881"/>
      <c r="D8" s="881"/>
      <c r="E8" s="881"/>
      <c r="F8" s="226" t="s">
        <v>2471</v>
      </c>
      <c r="G8" s="226">
        <v>34481</v>
      </c>
      <c r="H8" s="15">
        <f>201+99</f>
        <v>300</v>
      </c>
      <c r="I8" s="125">
        <f>9876.1+4703.8</f>
        <v>14579.900000000001</v>
      </c>
      <c r="J8" s="878"/>
      <c r="K8" s="880"/>
    </row>
    <row r="9" spans="1:11" x14ac:dyDescent="0.3">
      <c r="A9" s="871">
        <v>568</v>
      </c>
      <c r="B9" s="873">
        <v>27637.25</v>
      </c>
      <c r="C9" s="873" t="s">
        <v>1222</v>
      </c>
      <c r="D9" s="873">
        <f>+H9+H10+H11</f>
        <v>551</v>
      </c>
      <c r="E9" s="873">
        <f>+I9+I10+I11</f>
        <v>26370.1</v>
      </c>
      <c r="F9" s="225" t="s">
        <v>1223</v>
      </c>
      <c r="G9" s="225">
        <v>34831</v>
      </c>
      <c r="H9" s="12">
        <v>181</v>
      </c>
      <c r="I9" s="12">
        <v>8671.9</v>
      </c>
      <c r="J9" s="1098">
        <f>+A9-D9</f>
        <v>17</v>
      </c>
      <c r="K9" s="911">
        <f>+((B9/A9)-(E9/D9))/(B9/A9)</f>
        <v>1.6410947119408253E-2</v>
      </c>
    </row>
    <row r="10" spans="1:11" x14ac:dyDescent="0.3">
      <c r="A10" s="875"/>
      <c r="B10" s="881"/>
      <c r="C10" s="881"/>
      <c r="D10" s="881"/>
      <c r="E10" s="881"/>
      <c r="F10" s="226" t="s">
        <v>1223</v>
      </c>
      <c r="G10" s="226">
        <v>34831</v>
      </c>
      <c r="H10" s="15">
        <v>102</v>
      </c>
      <c r="I10" s="125">
        <v>4992.1000000000004</v>
      </c>
      <c r="J10" s="1099"/>
      <c r="K10" s="919"/>
    </row>
    <row r="11" spans="1:11" ht="15" thickBot="1" x14ac:dyDescent="0.35">
      <c r="A11" s="872"/>
      <c r="B11" s="874"/>
      <c r="C11" s="874"/>
      <c r="D11" s="874"/>
      <c r="E11" s="874"/>
      <c r="F11" s="10" t="s">
        <v>1224</v>
      </c>
      <c r="G11" s="10">
        <v>60121</v>
      </c>
      <c r="H11" s="10">
        <v>268</v>
      </c>
      <c r="I11" s="126">
        <v>12706.1</v>
      </c>
      <c r="J11" s="1100"/>
      <c r="K11" s="912"/>
    </row>
    <row r="12" spans="1:11" ht="15" thickBot="1" x14ac:dyDescent="0.35">
      <c r="A12" s="19">
        <v>300</v>
      </c>
      <c r="B12" s="20">
        <v>14590.75</v>
      </c>
      <c r="C12" s="20" t="s">
        <v>1149</v>
      </c>
      <c r="D12" s="20">
        <f>+H12</f>
        <v>300</v>
      </c>
      <c r="E12" s="20">
        <f>+I12</f>
        <v>14503.7</v>
      </c>
      <c r="F12" s="20" t="s">
        <v>1150</v>
      </c>
      <c r="G12" s="20">
        <v>60161</v>
      </c>
      <c r="H12" s="20">
        <v>300</v>
      </c>
      <c r="I12" s="20">
        <v>14503.7</v>
      </c>
      <c r="J12" s="869">
        <f>+A12-D12</f>
        <v>0</v>
      </c>
      <c r="K12" s="870">
        <f>(+B12-E12)/B12</f>
        <v>5.9661086647361701E-3</v>
      </c>
    </row>
    <row r="13" spans="1:11" ht="15" thickBot="1" x14ac:dyDescent="0.35">
      <c r="A13" s="19">
        <v>451</v>
      </c>
      <c r="B13" s="20">
        <v>23044.5</v>
      </c>
      <c r="C13" s="20" t="s">
        <v>1151</v>
      </c>
      <c r="D13" s="20">
        <f>+H13</f>
        <v>453</v>
      </c>
      <c r="E13" s="20">
        <f>+I13</f>
        <v>21665.9</v>
      </c>
      <c r="F13" s="20" t="s">
        <v>1152</v>
      </c>
      <c r="G13" s="20">
        <v>60181</v>
      </c>
      <c r="H13" s="20">
        <v>453</v>
      </c>
      <c r="I13" s="20">
        <v>21665.9</v>
      </c>
      <c r="J13" s="869">
        <f>+A13-D13</f>
        <v>-2</v>
      </c>
      <c r="K13" s="1135">
        <f>+((B13/A13)-(E13/D13))/(B13/A13)</f>
        <v>6.397427532113803E-2</v>
      </c>
    </row>
    <row r="14" spans="1:11" x14ac:dyDescent="0.3">
      <c r="A14" s="873">
        <v>1959</v>
      </c>
      <c r="B14" s="873">
        <v>84930.9</v>
      </c>
      <c r="C14" s="873" t="s">
        <v>1225</v>
      </c>
      <c r="D14" s="873">
        <f>+H14+H15+H16</f>
        <v>1959</v>
      </c>
      <c r="E14" s="873">
        <f>+I14+I15+I16</f>
        <v>82083.600000000006</v>
      </c>
      <c r="F14" s="12" t="s">
        <v>1226</v>
      </c>
      <c r="G14" s="12">
        <v>60391</v>
      </c>
      <c r="H14" s="12">
        <v>157</v>
      </c>
      <c r="I14" s="12">
        <v>6175.4</v>
      </c>
      <c r="J14" s="877">
        <f>+A14-D14</f>
        <v>0</v>
      </c>
      <c r="K14" s="879">
        <f>+(B14-E14)/B14</f>
        <v>3.3524900831146127E-2</v>
      </c>
    </row>
    <row r="15" spans="1:11" x14ac:dyDescent="0.3">
      <c r="A15" s="881"/>
      <c r="B15" s="881"/>
      <c r="C15" s="881"/>
      <c r="D15" s="881"/>
      <c r="E15" s="881"/>
      <c r="F15" s="15" t="s">
        <v>1226</v>
      </c>
      <c r="G15" s="15">
        <v>60391</v>
      </c>
      <c r="H15" s="15">
        <v>900</v>
      </c>
      <c r="I15" s="15">
        <v>38697.100000000006</v>
      </c>
      <c r="J15" s="886"/>
      <c r="K15" s="885"/>
    </row>
    <row r="16" spans="1:11" ht="15" thickBot="1" x14ac:dyDescent="0.35">
      <c r="A16" s="874"/>
      <c r="B16" s="874"/>
      <c r="C16" s="874"/>
      <c r="D16" s="874"/>
      <c r="E16" s="874"/>
      <c r="F16" s="10" t="s">
        <v>1226</v>
      </c>
      <c r="G16" s="10">
        <v>60391</v>
      </c>
      <c r="H16" s="10">
        <v>902</v>
      </c>
      <c r="I16" s="10">
        <v>37211.100000000006</v>
      </c>
      <c r="J16" s="878"/>
      <c r="K16" s="880"/>
    </row>
    <row r="17" spans="1:11" ht="15" thickBot="1" x14ac:dyDescent="0.35">
      <c r="A17" s="175">
        <v>500</v>
      </c>
      <c r="B17" s="8">
        <v>22250.2</v>
      </c>
      <c r="C17" s="8" t="s">
        <v>1344</v>
      </c>
      <c r="D17" s="8">
        <f t="shared" ref="D17:E18" si="1">+H17</f>
        <v>484</v>
      </c>
      <c r="E17" s="8">
        <f t="shared" si="1"/>
        <v>20592.900000000001</v>
      </c>
      <c r="F17" s="8" t="s">
        <v>1345</v>
      </c>
      <c r="G17" s="8">
        <v>60461</v>
      </c>
      <c r="H17" s="8">
        <v>484</v>
      </c>
      <c r="I17" s="8">
        <v>20592.900000000001</v>
      </c>
      <c r="J17" s="52">
        <f t="shared" ref="J17:J20" si="2">+A17-D17</f>
        <v>16</v>
      </c>
      <c r="K17" s="138">
        <f>+((B17/A17)-(E17/D17))/(B17/A17)</f>
        <v>4.3889177409938293E-2</v>
      </c>
    </row>
    <row r="18" spans="1:11" ht="15" thickBot="1" x14ac:dyDescent="0.35">
      <c r="A18" s="174">
        <v>750</v>
      </c>
      <c r="B18" s="12">
        <v>32214</v>
      </c>
      <c r="C18" s="12" t="s">
        <v>1346</v>
      </c>
      <c r="D18" s="12">
        <f t="shared" si="1"/>
        <v>750</v>
      </c>
      <c r="E18" s="12">
        <f t="shared" si="1"/>
        <v>30883.800000000003</v>
      </c>
      <c r="F18" s="12" t="s">
        <v>1347</v>
      </c>
      <c r="G18" s="12">
        <v>60521</v>
      </c>
      <c r="H18" s="12">
        <v>750</v>
      </c>
      <c r="I18" s="12">
        <v>30883.800000000003</v>
      </c>
      <c r="J18" s="52">
        <f t="shared" si="2"/>
        <v>0</v>
      </c>
      <c r="K18" s="33">
        <f t="shared" ref="K18" si="3">(+B18-E18)/B18</f>
        <v>4.1292605699385268E-2</v>
      </c>
    </row>
    <row r="19" spans="1:11" ht="15" thickBot="1" x14ac:dyDescent="0.35">
      <c r="A19" s="175">
        <v>1415</v>
      </c>
      <c r="B19" s="8">
        <v>65729.8</v>
      </c>
      <c r="C19" s="8" t="s">
        <v>1348</v>
      </c>
      <c r="D19" s="8">
        <v>1418</v>
      </c>
      <c r="E19" s="8">
        <v>62441.7</v>
      </c>
      <c r="F19" s="8" t="s">
        <v>1349</v>
      </c>
      <c r="G19" s="8">
        <v>60561</v>
      </c>
      <c r="H19" s="8">
        <v>808</v>
      </c>
      <c r="I19" s="8">
        <v>35959.800000000003</v>
      </c>
      <c r="J19" s="52">
        <f t="shared" si="2"/>
        <v>-3</v>
      </c>
      <c r="K19" s="138">
        <f t="shared" ref="K19:K20" si="4">+((B19/A19)-(E19/D19))/(B19/A19)</f>
        <v>5.2034315456549525E-2</v>
      </c>
    </row>
    <row r="20" spans="1:11" ht="15" thickBot="1" x14ac:dyDescent="0.35">
      <c r="A20" s="175">
        <v>1000</v>
      </c>
      <c r="B20" s="8">
        <v>44065.5</v>
      </c>
      <c r="C20" s="8" t="s">
        <v>1368</v>
      </c>
      <c r="D20" s="8">
        <v>998</v>
      </c>
      <c r="E20" s="8">
        <v>42037.599999999999</v>
      </c>
      <c r="F20" s="8" t="s">
        <v>1459</v>
      </c>
      <c r="G20" s="8">
        <v>60671</v>
      </c>
      <c r="H20" s="8">
        <v>220</v>
      </c>
      <c r="I20" s="8">
        <v>9164.7999999999993</v>
      </c>
      <c r="J20" s="52">
        <f t="shared" si="2"/>
        <v>2</v>
      </c>
      <c r="K20" s="138">
        <f t="shared" si="4"/>
        <v>4.4108345817595415E-2</v>
      </c>
    </row>
    <row r="21" spans="1:11" x14ac:dyDescent="0.3">
      <c r="A21" s="871">
        <v>1188</v>
      </c>
      <c r="B21" s="873">
        <v>51024.9</v>
      </c>
      <c r="C21" s="873" t="s">
        <v>1460</v>
      </c>
      <c r="D21" s="873">
        <f>+H21+H22+H23</f>
        <v>1188</v>
      </c>
      <c r="E21" s="873">
        <f>+I21+I22+I23</f>
        <v>49085.1</v>
      </c>
      <c r="F21" s="12" t="s">
        <v>1461</v>
      </c>
      <c r="G21" s="12">
        <v>60741</v>
      </c>
      <c r="H21" s="12">
        <v>50</v>
      </c>
      <c r="I21" s="12">
        <v>2096.8000000000002</v>
      </c>
      <c r="J21" s="877">
        <f>+A21-D21</f>
        <v>0</v>
      </c>
      <c r="K21" s="879">
        <f>+(B21-E21)/B21</f>
        <v>3.8016733006826134E-2</v>
      </c>
    </row>
    <row r="22" spans="1:11" x14ac:dyDescent="0.3">
      <c r="A22" s="875"/>
      <c r="B22" s="881"/>
      <c r="C22" s="881"/>
      <c r="D22" s="881"/>
      <c r="E22" s="881"/>
      <c r="F22" s="15" t="s">
        <v>1461</v>
      </c>
      <c r="G22" s="15">
        <v>60741</v>
      </c>
      <c r="H22" s="15">
        <v>201</v>
      </c>
      <c r="I22" s="15">
        <v>8205.6</v>
      </c>
      <c r="J22" s="886"/>
      <c r="K22" s="885"/>
    </row>
    <row r="23" spans="1:11" ht="15" thickBot="1" x14ac:dyDescent="0.35">
      <c r="A23" s="875"/>
      <c r="B23" s="881"/>
      <c r="C23" s="881"/>
      <c r="D23" s="881"/>
      <c r="E23" s="881"/>
      <c r="F23" s="15" t="s">
        <v>1461</v>
      </c>
      <c r="G23" s="15">
        <v>60741</v>
      </c>
      <c r="H23" s="15">
        <v>937</v>
      </c>
      <c r="I23" s="15">
        <v>38782.699999999997</v>
      </c>
      <c r="J23" s="878"/>
      <c r="K23" s="880"/>
    </row>
    <row r="24" spans="1:11" x14ac:dyDescent="0.3">
      <c r="A24" s="871">
        <v>1500</v>
      </c>
      <c r="B24" s="873">
        <v>65393</v>
      </c>
      <c r="C24" s="873" t="s">
        <v>1462</v>
      </c>
      <c r="D24" s="873">
        <v>1494</v>
      </c>
      <c r="E24" s="873">
        <v>62722.7</v>
      </c>
      <c r="F24" s="12" t="s">
        <v>1463</v>
      </c>
      <c r="G24" s="12">
        <v>60761</v>
      </c>
      <c r="H24" s="12">
        <v>499</v>
      </c>
      <c r="I24" s="12">
        <v>20622.099999999999</v>
      </c>
      <c r="J24" s="877">
        <f t="shared" ref="J24:J26" si="5">+A24-D24</f>
        <v>6</v>
      </c>
      <c r="K24" s="879">
        <f t="shared" ref="K24:K26" si="6">+((B24/A24)-(E24/D24))/(B24/A24)</f>
        <v>3.6982576214972661E-2</v>
      </c>
    </row>
    <row r="25" spans="1:11" ht="15" thickBot="1" x14ac:dyDescent="0.35">
      <c r="A25" s="872"/>
      <c r="B25" s="874"/>
      <c r="C25" s="874"/>
      <c r="D25" s="874"/>
      <c r="E25" s="874"/>
      <c r="F25" s="10" t="s">
        <v>1463</v>
      </c>
      <c r="G25" s="10">
        <v>60761</v>
      </c>
      <c r="H25" s="10">
        <v>495</v>
      </c>
      <c r="I25" s="10">
        <v>20943.5</v>
      </c>
      <c r="J25" s="878"/>
      <c r="K25" s="880"/>
    </row>
    <row r="26" spans="1:11" x14ac:dyDescent="0.3">
      <c r="A26" s="871">
        <v>1066</v>
      </c>
      <c r="B26" s="873">
        <v>45437.7</v>
      </c>
      <c r="C26" s="873" t="s">
        <v>1541</v>
      </c>
      <c r="D26" s="873">
        <f>+H26+H27</f>
        <v>1056</v>
      </c>
      <c r="E26" s="873">
        <f>+I26+I27</f>
        <v>43485.099999999991</v>
      </c>
      <c r="F26" s="12" t="s">
        <v>1542</v>
      </c>
      <c r="G26" s="12">
        <v>60771</v>
      </c>
      <c r="H26" s="12">
        <v>125</v>
      </c>
      <c r="I26" s="12">
        <v>4998.5</v>
      </c>
      <c r="J26" s="877">
        <f t="shared" si="5"/>
        <v>10</v>
      </c>
      <c r="K26" s="879">
        <f t="shared" si="6"/>
        <v>3.391037135028914E-2</v>
      </c>
    </row>
    <row r="27" spans="1:11" ht="15" thickBot="1" x14ac:dyDescent="0.35">
      <c r="A27" s="872"/>
      <c r="B27" s="874"/>
      <c r="C27" s="874"/>
      <c r="D27" s="874"/>
      <c r="E27" s="874"/>
      <c r="F27" s="10" t="s">
        <v>1542</v>
      </c>
      <c r="G27" s="10">
        <v>60771</v>
      </c>
      <c r="H27" s="10">
        <v>931</v>
      </c>
      <c r="I27" s="10">
        <v>38486.599999999991</v>
      </c>
      <c r="J27" s="878"/>
      <c r="K27" s="880"/>
    </row>
    <row r="28" spans="1:11" ht="15" thickBot="1" x14ac:dyDescent="0.35">
      <c r="A28" s="175">
        <v>360</v>
      </c>
      <c r="B28" s="8">
        <v>14490.75</v>
      </c>
      <c r="C28" s="8" t="s">
        <v>1543</v>
      </c>
      <c r="D28" s="8">
        <f>+H28</f>
        <v>360</v>
      </c>
      <c r="E28" s="8">
        <f>+I28</f>
        <v>14416.2</v>
      </c>
      <c r="F28" s="8" t="s">
        <v>1544</v>
      </c>
      <c r="G28" s="8">
        <v>60791</v>
      </c>
      <c r="H28" s="8">
        <v>360</v>
      </c>
      <c r="I28" s="8">
        <v>14416.2</v>
      </c>
      <c r="J28" s="52">
        <f>+A28-D28</f>
        <v>0</v>
      </c>
      <c r="K28" s="33">
        <f>(+B28-E28)/B28</f>
        <v>5.1446612494176818E-3</v>
      </c>
    </row>
    <row r="29" spans="1:11" ht="15" thickBot="1" x14ac:dyDescent="0.35">
      <c r="A29" s="175">
        <v>1194</v>
      </c>
      <c r="B29" s="8">
        <v>52402.2</v>
      </c>
      <c r="C29" s="8" t="s">
        <v>1545</v>
      </c>
      <c r="D29" s="8">
        <f>+H29</f>
        <v>1191</v>
      </c>
      <c r="E29" s="8">
        <f>+I29</f>
        <v>50046.1</v>
      </c>
      <c r="F29" s="8" t="s">
        <v>1546</v>
      </c>
      <c r="G29" s="8">
        <v>60801</v>
      </c>
      <c r="H29" s="8">
        <v>1191</v>
      </c>
      <c r="I29" s="8">
        <v>50046.1</v>
      </c>
      <c r="J29" s="52">
        <f t="shared" ref="J29:J33" si="7">+A29-D29</f>
        <v>3</v>
      </c>
      <c r="K29" s="138">
        <f t="shared" ref="K29" si="8">+((B29/A29)-(E29/D29))/(B29/A29)</f>
        <v>4.2556215096128135E-2</v>
      </c>
    </row>
    <row r="30" spans="1:11" x14ac:dyDescent="0.3">
      <c r="A30" s="174">
        <v>1000</v>
      </c>
      <c r="B30" s="12">
        <v>43617.9</v>
      </c>
      <c r="C30" s="873" t="s">
        <v>1547</v>
      </c>
      <c r="D30" s="873">
        <f>+H30+H31</f>
        <v>996</v>
      </c>
      <c r="E30" s="873">
        <f>+I30+I31</f>
        <v>41679.1</v>
      </c>
      <c r="F30" s="12" t="s">
        <v>1548</v>
      </c>
      <c r="G30" s="12">
        <v>60831</v>
      </c>
      <c r="H30" s="12">
        <v>600</v>
      </c>
      <c r="I30" s="12">
        <v>25042.1</v>
      </c>
      <c r="J30" s="877">
        <f t="shared" si="7"/>
        <v>4</v>
      </c>
      <c r="K30" s="879">
        <f t="shared" ref="K30" si="9">+((B30/A30)-(E30/D30))/(B30/A30)</f>
        <v>4.0612089445500557E-2</v>
      </c>
    </row>
    <row r="31" spans="1:11" ht="15" thickBot="1" x14ac:dyDescent="0.35">
      <c r="A31" s="199"/>
      <c r="B31" s="10"/>
      <c r="C31" s="874"/>
      <c r="D31" s="874"/>
      <c r="E31" s="874"/>
      <c r="F31" s="10" t="s">
        <v>1548</v>
      </c>
      <c r="G31" s="10">
        <v>60831</v>
      </c>
      <c r="H31" s="10">
        <v>396</v>
      </c>
      <c r="I31" s="10">
        <v>16637</v>
      </c>
      <c r="J31" s="878"/>
      <c r="K31" s="880"/>
    </row>
    <row r="32" spans="1:11" ht="15" thickBot="1" x14ac:dyDescent="0.35">
      <c r="A32" s="175">
        <v>1250</v>
      </c>
      <c r="B32" s="8">
        <v>53711.9</v>
      </c>
      <c r="C32" s="8" t="s">
        <v>1549</v>
      </c>
      <c r="D32" s="8">
        <f>+H32</f>
        <v>1250</v>
      </c>
      <c r="E32" s="8">
        <f>+I32</f>
        <v>51530.599999999991</v>
      </c>
      <c r="F32" s="8" t="s">
        <v>1550</v>
      </c>
      <c r="G32" s="8">
        <v>60841</v>
      </c>
      <c r="H32" s="8">
        <v>1250</v>
      </c>
      <c r="I32" s="8">
        <v>51530.599999999991</v>
      </c>
      <c r="J32" s="52">
        <f t="shared" si="7"/>
        <v>0</v>
      </c>
      <c r="K32" s="33">
        <f>(+B32-E32)/B32</f>
        <v>4.0611112248868687E-2</v>
      </c>
    </row>
    <row r="33" spans="1:11" x14ac:dyDescent="0.3">
      <c r="A33" s="871">
        <v>2072</v>
      </c>
      <c r="B33" s="873">
        <v>86794.8</v>
      </c>
      <c r="C33" s="873" t="s">
        <v>1551</v>
      </c>
      <c r="D33" s="873">
        <v>2067</v>
      </c>
      <c r="E33" s="873">
        <v>81346.899999999994</v>
      </c>
      <c r="F33" s="12" t="s">
        <v>1552</v>
      </c>
      <c r="G33" s="12">
        <v>60901</v>
      </c>
      <c r="H33" s="12">
        <v>373</v>
      </c>
      <c r="I33" s="12">
        <v>15671.7</v>
      </c>
      <c r="J33" s="877">
        <f t="shared" si="7"/>
        <v>5</v>
      </c>
      <c r="K33" s="879">
        <f t="shared" ref="K33" si="10">+((B33/A33)-(E33/D33))/(B33/A33)</f>
        <v>6.0500453043489687E-2</v>
      </c>
    </row>
    <row r="34" spans="1:11" ht="15" thickBot="1" x14ac:dyDescent="0.35">
      <c r="A34" s="872"/>
      <c r="B34" s="874"/>
      <c r="C34" s="874"/>
      <c r="D34" s="874"/>
      <c r="E34" s="874"/>
      <c r="F34" s="10" t="s">
        <v>1552</v>
      </c>
      <c r="G34" s="10">
        <v>60901</v>
      </c>
      <c r="H34" s="10">
        <v>1194</v>
      </c>
      <c r="I34" s="10">
        <v>46533.499999999993</v>
      </c>
      <c r="J34" s="878"/>
      <c r="K34" s="880"/>
    </row>
    <row r="35" spans="1:11" x14ac:dyDescent="0.3">
      <c r="A35" s="873">
        <v>638</v>
      </c>
      <c r="B35" s="873">
        <v>27607.9</v>
      </c>
      <c r="C35" s="873" t="s">
        <v>1636</v>
      </c>
      <c r="D35" s="873">
        <f>+H35+H36</f>
        <v>638</v>
      </c>
      <c r="E35" s="873">
        <f>+I35+I36</f>
        <v>25807.799999999996</v>
      </c>
      <c r="F35" s="12" t="s">
        <v>1637</v>
      </c>
      <c r="G35" s="12">
        <v>60931</v>
      </c>
      <c r="H35" s="12">
        <v>222</v>
      </c>
      <c r="I35" s="12">
        <v>8842.6</v>
      </c>
      <c r="J35" s="877">
        <f t="shared" ref="J35" si="11">+A35-D35</f>
        <v>0</v>
      </c>
      <c r="K35" s="879">
        <f>(+B35-E35)/B35</f>
        <v>6.5202351500838737E-2</v>
      </c>
    </row>
    <row r="36" spans="1:11" ht="15" thickBot="1" x14ac:dyDescent="0.35">
      <c r="A36" s="874"/>
      <c r="B36" s="874"/>
      <c r="C36" s="874"/>
      <c r="D36" s="874"/>
      <c r="E36" s="874"/>
      <c r="F36" s="10" t="s">
        <v>1637</v>
      </c>
      <c r="G36" s="10">
        <v>60931</v>
      </c>
      <c r="H36" s="10">
        <v>416</v>
      </c>
      <c r="I36" s="10">
        <v>16965.199999999997</v>
      </c>
      <c r="J36" s="878"/>
      <c r="K36" s="880"/>
    </row>
    <row r="37" spans="1:11" ht="15" thickBot="1" x14ac:dyDescent="0.35">
      <c r="A37" s="175">
        <v>718</v>
      </c>
      <c r="B37" s="8">
        <v>36352.25</v>
      </c>
      <c r="C37" s="8" t="s">
        <v>1638</v>
      </c>
      <c r="D37" s="8">
        <f>+H37</f>
        <v>699</v>
      </c>
      <c r="E37" s="8">
        <f>+I37</f>
        <v>33142.199999999997</v>
      </c>
      <c r="F37" s="8" t="s">
        <v>1759</v>
      </c>
      <c r="G37" s="8">
        <v>60941</v>
      </c>
      <c r="H37" s="8">
        <v>699</v>
      </c>
      <c r="I37" s="8">
        <v>33142.199999999997</v>
      </c>
      <c r="J37" s="52">
        <f t="shared" ref="J37:J38" si="12">+A37-D37</f>
        <v>19</v>
      </c>
      <c r="K37" s="138">
        <f t="shared" ref="K37:K39" si="13">+((B37/A37)-(E37/D37))/(B37/A37)</f>
        <v>6.3522589545186192E-2</v>
      </c>
    </row>
    <row r="38" spans="1:11" ht="15" thickBot="1" x14ac:dyDescent="0.35">
      <c r="A38" s="174">
        <v>1010</v>
      </c>
      <c r="B38" s="12">
        <v>49692.22</v>
      </c>
      <c r="C38" s="12" t="s">
        <v>1757</v>
      </c>
      <c r="D38" s="12">
        <v>1010</v>
      </c>
      <c r="E38" s="12">
        <v>46181.3</v>
      </c>
      <c r="F38" s="12" t="s">
        <v>1758</v>
      </c>
      <c r="G38" s="12">
        <v>60951</v>
      </c>
      <c r="H38" s="12"/>
      <c r="I38" s="12"/>
      <c r="J38" s="52">
        <f t="shared" si="12"/>
        <v>0</v>
      </c>
      <c r="K38" s="33">
        <f>(+B38-E38)/B38</f>
        <v>7.0653313536807136E-2</v>
      </c>
    </row>
    <row r="39" spans="1:11" x14ac:dyDescent="0.3">
      <c r="A39" s="871">
        <v>2152</v>
      </c>
      <c r="B39" s="873">
        <v>107259.28</v>
      </c>
      <c r="C39" s="873" t="s">
        <v>1739</v>
      </c>
      <c r="D39" s="873">
        <f>+H39+H41+H40</f>
        <v>2140</v>
      </c>
      <c r="E39" s="873">
        <f>+I39+I41+I40</f>
        <v>99624.400000000009</v>
      </c>
      <c r="F39" s="12" t="s">
        <v>1740</v>
      </c>
      <c r="G39" s="12">
        <v>60971</v>
      </c>
      <c r="H39" s="12">
        <v>503</v>
      </c>
      <c r="I39" s="12">
        <v>23270.6</v>
      </c>
      <c r="J39" s="877">
        <f>+A39-D39</f>
        <v>12</v>
      </c>
      <c r="K39" s="879">
        <f t="shared" si="13"/>
        <v>6.597320534570883E-2</v>
      </c>
    </row>
    <row r="40" spans="1:11" x14ac:dyDescent="0.3">
      <c r="A40" s="875"/>
      <c r="B40" s="881"/>
      <c r="C40" s="881"/>
      <c r="D40" s="881"/>
      <c r="E40" s="881"/>
      <c r="F40" s="15" t="s">
        <v>1740</v>
      </c>
      <c r="G40" s="15">
        <v>60971</v>
      </c>
      <c r="H40" s="15">
        <v>77</v>
      </c>
      <c r="I40" s="15">
        <v>3406.8</v>
      </c>
      <c r="J40" s="886"/>
      <c r="K40" s="885"/>
    </row>
    <row r="41" spans="1:11" ht="15" thickBot="1" x14ac:dyDescent="0.35">
      <c r="A41" s="872"/>
      <c r="B41" s="874"/>
      <c r="C41" s="874"/>
      <c r="D41" s="874"/>
      <c r="E41" s="874"/>
      <c r="F41" s="10" t="s">
        <v>1740</v>
      </c>
      <c r="G41" s="10">
        <v>60971</v>
      </c>
      <c r="H41" s="10">
        <v>1560</v>
      </c>
      <c r="I41" s="10">
        <v>72947</v>
      </c>
      <c r="J41" s="878"/>
      <c r="K41" s="880"/>
    </row>
    <row r="42" spans="1:11" ht="15" thickBot="1" x14ac:dyDescent="0.35">
      <c r="A42" s="175">
        <v>269</v>
      </c>
      <c r="B42" s="8">
        <v>13109.75</v>
      </c>
      <c r="C42" s="8" t="s">
        <v>1828</v>
      </c>
      <c r="D42" s="8">
        <f>+H42</f>
        <v>269</v>
      </c>
      <c r="E42" s="8">
        <f>+I42</f>
        <v>12450.1</v>
      </c>
      <c r="F42" s="8" t="s">
        <v>1829</v>
      </c>
      <c r="G42" s="8">
        <v>61031</v>
      </c>
      <c r="H42" s="8">
        <v>269</v>
      </c>
      <c r="I42" s="8">
        <v>12450.1</v>
      </c>
      <c r="J42" s="52">
        <f t="shared" ref="J42" si="14">+A42-D42</f>
        <v>0</v>
      </c>
      <c r="K42" s="33">
        <f>(+B42-E42)/B42</f>
        <v>5.0317511775586847E-2</v>
      </c>
    </row>
    <row r="43" spans="1:11" ht="15" thickBot="1" x14ac:dyDescent="0.35">
      <c r="A43" s="175">
        <v>1727</v>
      </c>
      <c r="B43" s="8">
        <v>84488.5</v>
      </c>
      <c r="C43" s="8" t="s">
        <v>1741</v>
      </c>
      <c r="D43" s="8">
        <v>1727</v>
      </c>
      <c r="E43" s="8">
        <v>77965.2</v>
      </c>
      <c r="F43" s="8" t="s">
        <v>1742</v>
      </c>
      <c r="G43" s="8">
        <v>61041</v>
      </c>
      <c r="H43" s="8">
        <v>1420</v>
      </c>
      <c r="I43" s="8">
        <v>64060.9</v>
      </c>
      <c r="J43" s="52">
        <f t="shared" ref="J43:J52" si="15">+A43-D43</f>
        <v>0</v>
      </c>
      <c r="K43" s="33">
        <f>(+B43-E43)/B43</f>
        <v>7.720932434591693E-2</v>
      </c>
    </row>
    <row r="44" spans="1:11" ht="15" thickBot="1" x14ac:dyDescent="0.35">
      <c r="A44" s="175">
        <v>599</v>
      </c>
      <c r="B44" s="8">
        <v>26635.5</v>
      </c>
      <c r="C44" s="8" t="s">
        <v>1830</v>
      </c>
      <c r="D44" s="8">
        <f t="shared" ref="D44:E49" si="16">+H44</f>
        <v>599</v>
      </c>
      <c r="E44" s="8">
        <f t="shared" si="16"/>
        <v>25707.899999999998</v>
      </c>
      <c r="F44" s="8" t="s">
        <v>1831</v>
      </c>
      <c r="G44" s="8" t="s">
        <v>1831</v>
      </c>
      <c r="H44" s="8">
        <v>599</v>
      </c>
      <c r="I44" s="8">
        <v>25707.899999999998</v>
      </c>
      <c r="J44" s="52">
        <f t="shared" si="15"/>
        <v>0</v>
      </c>
      <c r="K44" s="33">
        <f t="shared" ref="K44:K51" si="17">(+B44-E44)/B44</f>
        <v>3.4825702539843524E-2</v>
      </c>
    </row>
    <row r="45" spans="1:11" ht="15" thickBot="1" x14ac:dyDescent="0.35">
      <c r="A45" s="174">
        <v>124</v>
      </c>
      <c r="B45" s="12">
        <v>5699.25</v>
      </c>
      <c r="C45" s="12" t="s">
        <v>1832</v>
      </c>
      <c r="D45" s="12">
        <f t="shared" si="16"/>
        <v>124</v>
      </c>
      <c r="E45" s="12">
        <f t="shared" si="16"/>
        <v>5518.8</v>
      </c>
      <c r="F45" s="12" t="s">
        <v>1833</v>
      </c>
      <c r="G45" s="12">
        <v>61141</v>
      </c>
      <c r="H45" s="12">
        <v>124</v>
      </c>
      <c r="I45" s="12">
        <v>5518.8</v>
      </c>
      <c r="J45" s="52">
        <f t="shared" si="15"/>
        <v>0</v>
      </c>
      <c r="K45" s="33">
        <f t="shared" si="17"/>
        <v>3.1662060797473322E-2</v>
      </c>
    </row>
    <row r="46" spans="1:11" ht="15" thickBot="1" x14ac:dyDescent="0.35">
      <c r="A46" s="175">
        <v>300</v>
      </c>
      <c r="B46" s="8">
        <v>13576.25</v>
      </c>
      <c r="C46" s="8" t="s">
        <v>1834</v>
      </c>
      <c r="D46" s="8">
        <f t="shared" si="16"/>
        <v>300</v>
      </c>
      <c r="E46" s="8">
        <f t="shared" si="16"/>
        <v>13033.4</v>
      </c>
      <c r="F46" s="8" t="s">
        <v>1835</v>
      </c>
      <c r="G46" s="8">
        <v>61151</v>
      </c>
      <c r="H46" s="8">
        <v>300</v>
      </c>
      <c r="I46" s="8">
        <v>13033.4</v>
      </c>
      <c r="J46" s="52">
        <f t="shared" si="15"/>
        <v>0</v>
      </c>
      <c r="K46" s="33">
        <f t="shared" si="17"/>
        <v>3.9985268391492523E-2</v>
      </c>
    </row>
    <row r="47" spans="1:11" ht="15" thickBot="1" x14ac:dyDescent="0.35">
      <c r="A47" s="175">
        <v>233</v>
      </c>
      <c r="B47" s="8">
        <v>10911.5</v>
      </c>
      <c r="C47" s="8" t="s">
        <v>1836</v>
      </c>
      <c r="D47" s="8">
        <f t="shared" si="16"/>
        <v>233</v>
      </c>
      <c r="E47" s="8">
        <f t="shared" si="16"/>
        <v>10319.300000000001</v>
      </c>
      <c r="F47" s="8" t="s">
        <v>1837</v>
      </c>
      <c r="G47" s="8">
        <v>61161</v>
      </c>
      <c r="H47" s="8">
        <v>233</v>
      </c>
      <c r="I47" s="8">
        <v>10319.300000000001</v>
      </c>
      <c r="J47" s="52">
        <f t="shared" si="15"/>
        <v>0</v>
      </c>
      <c r="K47" s="33">
        <f t="shared" si="17"/>
        <v>5.427301470925161E-2</v>
      </c>
    </row>
    <row r="48" spans="1:11" ht="15" thickBot="1" x14ac:dyDescent="0.35">
      <c r="A48" s="175">
        <v>1414</v>
      </c>
      <c r="B48" s="8">
        <v>66027</v>
      </c>
      <c r="C48" s="8" t="s">
        <v>1838</v>
      </c>
      <c r="D48" s="8">
        <f t="shared" si="16"/>
        <v>1414</v>
      </c>
      <c r="E48" s="8">
        <f t="shared" si="16"/>
        <v>63242.799999999988</v>
      </c>
      <c r="F48" s="8" t="s">
        <v>1839</v>
      </c>
      <c r="G48" s="8">
        <v>61171</v>
      </c>
      <c r="H48" s="8">
        <v>1414</v>
      </c>
      <c r="I48" s="8">
        <v>63242.799999999988</v>
      </c>
      <c r="J48" s="52">
        <f t="shared" si="15"/>
        <v>0</v>
      </c>
      <c r="K48" s="33">
        <f t="shared" si="17"/>
        <v>4.2167598103806193E-2</v>
      </c>
    </row>
    <row r="49" spans="1:11" ht="15" thickBot="1" x14ac:dyDescent="0.35">
      <c r="A49" s="175">
        <v>462</v>
      </c>
      <c r="B49" s="8">
        <v>22296.5</v>
      </c>
      <c r="C49" s="8" t="s">
        <v>1840</v>
      </c>
      <c r="D49" s="8">
        <f t="shared" si="16"/>
        <v>461</v>
      </c>
      <c r="E49" s="8">
        <f t="shared" si="16"/>
        <v>21367.599999999999</v>
      </c>
      <c r="F49" s="8" t="s">
        <v>1841</v>
      </c>
      <c r="G49" s="8">
        <v>61231</v>
      </c>
      <c r="H49" s="8">
        <v>461</v>
      </c>
      <c r="I49" s="8">
        <v>21367.599999999999</v>
      </c>
      <c r="J49" s="52">
        <f t="shared" si="15"/>
        <v>1</v>
      </c>
      <c r="K49" s="138">
        <f t="shared" ref="K49" si="18">+((B49/A49)-(E49/D49))/(B49/A49)</f>
        <v>3.9582421353156524E-2</v>
      </c>
    </row>
    <row r="50" spans="1:11" ht="15" thickBot="1" x14ac:dyDescent="0.35">
      <c r="A50" s="175">
        <v>228</v>
      </c>
      <c r="B50" s="8">
        <v>10886.5</v>
      </c>
      <c r="C50" s="8" t="s">
        <v>1842</v>
      </c>
      <c r="D50" s="8">
        <f>+H50</f>
        <v>228</v>
      </c>
      <c r="E50" s="8">
        <f>+I50</f>
        <v>10539.4</v>
      </c>
      <c r="F50" s="8" t="s">
        <v>1843</v>
      </c>
      <c r="G50" s="8">
        <v>61241</v>
      </c>
      <c r="H50" s="8">
        <v>228</v>
      </c>
      <c r="I50" s="8">
        <v>10539.4</v>
      </c>
      <c r="J50" s="52">
        <f t="shared" si="15"/>
        <v>0</v>
      </c>
      <c r="K50" s="33">
        <f t="shared" si="17"/>
        <v>3.1883525467321948E-2</v>
      </c>
    </row>
    <row r="51" spans="1:11" ht="15" thickBot="1" x14ac:dyDescent="0.35">
      <c r="A51" s="175">
        <v>625</v>
      </c>
      <c r="B51" s="8">
        <v>30713</v>
      </c>
      <c r="C51" s="8" t="s">
        <v>1844</v>
      </c>
      <c r="D51" s="8">
        <v>625</v>
      </c>
      <c r="E51" s="8">
        <v>29018.799999999999</v>
      </c>
      <c r="F51" s="8" t="s">
        <v>1845</v>
      </c>
      <c r="G51" s="8">
        <v>61251</v>
      </c>
      <c r="H51" s="8">
        <v>480</v>
      </c>
      <c r="I51" s="8">
        <v>22222.199999999997</v>
      </c>
      <c r="J51" s="52">
        <f t="shared" si="15"/>
        <v>0</v>
      </c>
      <c r="K51" s="33">
        <f t="shared" si="17"/>
        <v>5.5162309119916673E-2</v>
      </c>
    </row>
    <row r="52" spans="1:11" x14ac:dyDescent="0.3">
      <c r="A52" s="871">
        <v>377</v>
      </c>
      <c r="B52" s="873">
        <v>18717.25</v>
      </c>
      <c r="C52" s="873" t="s">
        <v>1892</v>
      </c>
      <c r="D52" s="873">
        <f>+H52+H53</f>
        <v>377</v>
      </c>
      <c r="E52" s="873">
        <f>+I52+I53</f>
        <v>17929.900000000001</v>
      </c>
      <c r="F52" s="12" t="s">
        <v>1893</v>
      </c>
      <c r="G52" s="12">
        <v>61261</v>
      </c>
      <c r="H52" s="12">
        <v>255</v>
      </c>
      <c r="I52" s="12">
        <v>12138.8</v>
      </c>
      <c r="J52" s="877">
        <f t="shared" si="15"/>
        <v>0</v>
      </c>
      <c r="K52" s="879">
        <f>(+B52-E52)/B52</f>
        <v>4.2065474361885347E-2</v>
      </c>
    </row>
    <row r="53" spans="1:11" ht="15" thickBot="1" x14ac:dyDescent="0.35">
      <c r="A53" s="872"/>
      <c r="B53" s="874"/>
      <c r="C53" s="874"/>
      <c r="D53" s="874"/>
      <c r="E53" s="874"/>
      <c r="F53" s="10" t="s">
        <v>1893</v>
      </c>
      <c r="G53" s="10">
        <v>61261</v>
      </c>
      <c r="H53" s="10">
        <v>122</v>
      </c>
      <c r="I53" s="10">
        <v>5791.1</v>
      </c>
      <c r="J53" s="878"/>
      <c r="K53" s="880"/>
    </row>
    <row r="54" spans="1:11" x14ac:dyDescent="0.3">
      <c r="A54" s="871">
        <v>2005</v>
      </c>
      <c r="B54" s="873">
        <v>86077.2</v>
      </c>
      <c r="C54" s="873" t="s">
        <v>1894</v>
      </c>
      <c r="D54" s="873">
        <f>+H54+H55</f>
        <v>2004</v>
      </c>
      <c r="E54" s="873">
        <f>+I54+I55</f>
        <v>82078.3</v>
      </c>
      <c r="F54" s="12" t="s">
        <v>1895</v>
      </c>
      <c r="G54" s="12">
        <v>61271</v>
      </c>
      <c r="H54" s="12">
        <v>750</v>
      </c>
      <c r="I54" s="12">
        <v>32117.5</v>
      </c>
      <c r="J54" s="877">
        <f t="shared" ref="J54" si="19">+A54-D54</f>
        <v>1</v>
      </c>
      <c r="K54" s="879">
        <f t="shared" ref="K54" si="20">+((B54/A54)-(E54/D54))/(B54/A54)</f>
        <v>4.5981314035203988E-2</v>
      </c>
    </row>
    <row r="55" spans="1:11" ht="15" thickBot="1" x14ac:dyDescent="0.35">
      <c r="A55" s="872"/>
      <c r="B55" s="874"/>
      <c r="C55" s="874"/>
      <c r="D55" s="874"/>
      <c r="E55" s="874"/>
      <c r="F55" s="10" t="s">
        <v>1895</v>
      </c>
      <c r="G55" s="10">
        <v>61271</v>
      </c>
      <c r="H55" s="10">
        <v>1254</v>
      </c>
      <c r="I55" s="10">
        <v>49960.800000000003</v>
      </c>
      <c r="J55" s="878"/>
      <c r="K55" s="880"/>
    </row>
    <row r="56" spans="1:11" ht="15" thickBot="1" x14ac:dyDescent="0.35">
      <c r="A56" s="175">
        <v>718</v>
      </c>
      <c r="B56" s="8">
        <v>33297</v>
      </c>
      <c r="C56" s="8" t="s">
        <v>1981</v>
      </c>
      <c r="D56" s="8">
        <f t="shared" ref="D56:E56" si="21">+H56</f>
        <v>719</v>
      </c>
      <c r="E56" s="8">
        <f t="shared" si="21"/>
        <v>32258.5</v>
      </c>
      <c r="F56" s="8" t="s">
        <v>1982</v>
      </c>
      <c r="G56" s="8">
        <v>61281</v>
      </c>
      <c r="H56" s="8">
        <v>719</v>
      </c>
      <c r="I56" s="8">
        <v>32258.5</v>
      </c>
      <c r="J56" s="52">
        <f t="shared" ref="J56:J63" si="22">+A56-D56</f>
        <v>-1</v>
      </c>
      <c r="K56" s="138">
        <f t="shared" ref="K56" si="23">+((B56/A56)-(E56/D56))/(B56/A56)</f>
        <v>3.2536438292147356E-2</v>
      </c>
    </row>
    <row r="57" spans="1:11" ht="15" thickBot="1" x14ac:dyDescent="0.35">
      <c r="A57" s="175">
        <v>100</v>
      </c>
      <c r="B57" s="8">
        <v>4472.5</v>
      </c>
      <c r="C57" s="8" t="s">
        <v>1983</v>
      </c>
      <c r="D57" s="8">
        <v>100</v>
      </c>
      <c r="E57" s="8">
        <v>4267.2</v>
      </c>
      <c r="F57" s="8" t="s">
        <v>1984</v>
      </c>
      <c r="G57" s="8">
        <v>61301</v>
      </c>
      <c r="H57" s="8">
        <v>30</v>
      </c>
      <c r="I57" s="8">
        <v>1292.8</v>
      </c>
      <c r="J57" s="52">
        <f t="shared" si="22"/>
        <v>0</v>
      </c>
      <c r="K57" s="33">
        <f t="shared" ref="K57:K62" si="24">(+B57-E57)/B57</f>
        <v>4.5902738960313064E-2</v>
      </c>
    </row>
    <row r="58" spans="1:11" ht="15" thickBot="1" x14ac:dyDescent="0.35">
      <c r="A58" s="175">
        <v>950</v>
      </c>
      <c r="B58" s="8">
        <v>43085.3</v>
      </c>
      <c r="C58" s="8" t="s">
        <v>1985</v>
      </c>
      <c r="D58" s="8">
        <v>950</v>
      </c>
      <c r="E58" s="8">
        <v>40558.6</v>
      </c>
      <c r="F58" s="8" t="s">
        <v>1986</v>
      </c>
      <c r="G58" s="8">
        <v>61311</v>
      </c>
      <c r="H58" s="8">
        <v>750</v>
      </c>
      <c r="I58" s="8">
        <v>32185.7</v>
      </c>
      <c r="J58" s="52">
        <f t="shared" si="22"/>
        <v>0</v>
      </c>
      <c r="K58" s="33">
        <f t="shared" si="24"/>
        <v>5.8644131525137443E-2</v>
      </c>
    </row>
    <row r="59" spans="1:11" ht="15" thickBot="1" x14ac:dyDescent="0.35">
      <c r="A59" s="174">
        <v>100</v>
      </c>
      <c r="B59" s="12">
        <v>4963</v>
      </c>
      <c r="C59" s="12" t="s">
        <v>2096</v>
      </c>
      <c r="D59" s="12">
        <f t="shared" ref="D59:E62" si="25">+H59</f>
        <v>100</v>
      </c>
      <c r="E59" s="12">
        <f t="shared" si="25"/>
        <v>4894.8</v>
      </c>
      <c r="F59" s="12" t="s">
        <v>2097</v>
      </c>
      <c r="G59" s="12">
        <v>61371</v>
      </c>
      <c r="H59" s="12">
        <v>100</v>
      </c>
      <c r="I59" s="12">
        <v>4894.8</v>
      </c>
      <c r="J59" s="52">
        <f t="shared" si="22"/>
        <v>0</v>
      </c>
      <c r="K59" s="33">
        <f t="shared" si="24"/>
        <v>1.3741688494861942E-2</v>
      </c>
    </row>
    <row r="60" spans="1:11" ht="15" thickBot="1" x14ac:dyDescent="0.35">
      <c r="A60" s="175">
        <v>100</v>
      </c>
      <c r="B60" s="8">
        <v>5393.25</v>
      </c>
      <c r="C60" s="8" t="s">
        <v>2098</v>
      </c>
      <c r="D60" s="12">
        <f t="shared" si="25"/>
        <v>100</v>
      </c>
      <c r="E60" s="12">
        <f t="shared" si="25"/>
        <v>4875.8</v>
      </c>
      <c r="F60" s="8" t="s">
        <v>2099</v>
      </c>
      <c r="G60" s="8">
        <v>61381</v>
      </c>
      <c r="H60" s="8">
        <v>100</v>
      </c>
      <c r="I60" s="8">
        <v>4875.8</v>
      </c>
      <c r="J60" s="52">
        <f t="shared" si="22"/>
        <v>0</v>
      </c>
      <c r="K60" s="33">
        <f t="shared" si="24"/>
        <v>9.5944004079173001E-2</v>
      </c>
    </row>
    <row r="61" spans="1:11" ht="15" thickBot="1" x14ac:dyDescent="0.35">
      <c r="A61" s="175">
        <v>60</v>
      </c>
      <c r="B61" s="8">
        <v>2674.75</v>
      </c>
      <c r="C61" s="8" t="s">
        <v>2100</v>
      </c>
      <c r="D61" s="8">
        <f t="shared" si="25"/>
        <v>60</v>
      </c>
      <c r="E61" s="8">
        <f t="shared" si="25"/>
        <v>2559.9</v>
      </c>
      <c r="F61" s="8" t="s">
        <v>2101</v>
      </c>
      <c r="G61" s="8">
        <v>61391</v>
      </c>
      <c r="H61" s="8">
        <v>60</v>
      </c>
      <c r="I61" s="8">
        <v>2559.9</v>
      </c>
      <c r="J61" s="52">
        <f t="shared" si="22"/>
        <v>0</v>
      </c>
      <c r="K61" s="33">
        <f t="shared" si="24"/>
        <v>4.2938592391812282E-2</v>
      </c>
    </row>
    <row r="62" spans="1:11" ht="15" thickBot="1" x14ac:dyDescent="0.35">
      <c r="A62" s="175">
        <v>88</v>
      </c>
      <c r="B62" s="8">
        <v>4086.5</v>
      </c>
      <c r="C62" s="8" t="s">
        <v>2102</v>
      </c>
      <c r="D62" s="8">
        <f t="shared" si="25"/>
        <v>88</v>
      </c>
      <c r="E62" s="8">
        <f t="shared" si="25"/>
        <v>3847.3</v>
      </c>
      <c r="F62" s="8" t="s">
        <v>2103</v>
      </c>
      <c r="G62" s="8">
        <v>61461</v>
      </c>
      <c r="H62" s="8">
        <v>88</v>
      </c>
      <c r="I62" s="8">
        <v>3847.3</v>
      </c>
      <c r="J62" s="52">
        <f t="shared" si="22"/>
        <v>0</v>
      </c>
      <c r="K62" s="33">
        <f t="shared" si="24"/>
        <v>5.8534197968922015E-2</v>
      </c>
    </row>
    <row r="63" spans="1:11" x14ac:dyDescent="0.3">
      <c r="A63" s="871">
        <v>961</v>
      </c>
      <c r="B63" s="873">
        <v>43019</v>
      </c>
      <c r="C63" s="873" t="s">
        <v>2104</v>
      </c>
      <c r="D63" s="873">
        <f>+H63+H64</f>
        <v>961</v>
      </c>
      <c r="E63" s="873">
        <f>+I63+I64</f>
        <v>41015.9</v>
      </c>
      <c r="F63" s="12" t="s">
        <v>2105</v>
      </c>
      <c r="G63" s="12">
        <v>61481</v>
      </c>
      <c r="H63" s="12">
        <v>290</v>
      </c>
      <c r="I63" s="12">
        <v>12333.4</v>
      </c>
      <c r="J63" s="877">
        <f t="shared" si="22"/>
        <v>0</v>
      </c>
      <c r="K63" s="879">
        <f>(+B63-E63)/B63</f>
        <v>4.6563146516655399E-2</v>
      </c>
    </row>
    <row r="64" spans="1:11" ht="15" thickBot="1" x14ac:dyDescent="0.35">
      <c r="A64" s="872"/>
      <c r="B64" s="874"/>
      <c r="C64" s="874"/>
      <c r="D64" s="874"/>
      <c r="E64" s="874"/>
      <c r="F64" s="10" t="s">
        <v>2105</v>
      </c>
      <c r="G64" s="10">
        <v>61481</v>
      </c>
      <c r="H64" s="10">
        <v>671</v>
      </c>
      <c r="I64" s="10">
        <v>28682.5</v>
      </c>
      <c r="J64" s="878"/>
      <c r="K64" s="880"/>
    </row>
    <row r="65" spans="1:11" x14ac:dyDescent="0.3">
      <c r="A65" s="871">
        <v>1413</v>
      </c>
      <c r="B65" s="873">
        <v>63273.25</v>
      </c>
      <c r="C65" s="873" t="s">
        <v>2106</v>
      </c>
      <c r="D65" s="873">
        <f>+H65+H66+H67</f>
        <v>1413</v>
      </c>
      <c r="E65" s="873">
        <f>+I65+I66+I67</f>
        <v>60561</v>
      </c>
      <c r="F65" s="12" t="s">
        <v>2107</v>
      </c>
      <c r="G65" s="12">
        <v>61491</v>
      </c>
      <c r="H65" s="12">
        <v>510</v>
      </c>
      <c r="I65" s="12">
        <v>22071.5</v>
      </c>
      <c r="J65" s="877">
        <f>+A65-D65</f>
        <v>0</v>
      </c>
      <c r="K65" s="879">
        <f>+(B65-E65)/B65</f>
        <v>4.2865665980489388E-2</v>
      </c>
    </row>
    <row r="66" spans="1:11" x14ac:dyDescent="0.3">
      <c r="A66" s="875"/>
      <c r="B66" s="881"/>
      <c r="C66" s="881"/>
      <c r="D66" s="881"/>
      <c r="E66" s="881"/>
      <c r="F66" s="15" t="s">
        <v>2107</v>
      </c>
      <c r="G66" s="15">
        <v>61491</v>
      </c>
      <c r="H66" s="15">
        <v>308</v>
      </c>
      <c r="I66" s="15">
        <v>13180.6</v>
      </c>
      <c r="J66" s="886"/>
      <c r="K66" s="885"/>
    </row>
    <row r="67" spans="1:11" ht="15" thickBot="1" x14ac:dyDescent="0.35">
      <c r="A67" s="872"/>
      <c r="B67" s="874"/>
      <c r="C67" s="874"/>
      <c r="D67" s="874"/>
      <c r="E67" s="874"/>
      <c r="F67" s="10" t="s">
        <v>2107</v>
      </c>
      <c r="G67" s="10">
        <v>61491</v>
      </c>
      <c r="H67" s="10">
        <v>595</v>
      </c>
      <c r="I67" s="10">
        <v>25308.9</v>
      </c>
      <c r="J67" s="878"/>
      <c r="K67" s="880"/>
    </row>
    <row r="68" spans="1:11" x14ac:dyDescent="0.3">
      <c r="A68" s="871">
        <v>1852</v>
      </c>
      <c r="B68" s="873">
        <v>81129.25</v>
      </c>
      <c r="C68" s="873" t="s">
        <v>2108</v>
      </c>
      <c r="D68" s="873">
        <f>+H68+H69+H70+497</f>
        <v>1855</v>
      </c>
      <c r="E68" s="873">
        <f>+I68+I69+I70+21155.8</f>
        <v>77747.600000000006</v>
      </c>
      <c r="F68" s="12" t="s">
        <v>2109</v>
      </c>
      <c r="G68" s="12">
        <v>61641</v>
      </c>
      <c r="H68" s="12">
        <v>400</v>
      </c>
      <c r="I68" s="12">
        <v>17187.400000000001</v>
      </c>
      <c r="J68" s="877">
        <f>+A68-D68</f>
        <v>-3</v>
      </c>
      <c r="K68" s="879">
        <f t="shared" ref="K68" si="26">+((B68/A68)-(E68/D68))/(B68/A68)</f>
        <v>4.3232093954899894E-2</v>
      </c>
    </row>
    <row r="69" spans="1:11" x14ac:dyDescent="0.3">
      <c r="A69" s="875"/>
      <c r="B69" s="881"/>
      <c r="C69" s="881"/>
      <c r="D69" s="881"/>
      <c r="E69" s="881"/>
      <c r="F69" s="15" t="s">
        <v>2109</v>
      </c>
      <c r="G69" s="15">
        <v>61641</v>
      </c>
      <c r="H69" s="15">
        <v>532</v>
      </c>
      <c r="I69" s="15">
        <v>22754.9</v>
      </c>
      <c r="J69" s="886"/>
      <c r="K69" s="885"/>
    </row>
    <row r="70" spans="1:11" ht="15" thickBot="1" x14ac:dyDescent="0.35">
      <c r="A70" s="872"/>
      <c r="B70" s="874"/>
      <c r="C70" s="874"/>
      <c r="D70" s="874"/>
      <c r="E70" s="874"/>
      <c r="F70" s="10" t="s">
        <v>2109</v>
      </c>
      <c r="G70" s="10">
        <v>61641</v>
      </c>
      <c r="H70" s="10">
        <v>426</v>
      </c>
      <c r="I70" s="10">
        <v>16649.5</v>
      </c>
      <c r="J70" s="878"/>
      <c r="K70" s="880"/>
    </row>
    <row r="71" spans="1:11" x14ac:dyDescent="0.3">
      <c r="A71" s="935">
        <v>250</v>
      </c>
      <c r="B71" s="908">
        <v>11071.75</v>
      </c>
      <c r="C71" s="908" t="s">
        <v>2240</v>
      </c>
      <c r="D71" s="873">
        <f>+H71+H72</f>
        <v>250</v>
      </c>
      <c r="E71" s="873">
        <f>+I71+I72</f>
        <v>10346.4</v>
      </c>
      <c r="F71" s="12" t="s">
        <v>2241</v>
      </c>
      <c r="G71" s="12">
        <v>61701</v>
      </c>
      <c r="H71" s="12">
        <v>123</v>
      </c>
      <c r="I71" s="12">
        <v>5045</v>
      </c>
      <c r="J71" s="877">
        <f t="shared" ref="J71" si="27">+A71-D71</f>
        <v>0</v>
      </c>
      <c r="K71" s="879">
        <f>(+B71-E71)/B71</f>
        <v>6.5513581863752376E-2</v>
      </c>
    </row>
    <row r="72" spans="1:11" ht="15" thickBot="1" x14ac:dyDescent="0.35">
      <c r="A72" s="937"/>
      <c r="B72" s="910"/>
      <c r="C72" s="910"/>
      <c r="D72" s="874"/>
      <c r="E72" s="874"/>
      <c r="F72" s="10" t="s">
        <v>2241</v>
      </c>
      <c r="G72" s="10">
        <v>61701</v>
      </c>
      <c r="H72" s="10">
        <v>127</v>
      </c>
      <c r="I72" s="10">
        <v>5301.4</v>
      </c>
      <c r="J72" s="878"/>
      <c r="K72" s="880"/>
    </row>
    <row r="73" spans="1:11" ht="15" thickBot="1" x14ac:dyDescent="0.35">
      <c r="A73" s="255">
        <v>150</v>
      </c>
      <c r="B73" s="256">
        <v>7051</v>
      </c>
      <c r="C73" s="256" t="s">
        <v>2242</v>
      </c>
      <c r="D73" s="8">
        <f>+H73</f>
        <v>151</v>
      </c>
      <c r="E73" s="8">
        <f>+I73</f>
        <v>6808.8</v>
      </c>
      <c r="F73" s="8" t="s">
        <v>2243</v>
      </c>
      <c r="G73" s="8">
        <v>61721</v>
      </c>
      <c r="H73" s="8">
        <v>151</v>
      </c>
      <c r="I73" s="8">
        <v>6808.8</v>
      </c>
      <c r="J73" s="52">
        <f t="shared" ref="J73:J74" si="28">+A73-D73</f>
        <v>-1</v>
      </c>
      <c r="K73" s="138">
        <f t="shared" ref="K73:K75" si="29">+((B73/A73)-(E73/D73))/(B73/A73)</f>
        <v>4.0744772476028437E-2</v>
      </c>
    </row>
    <row r="74" spans="1:11" ht="15" thickBot="1" x14ac:dyDescent="0.35">
      <c r="A74" s="175">
        <v>648</v>
      </c>
      <c r="B74" s="8">
        <v>29074.5</v>
      </c>
      <c r="C74" s="8" t="s">
        <v>2244</v>
      </c>
      <c r="D74" s="8">
        <f>+H74+21</f>
        <v>650</v>
      </c>
      <c r="E74" s="8">
        <f>+I74+894.3</f>
        <v>27397.200000000001</v>
      </c>
      <c r="F74" s="8" t="s">
        <v>2245</v>
      </c>
      <c r="G74" s="8">
        <v>61761</v>
      </c>
      <c r="H74" s="8">
        <v>629</v>
      </c>
      <c r="I74" s="8">
        <v>26502.9</v>
      </c>
      <c r="J74" s="52">
        <f t="shared" si="28"/>
        <v>-2</v>
      </c>
      <c r="K74" s="138">
        <f t="shared" si="29"/>
        <v>6.0589144333456378E-2</v>
      </c>
    </row>
    <row r="75" spans="1:11" x14ac:dyDescent="0.3">
      <c r="A75" s="871">
        <v>925</v>
      </c>
      <c r="B75" s="873">
        <v>39738</v>
      </c>
      <c r="C75" s="873" t="s">
        <v>2246</v>
      </c>
      <c r="D75" s="873">
        <f>+H75+H76</f>
        <v>923</v>
      </c>
      <c r="E75" s="873">
        <f>+I75+I76</f>
        <v>37617.300000000003</v>
      </c>
      <c r="F75" s="12" t="s">
        <v>2247</v>
      </c>
      <c r="G75" s="12">
        <v>61781</v>
      </c>
      <c r="H75" s="12">
        <v>414</v>
      </c>
      <c r="I75" s="12">
        <v>16207.4</v>
      </c>
      <c r="J75" s="877">
        <f t="shared" ref="J75" si="30">+A75-D75</f>
        <v>2</v>
      </c>
      <c r="K75" s="879">
        <f t="shared" si="29"/>
        <v>5.1315845221738564E-2</v>
      </c>
    </row>
    <row r="76" spans="1:11" ht="15" thickBot="1" x14ac:dyDescent="0.35">
      <c r="A76" s="872"/>
      <c r="B76" s="874"/>
      <c r="C76" s="874"/>
      <c r="D76" s="874"/>
      <c r="E76" s="874"/>
      <c r="F76" s="10" t="s">
        <v>2247</v>
      </c>
      <c r="G76" s="10">
        <v>61781</v>
      </c>
      <c r="H76" s="10">
        <v>509</v>
      </c>
      <c r="I76" s="10">
        <v>21409.9</v>
      </c>
      <c r="J76" s="878"/>
      <c r="K76" s="880"/>
    </row>
    <row r="77" spans="1:11" x14ac:dyDescent="0.3">
      <c r="A77" s="871">
        <v>562</v>
      </c>
      <c r="B77" s="873">
        <v>24492.799999999999</v>
      </c>
      <c r="C77" s="873" t="s">
        <v>2420</v>
      </c>
      <c r="D77" s="873">
        <f>+H77+H78</f>
        <v>562</v>
      </c>
      <c r="E77" s="873">
        <f>+I77+I78</f>
        <v>23139.200000000001</v>
      </c>
      <c r="F77" s="12" t="s">
        <v>2421</v>
      </c>
      <c r="G77" s="12">
        <v>61791</v>
      </c>
      <c r="H77" s="12">
        <v>400</v>
      </c>
      <c r="I77" s="12">
        <v>16266.2</v>
      </c>
      <c r="J77" s="877">
        <f t="shared" ref="J77" si="31">+A77-D77</f>
        <v>0</v>
      </c>
      <c r="K77" s="879">
        <f>(+B77-E77)/B77</f>
        <v>5.5265220799581863E-2</v>
      </c>
    </row>
    <row r="78" spans="1:11" ht="15" thickBot="1" x14ac:dyDescent="0.35">
      <c r="A78" s="875"/>
      <c r="B78" s="881"/>
      <c r="C78" s="881"/>
      <c r="D78" s="881"/>
      <c r="E78" s="881"/>
      <c r="F78" s="15" t="s">
        <v>2421</v>
      </c>
      <c r="G78" s="15">
        <v>61791</v>
      </c>
      <c r="H78" s="15">
        <v>162</v>
      </c>
      <c r="I78" s="15">
        <v>6873</v>
      </c>
      <c r="J78" s="878"/>
      <c r="K78" s="880"/>
    </row>
    <row r="79" spans="1:11" x14ac:dyDescent="0.3">
      <c r="A79" s="871">
        <v>900</v>
      </c>
      <c r="B79" s="873">
        <v>41450.9</v>
      </c>
      <c r="C79" s="873" t="s">
        <v>2422</v>
      </c>
      <c r="D79" s="873">
        <f>+H79+H80</f>
        <v>900</v>
      </c>
      <c r="E79" s="873">
        <f>+I79+I80</f>
        <v>38671.4</v>
      </c>
      <c r="F79" s="12" t="s">
        <v>2423</v>
      </c>
      <c r="G79" s="12">
        <v>61851</v>
      </c>
      <c r="H79" s="12">
        <v>840</v>
      </c>
      <c r="I79" s="12">
        <v>36068.800000000003</v>
      </c>
      <c r="J79" s="877">
        <f t="shared" ref="J79" si="32">+A79-D79</f>
        <v>0</v>
      </c>
      <c r="K79" s="879">
        <f>(+B79-E79)/B79</f>
        <v>6.7055238848854906E-2</v>
      </c>
    </row>
    <row r="80" spans="1:11" ht="15" thickBot="1" x14ac:dyDescent="0.35">
      <c r="A80" s="872"/>
      <c r="B80" s="874"/>
      <c r="C80" s="874"/>
      <c r="D80" s="874"/>
      <c r="E80" s="874"/>
      <c r="F80" s="10" t="s">
        <v>2423</v>
      </c>
      <c r="G80" s="10">
        <v>6185</v>
      </c>
      <c r="H80" s="10">
        <v>60</v>
      </c>
      <c r="I80" s="10">
        <v>2602.6</v>
      </c>
      <c r="J80" s="878"/>
      <c r="K80" s="880"/>
    </row>
    <row r="81" spans="1:11" ht="15" thickBot="1" x14ac:dyDescent="0.35">
      <c r="A81" s="174">
        <v>300</v>
      </c>
      <c r="B81" s="12">
        <v>14676.1</v>
      </c>
      <c r="C81" s="12" t="s">
        <v>2424</v>
      </c>
      <c r="D81" s="12">
        <f>+H81</f>
        <v>300</v>
      </c>
      <c r="E81" s="12">
        <f>+I81</f>
        <v>13741.5</v>
      </c>
      <c r="F81" s="12" t="s">
        <v>2425</v>
      </c>
      <c r="G81" s="12">
        <v>61881</v>
      </c>
      <c r="H81" s="12">
        <v>300</v>
      </c>
      <c r="I81" s="12">
        <v>13741.5</v>
      </c>
      <c r="J81" s="52">
        <f t="shared" ref="J81" si="33">+A81-D81</f>
        <v>0</v>
      </c>
      <c r="K81" s="33">
        <f t="shared" ref="K81" si="34">(+B81-E81)/B81</f>
        <v>6.3681768317196005E-2</v>
      </c>
    </row>
    <row r="82" spans="1:11" x14ac:dyDescent="0.3">
      <c r="A82" s="871">
        <v>1565</v>
      </c>
      <c r="B82" s="873">
        <v>68868.25</v>
      </c>
      <c r="C82" s="873" t="s">
        <v>2426</v>
      </c>
      <c r="D82" s="873">
        <f>+H82+H83</f>
        <v>1566</v>
      </c>
      <c r="E82" s="873">
        <f>+I82+I83</f>
        <v>66071.3</v>
      </c>
      <c r="F82" s="12" t="s">
        <v>2427</v>
      </c>
      <c r="G82" s="12">
        <v>61891</v>
      </c>
      <c r="H82" s="12">
        <v>935</v>
      </c>
      <c r="I82" s="12">
        <v>39371.1</v>
      </c>
      <c r="J82" s="877">
        <f t="shared" ref="J82" si="35">+A82-D82</f>
        <v>-1</v>
      </c>
      <c r="K82" s="879">
        <f t="shared" ref="K82" si="36">+((B82/A82)-(E82/D82))/(B82/A82)</f>
        <v>4.1225689978800155E-2</v>
      </c>
    </row>
    <row r="83" spans="1:11" ht="15" thickBot="1" x14ac:dyDescent="0.35">
      <c r="A83" s="875"/>
      <c r="B83" s="881"/>
      <c r="C83" s="881"/>
      <c r="D83" s="881"/>
      <c r="E83" s="881"/>
      <c r="F83" s="15" t="s">
        <v>2427</v>
      </c>
      <c r="G83" s="15">
        <v>61891</v>
      </c>
      <c r="H83" s="15">
        <v>631</v>
      </c>
      <c r="I83" s="15">
        <v>26700.200000000004</v>
      </c>
      <c r="J83" s="878"/>
      <c r="K83" s="880"/>
    </row>
    <row r="84" spans="1:11" x14ac:dyDescent="0.3">
      <c r="A84" s="871">
        <v>835</v>
      </c>
      <c r="B84" s="873">
        <v>36455.5</v>
      </c>
      <c r="C84" s="873" t="s">
        <v>2428</v>
      </c>
      <c r="D84" s="873">
        <f>+H84+H85+H86</f>
        <v>835</v>
      </c>
      <c r="E84" s="873">
        <f>+I84+I85+I86</f>
        <v>34873.399999999994</v>
      </c>
      <c r="F84" s="12" t="s">
        <v>2429</v>
      </c>
      <c r="G84" s="12">
        <v>61921</v>
      </c>
      <c r="H84" s="12">
        <v>479</v>
      </c>
      <c r="I84" s="12">
        <v>19829.199999999997</v>
      </c>
      <c r="J84" s="877">
        <f>+A84-D84</f>
        <v>0</v>
      </c>
      <c r="K84" s="879">
        <f>+(B84-E84)/B84</f>
        <v>4.3398115510691275E-2</v>
      </c>
    </row>
    <row r="85" spans="1:11" x14ac:dyDescent="0.3">
      <c r="A85" s="875"/>
      <c r="B85" s="881"/>
      <c r="C85" s="881"/>
      <c r="D85" s="881"/>
      <c r="E85" s="881"/>
      <c r="F85" s="15" t="s">
        <v>2429</v>
      </c>
      <c r="G85" s="15">
        <v>61921</v>
      </c>
      <c r="H85" s="15">
        <v>220</v>
      </c>
      <c r="I85" s="15">
        <v>9726.2999999999993</v>
      </c>
      <c r="J85" s="886"/>
      <c r="K85" s="885"/>
    </row>
    <row r="86" spans="1:11" ht="15" thickBot="1" x14ac:dyDescent="0.35">
      <c r="A86" s="872"/>
      <c r="B86" s="874"/>
      <c r="C86" s="874"/>
      <c r="D86" s="874"/>
      <c r="E86" s="874"/>
      <c r="F86" s="10" t="s">
        <v>2429</v>
      </c>
      <c r="G86" s="10">
        <v>61921</v>
      </c>
      <c r="H86" s="10">
        <v>136</v>
      </c>
      <c r="I86" s="10">
        <v>5317.9</v>
      </c>
      <c r="J86" s="878"/>
      <c r="K86" s="880"/>
    </row>
    <row r="87" spans="1:11" ht="15" thickBot="1" x14ac:dyDescent="0.35">
      <c r="A87" s="175">
        <v>752</v>
      </c>
      <c r="B87" s="8">
        <v>32726.75</v>
      </c>
      <c r="C87" s="8" t="s">
        <v>2430</v>
      </c>
      <c r="D87" s="8">
        <f>+H87</f>
        <v>752</v>
      </c>
      <c r="E87" s="8">
        <f>+I87</f>
        <v>31125.8</v>
      </c>
      <c r="F87" s="8" t="s">
        <v>2431</v>
      </c>
      <c r="G87" s="8">
        <v>61931</v>
      </c>
      <c r="H87" s="8">
        <v>752</v>
      </c>
      <c r="I87" s="8">
        <v>31125.8</v>
      </c>
      <c r="J87" s="52">
        <f t="shared" ref="J87" si="37">+A87-D87</f>
        <v>0</v>
      </c>
      <c r="K87" s="33">
        <f t="shared" ref="K87" si="38">(+B87-E87)/B87</f>
        <v>4.8918698006982078E-2</v>
      </c>
    </row>
    <row r="88" spans="1:11" x14ac:dyDescent="0.3">
      <c r="A88" s="871">
        <v>562</v>
      </c>
      <c r="B88" s="873">
        <v>24550</v>
      </c>
      <c r="C88" s="873" t="s">
        <v>2432</v>
      </c>
      <c r="D88" s="873">
        <v>562</v>
      </c>
      <c r="E88" s="873">
        <v>23239.4</v>
      </c>
      <c r="F88" s="12" t="s">
        <v>2433</v>
      </c>
      <c r="G88" s="12">
        <v>62011</v>
      </c>
      <c r="H88" s="12">
        <v>230</v>
      </c>
      <c r="I88" s="12">
        <v>9470.7999999999993</v>
      </c>
      <c r="J88" s="877">
        <f t="shared" ref="J88" si="39">+A88-D88</f>
        <v>0</v>
      </c>
      <c r="K88" s="879">
        <f t="shared" ref="K88" si="40">+((B88/A88)-(E88/D88))/(B88/A88)</f>
        <v>5.3384928716904242E-2</v>
      </c>
    </row>
    <row r="89" spans="1:11" ht="15" thickBot="1" x14ac:dyDescent="0.35">
      <c r="A89" s="875"/>
      <c r="B89" s="881"/>
      <c r="C89" s="881"/>
      <c r="D89" s="881"/>
      <c r="E89" s="881"/>
      <c r="F89" s="15" t="s">
        <v>2433</v>
      </c>
      <c r="G89" s="15">
        <v>62011</v>
      </c>
      <c r="H89" s="15">
        <v>312</v>
      </c>
      <c r="I89" s="15">
        <v>12985.3</v>
      </c>
      <c r="J89" s="878"/>
      <c r="K89" s="880"/>
    </row>
    <row r="90" spans="1:11" x14ac:dyDescent="0.3">
      <c r="A90" s="871">
        <v>1475</v>
      </c>
      <c r="B90" s="873">
        <v>72527.75</v>
      </c>
      <c r="C90" s="873" t="s">
        <v>2434</v>
      </c>
      <c r="D90" s="873">
        <f>+H90+H91</f>
        <v>1477</v>
      </c>
      <c r="E90" s="873">
        <f>+I90+I91</f>
        <v>70074.399999999994</v>
      </c>
      <c r="F90" s="12" t="s">
        <v>2435</v>
      </c>
      <c r="G90" s="12">
        <v>62031</v>
      </c>
      <c r="H90" s="12">
        <v>976</v>
      </c>
      <c r="I90" s="12">
        <v>46538.8</v>
      </c>
      <c r="J90" s="877">
        <f t="shared" ref="J90" si="41">+A90-D90</f>
        <v>-2</v>
      </c>
      <c r="K90" s="879">
        <f t="shared" ref="K90" si="42">+((B90/A90)-(E90/D90))/(B90/A90)</f>
        <v>3.5134655005990154E-2</v>
      </c>
    </row>
    <row r="91" spans="1:11" ht="15" thickBot="1" x14ac:dyDescent="0.35">
      <c r="A91" s="872"/>
      <c r="B91" s="874"/>
      <c r="C91" s="874"/>
      <c r="D91" s="874"/>
      <c r="E91" s="874"/>
      <c r="F91" s="10" t="s">
        <v>2435</v>
      </c>
      <c r="G91" s="10">
        <v>62031</v>
      </c>
      <c r="H91" s="10">
        <v>501</v>
      </c>
      <c r="I91" s="10">
        <v>23535.599999999999</v>
      </c>
      <c r="J91" s="878"/>
      <c r="K91" s="880"/>
    </row>
    <row r="92" spans="1:11" ht="15" thickBot="1" x14ac:dyDescent="0.35">
      <c r="A92" s="175">
        <v>750</v>
      </c>
      <c r="B92" s="8">
        <v>33804.25</v>
      </c>
      <c r="C92" s="8" t="s">
        <v>2436</v>
      </c>
      <c r="D92" s="8">
        <v>750</v>
      </c>
      <c r="E92" s="8">
        <v>31935.3</v>
      </c>
      <c r="F92" s="8" t="s">
        <v>2437</v>
      </c>
      <c r="G92" s="8">
        <v>62041</v>
      </c>
      <c r="H92" s="8">
        <v>600</v>
      </c>
      <c r="I92" s="8">
        <v>25473.599999999999</v>
      </c>
      <c r="J92" s="52">
        <f t="shared" ref="J92:J94" si="43">+A92-D92</f>
        <v>0</v>
      </c>
      <c r="K92" s="33">
        <f t="shared" ref="K92:K93" si="44">(+B92-E92)/B92</f>
        <v>5.5287426876798058E-2</v>
      </c>
    </row>
    <row r="93" spans="1:11" ht="15" thickBot="1" x14ac:dyDescent="0.35">
      <c r="A93" s="175">
        <v>750</v>
      </c>
      <c r="B93" s="8">
        <v>32601</v>
      </c>
      <c r="C93" s="8" t="s">
        <v>2556</v>
      </c>
      <c r="D93" s="8">
        <f>+H93</f>
        <v>750</v>
      </c>
      <c r="E93" s="8">
        <f>+I93</f>
        <v>30826</v>
      </c>
      <c r="F93" s="8" t="s">
        <v>2557</v>
      </c>
      <c r="G93" s="8">
        <v>626111</v>
      </c>
      <c r="H93" s="8">
        <v>750</v>
      </c>
      <c r="I93" s="8">
        <v>30826</v>
      </c>
      <c r="J93" s="52">
        <f t="shared" si="43"/>
        <v>0</v>
      </c>
      <c r="K93" s="33">
        <f t="shared" si="44"/>
        <v>5.4446182632434587E-2</v>
      </c>
    </row>
    <row r="94" spans="1:11" x14ac:dyDescent="0.3">
      <c r="A94" s="871">
        <v>941</v>
      </c>
      <c r="B94" s="873">
        <v>41406.25</v>
      </c>
      <c r="C94" s="873" t="s">
        <v>2558</v>
      </c>
      <c r="D94" s="873">
        <f>+H94+H95</f>
        <v>941</v>
      </c>
      <c r="E94" s="873">
        <f>+I94+I95</f>
        <v>39345.600000000006</v>
      </c>
      <c r="F94" s="12" t="s">
        <v>2559</v>
      </c>
      <c r="G94" s="12">
        <v>62121</v>
      </c>
      <c r="H94" s="12">
        <v>630</v>
      </c>
      <c r="I94" s="12">
        <v>26516.400000000001</v>
      </c>
      <c r="J94" s="877">
        <f t="shared" si="43"/>
        <v>0</v>
      </c>
      <c r="K94" s="879">
        <f>(+B94-E94)/B94</f>
        <v>4.9766641509433822E-2</v>
      </c>
    </row>
    <row r="95" spans="1:11" ht="15" thickBot="1" x14ac:dyDescent="0.35">
      <c r="A95" s="872"/>
      <c r="B95" s="874"/>
      <c r="C95" s="874"/>
      <c r="D95" s="874"/>
      <c r="E95" s="874"/>
      <c r="F95" s="10" t="s">
        <v>2559</v>
      </c>
      <c r="G95" s="10">
        <v>62121</v>
      </c>
      <c r="H95" s="10">
        <v>311</v>
      </c>
      <c r="I95" s="10">
        <v>12829.2</v>
      </c>
      <c r="J95" s="878"/>
      <c r="K95" s="880"/>
    </row>
    <row r="96" spans="1:11" x14ac:dyDescent="0.3">
      <c r="A96" s="871">
        <v>1293</v>
      </c>
      <c r="B96" s="873">
        <v>63214.25</v>
      </c>
      <c r="C96" s="873" t="s">
        <v>2560</v>
      </c>
      <c r="D96" s="873">
        <v>1280</v>
      </c>
      <c r="E96" s="873">
        <v>58490.5</v>
      </c>
      <c r="F96" s="12" t="s">
        <v>2561</v>
      </c>
      <c r="G96" s="12">
        <v>62161</v>
      </c>
      <c r="H96" s="12">
        <v>672</v>
      </c>
      <c r="I96" s="12">
        <v>31226.199999999997</v>
      </c>
      <c r="J96" s="877">
        <f t="shared" ref="J96" si="45">+A96-D96</f>
        <v>13</v>
      </c>
      <c r="K96" s="879">
        <f t="shared" ref="K96" si="46">+((B96/A96)-(E96/D96))/(B96/A96)</f>
        <v>6.5328717170179226E-2</v>
      </c>
    </row>
    <row r="97" spans="1:11" ht="15" thickBot="1" x14ac:dyDescent="0.35">
      <c r="A97" s="872"/>
      <c r="B97" s="874"/>
      <c r="C97" s="874"/>
      <c r="D97" s="874"/>
      <c r="E97" s="874"/>
      <c r="F97" s="10" t="s">
        <v>2561</v>
      </c>
      <c r="G97" s="10">
        <v>62161</v>
      </c>
      <c r="H97" s="10">
        <v>574</v>
      </c>
      <c r="I97" s="10">
        <v>25690</v>
      </c>
      <c r="J97" s="878"/>
      <c r="K97" s="880"/>
    </row>
    <row r="98" spans="1:11" x14ac:dyDescent="0.3">
      <c r="A98" s="871">
        <v>1268</v>
      </c>
      <c r="B98" s="873">
        <v>54123.5</v>
      </c>
      <c r="C98" s="873" t="s">
        <v>2721</v>
      </c>
      <c r="D98" s="873">
        <f>+H98+H99+H100</f>
        <v>1254</v>
      </c>
      <c r="E98" s="873">
        <f>+I98+I99+I100</f>
        <v>51617.499999999993</v>
      </c>
      <c r="F98" s="12" t="s">
        <v>2722</v>
      </c>
      <c r="G98" s="12">
        <v>62201</v>
      </c>
      <c r="H98" s="12">
        <v>601</v>
      </c>
      <c r="I98" s="12">
        <v>24951.1</v>
      </c>
      <c r="J98" s="877">
        <f>+A98-D98</f>
        <v>14</v>
      </c>
      <c r="K98" s="879">
        <f t="shared" ref="K98" si="47">+((B98/A98)-(E98/D98))/(B98/A98)</f>
        <v>3.5654162612828916E-2</v>
      </c>
    </row>
    <row r="99" spans="1:11" x14ac:dyDescent="0.3">
      <c r="A99" s="875"/>
      <c r="B99" s="881"/>
      <c r="C99" s="881"/>
      <c r="D99" s="881"/>
      <c r="E99" s="881"/>
      <c r="F99" s="15" t="s">
        <v>2722</v>
      </c>
      <c r="G99" s="15">
        <v>62202</v>
      </c>
      <c r="H99" s="15">
        <v>207</v>
      </c>
      <c r="I99" s="15">
        <v>8264.2999999999993</v>
      </c>
      <c r="J99" s="886"/>
      <c r="K99" s="885"/>
    </row>
    <row r="100" spans="1:11" ht="15" thickBot="1" x14ac:dyDescent="0.35">
      <c r="A100" s="872"/>
      <c r="B100" s="874"/>
      <c r="C100" s="874"/>
      <c r="D100" s="874"/>
      <c r="E100" s="874"/>
      <c r="F100" s="10" t="s">
        <v>2722</v>
      </c>
      <c r="G100" s="10">
        <v>62202</v>
      </c>
      <c r="H100" s="10">
        <v>446</v>
      </c>
      <c r="I100" s="10">
        <v>18402.099999999999</v>
      </c>
      <c r="J100" s="878"/>
      <c r="K100" s="880"/>
    </row>
    <row r="101" spans="1:11" ht="15" thickBot="1" x14ac:dyDescent="0.35">
      <c r="A101" s="175">
        <v>184</v>
      </c>
      <c r="B101" s="8">
        <v>8794.75</v>
      </c>
      <c r="C101" s="8" t="s">
        <v>2723</v>
      </c>
      <c r="D101" s="8">
        <f>+H101</f>
        <v>184</v>
      </c>
      <c r="E101" s="8">
        <f>+I101</f>
        <v>8426.9</v>
      </c>
      <c r="F101" s="8" t="s">
        <v>2724</v>
      </c>
      <c r="G101" s="8">
        <v>62251</v>
      </c>
      <c r="H101" s="8">
        <v>184</v>
      </c>
      <c r="I101" s="8">
        <v>8426.9</v>
      </c>
      <c r="J101" s="52">
        <f t="shared" ref="J101:J106" si="48">+A101-D101</f>
        <v>0</v>
      </c>
      <c r="K101" s="33">
        <f t="shared" ref="K101:K103" si="49">(+B101-E101)/B101</f>
        <v>4.1826089428352184E-2</v>
      </c>
    </row>
    <row r="102" spans="1:11" ht="15" thickBot="1" x14ac:dyDescent="0.35">
      <c r="A102" s="175">
        <v>550</v>
      </c>
      <c r="B102" s="8">
        <v>24095.75</v>
      </c>
      <c r="C102" s="8" t="s">
        <v>2725</v>
      </c>
      <c r="D102" s="8">
        <f t="shared" ref="D102:E105" si="50">+H102</f>
        <v>550</v>
      </c>
      <c r="E102" s="8">
        <f t="shared" si="50"/>
        <v>22854.3</v>
      </c>
      <c r="F102" s="8" t="s">
        <v>2726</v>
      </c>
      <c r="G102" s="8">
        <v>62281</v>
      </c>
      <c r="H102" s="8">
        <v>550</v>
      </c>
      <c r="I102" s="8">
        <v>22854.3</v>
      </c>
      <c r="J102" s="52">
        <f t="shared" si="48"/>
        <v>0</v>
      </c>
      <c r="K102" s="33">
        <f t="shared" si="49"/>
        <v>5.1521533880456126E-2</v>
      </c>
    </row>
    <row r="103" spans="1:11" ht="15" thickBot="1" x14ac:dyDescent="0.35">
      <c r="A103" s="175">
        <v>84</v>
      </c>
      <c r="B103" s="8">
        <v>3720.5</v>
      </c>
      <c r="C103" s="8" t="s">
        <v>2727</v>
      </c>
      <c r="D103" s="8">
        <f t="shared" si="50"/>
        <v>84</v>
      </c>
      <c r="E103" s="8">
        <f t="shared" si="50"/>
        <v>3543.1</v>
      </c>
      <c r="F103" s="8" t="s">
        <v>2728</v>
      </c>
      <c r="G103" s="8">
        <v>62291</v>
      </c>
      <c r="H103" s="8">
        <v>84</v>
      </c>
      <c r="I103" s="8">
        <v>3543.1</v>
      </c>
      <c r="J103" s="52">
        <f t="shared" si="48"/>
        <v>0</v>
      </c>
      <c r="K103" s="33">
        <f t="shared" si="49"/>
        <v>4.7681763203870471E-2</v>
      </c>
    </row>
    <row r="104" spans="1:11" ht="15" thickBot="1" x14ac:dyDescent="0.35">
      <c r="A104" s="175">
        <v>502</v>
      </c>
      <c r="B104" s="8">
        <v>21156</v>
      </c>
      <c r="C104" s="8" t="s">
        <v>2729</v>
      </c>
      <c r="D104" s="8">
        <f t="shared" si="50"/>
        <v>501</v>
      </c>
      <c r="E104" s="8">
        <f t="shared" si="50"/>
        <v>20169.7</v>
      </c>
      <c r="F104" s="8" t="s">
        <v>2730</v>
      </c>
      <c r="G104" s="8">
        <v>62341</v>
      </c>
      <c r="H104" s="8">
        <v>501</v>
      </c>
      <c r="I104" s="8">
        <v>20169.7</v>
      </c>
      <c r="J104" s="52">
        <f t="shared" si="48"/>
        <v>1</v>
      </c>
      <c r="K104" s="138">
        <f t="shared" ref="K104" si="51">+((B104/A104)-(E104/D104))/(B104/A104)</f>
        <v>4.4717390705448661E-2</v>
      </c>
    </row>
    <row r="105" spans="1:11" ht="15" thickBot="1" x14ac:dyDescent="0.35">
      <c r="A105" s="174">
        <v>250</v>
      </c>
      <c r="B105" s="12">
        <v>10988.1</v>
      </c>
      <c r="C105" s="12" t="s">
        <v>2731</v>
      </c>
      <c r="D105" s="12">
        <f t="shared" si="50"/>
        <v>250</v>
      </c>
      <c r="E105" s="12">
        <f t="shared" si="50"/>
        <v>10321.9</v>
      </c>
      <c r="F105" s="12" t="s">
        <v>2732</v>
      </c>
      <c r="G105" s="12">
        <v>62351</v>
      </c>
      <c r="H105" s="12">
        <v>250</v>
      </c>
      <c r="I105" s="12">
        <v>10321.9</v>
      </c>
      <c r="J105" s="52">
        <f t="shared" si="48"/>
        <v>0</v>
      </c>
      <c r="K105" s="33">
        <f t="shared" ref="K105" si="52">(+B105-E105)/B105</f>
        <v>6.0629226162848965E-2</v>
      </c>
    </row>
    <row r="106" spans="1:11" x14ac:dyDescent="0.3">
      <c r="A106" s="871">
        <v>1250</v>
      </c>
      <c r="B106" s="873">
        <v>55878.5</v>
      </c>
      <c r="C106" s="873" t="s">
        <v>2733</v>
      </c>
      <c r="D106" s="873">
        <f>+H106+H107</f>
        <v>1251</v>
      </c>
      <c r="E106" s="873">
        <f>+I106+I107</f>
        <v>53132.4</v>
      </c>
      <c r="F106" s="12" t="s">
        <v>2734</v>
      </c>
      <c r="G106" s="12">
        <v>62391</v>
      </c>
      <c r="H106" s="12">
        <v>749</v>
      </c>
      <c r="I106" s="12">
        <v>31881.9</v>
      </c>
      <c r="J106" s="877">
        <f t="shared" si="48"/>
        <v>-1</v>
      </c>
      <c r="K106" s="879">
        <f t="shared" ref="K106" si="53">+((B106/A106)-(E106/D106))/(B106/A106)</f>
        <v>4.9904201838740253E-2</v>
      </c>
    </row>
    <row r="107" spans="1:11" ht="15" thickBot="1" x14ac:dyDescent="0.35">
      <c r="A107" s="872"/>
      <c r="B107" s="874"/>
      <c r="C107" s="874"/>
      <c r="D107" s="874"/>
      <c r="E107" s="874"/>
      <c r="F107" s="10" t="s">
        <v>2734</v>
      </c>
      <c r="G107" s="10">
        <v>62391</v>
      </c>
      <c r="H107" s="10">
        <v>502</v>
      </c>
      <c r="I107" s="10">
        <v>21250.5</v>
      </c>
      <c r="J107" s="878"/>
      <c r="K107" s="880"/>
    </row>
    <row r="108" spans="1:11" ht="15" thickBot="1" x14ac:dyDescent="0.35">
      <c r="A108" s="175">
        <v>1202</v>
      </c>
      <c r="B108" s="8">
        <v>54881</v>
      </c>
      <c r="C108" s="8" t="s">
        <v>2735</v>
      </c>
      <c r="D108" s="8">
        <v>1203</v>
      </c>
      <c r="E108" s="8">
        <v>52215.9</v>
      </c>
      <c r="F108" s="8" t="s">
        <v>2736</v>
      </c>
      <c r="G108" s="8">
        <v>62431</v>
      </c>
      <c r="H108" s="8">
        <v>800</v>
      </c>
      <c r="I108" s="8">
        <v>34871</v>
      </c>
      <c r="J108" s="52">
        <f t="shared" ref="J108:J109" si="54">+A108-D108</f>
        <v>-1</v>
      </c>
      <c r="K108" s="138">
        <f t="shared" ref="K108:K109" si="55">+((B108/A108)-(E108/D108))/(B108/A108)</f>
        <v>4.9352321170434386E-2</v>
      </c>
    </row>
    <row r="109" spans="1:11" x14ac:dyDescent="0.3">
      <c r="A109" s="875">
        <v>713</v>
      </c>
      <c r="B109" s="881">
        <v>32201.25</v>
      </c>
      <c r="C109" s="881" t="s">
        <v>2853</v>
      </c>
      <c r="D109" s="881">
        <f>+H109+H110</f>
        <v>712</v>
      </c>
      <c r="E109" s="881">
        <f>+I109+I110</f>
        <v>30466.399999999998</v>
      </c>
      <c r="F109" s="15" t="s">
        <v>2854</v>
      </c>
      <c r="G109" s="15">
        <v>62451</v>
      </c>
      <c r="H109" s="15">
        <v>600</v>
      </c>
      <c r="I109" s="15">
        <v>25505.599999999999</v>
      </c>
      <c r="J109" s="877">
        <f t="shared" si="54"/>
        <v>1</v>
      </c>
      <c r="K109" s="879">
        <f t="shared" si="55"/>
        <v>5.2546410849254321E-2</v>
      </c>
    </row>
    <row r="110" spans="1:11" ht="15" thickBot="1" x14ac:dyDescent="0.35">
      <c r="A110" s="872"/>
      <c r="B110" s="874"/>
      <c r="C110" s="874"/>
      <c r="D110" s="874"/>
      <c r="E110" s="874"/>
      <c r="F110" s="10" t="s">
        <v>2854</v>
      </c>
      <c r="G110" s="10">
        <v>62451</v>
      </c>
      <c r="H110" s="10">
        <v>112</v>
      </c>
      <c r="I110" s="10">
        <v>4960.8</v>
      </c>
      <c r="J110" s="878"/>
      <c r="K110" s="880"/>
    </row>
    <row r="111" spans="1:11" ht="15" thickBot="1" x14ac:dyDescent="0.35">
      <c r="A111" s="174">
        <v>1000</v>
      </c>
      <c r="B111" s="12">
        <v>42252.800000000003</v>
      </c>
      <c r="C111" s="12" t="s">
        <v>2855</v>
      </c>
      <c r="D111" s="12">
        <f t="shared" ref="D111:E111" si="56">+H111</f>
        <v>999</v>
      </c>
      <c r="E111" s="12">
        <f t="shared" si="56"/>
        <v>39702.5</v>
      </c>
      <c r="F111" s="12" t="s">
        <v>2856</v>
      </c>
      <c r="G111" s="12">
        <v>62501</v>
      </c>
      <c r="H111" s="12">
        <v>999</v>
      </c>
      <c r="I111" s="12">
        <v>39702.5</v>
      </c>
      <c r="J111" s="52">
        <f t="shared" ref="J111" si="57">+A111-D111</f>
        <v>1</v>
      </c>
      <c r="K111" s="138">
        <f t="shared" ref="K111" si="58">+((B111/A111)-(E111/D111))/(B111/A111)</f>
        <v>5.9417547659747022E-2</v>
      </c>
    </row>
    <row r="112" spans="1:11" x14ac:dyDescent="0.3">
      <c r="A112" s="871">
        <v>1000</v>
      </c>
      <c r="B112" s="873">
        <v>42077.8</v>
      </c>
      <c r="C112" s="873" t="s">
        <v>2857</v>
      </c>
      <c r="D112" s="873">
        <f>+H112+H113</f>
        <v>984</v>
      </c>
      <c r="E112" s="873">
        <f>+I112+I113</f>
        <v>38593.4</v>
      </c>
      <c r="F112" s="12" t="s">
        <v>2858</v>
      </c>
      <c r="G112" s="12">
        <v>62511</v>
      </c>
      <c r="H112" s="12">
        <v>606</v>
      </c>
      <c r="I112" s="12">
        <v>23844.6</v>
      </c>
      <c r="J112" s="877">
        <f t="shared" ref="J112" si="59">+A112-D112</f>
        <v>16</v>
      </c>
      <c r="K112" s="879">
        <f t="shared" ref="K112" si="60">+((B112/A112)-(E112/D112))/(B112/A112)</f>
        <v>6.7894829117739322E-2</v>
      </c>
    </row>
    <row r="113" spans="1:11" ht="15" thickBot="1" x14ac:dyDescent="0.35">
      <c r="A113" s="872"/>
      <c r="B113" s="874"/>
      <c r="C113" s="874"/>
      <c r="D113" s="874"/>
      <c r="E113" s="874"/>
      <c r="F113" s="10" t="s">
        <v>2858</v>
      </c>
      <c r="G113" s="10">
        <v>62511</v>
      </c>
      <c r="H113" s="10">
        <v>378</v>
      </c>
      <c r="I113" s="10">
        <v>14748.800000000001</v>
      </c>
      <c r="J113" s="878"/>
      <c r="K113" s="880"/>
    </row>
    <row r="114" spans="1:11" ht="15" thickBot="1" x14ac:dyDescent="0.35">
      <c r="A114" s="175">
        <v>790</v>
      </c>
      <c r="B114" s="8">
        <v>34944.75</v>
      </c>
      <c r="C114" s="8" t="s">
        <v>2859</v>
      </c>
      <c r="D114" s="8">
        <f t="shared" ref="D114:E115" si="61">+H114</f>
        <v>790</v>
      </c>
      <c r="E114" s="8">
        <f t="shared" si="61"/>
        <v>33413.200000000004</v>
      </c>
      <c r="F114" s="8" t="s">
        <v>2860</v>
      </c>
      <c r="G114" s="8">
        <v>62551</v>
      </c>
      <c r="H114" s="8">
        <v>790</v>
      </c>
      <c r="I114" s="8">
        <v>33413.200000000004</v>
      </c>
      <c r="J114" s="52">
        <f t="shared" ref="J114:J115" si="62">+A114-D114</f>
        <v>0</v>
      </c>
      <c r="K114" s="33">
        <f t="shared" ref="K114:K115" si="63">(+B114-E114)/B114</f>
        <v>4.3827756673033735E-2</v>
      </c>
    </row>
    <row r="115" spans="1:11" ht="15" thickBot="1" x14ac:dyDescent="0.35">
      <c r="A115" s="174">
        <v>631</v>
      </c>
      <c r="B115" s="12">
        <v>27338.75</v>
      </c>
      <c r="C115" s="12" t="s">
        <v>2861</v>
      </c>
      <c r="D115" s="12">
        <f t="shared" si="61"/>
        <v>631</v>
      </c>
      <c r="E115" s="12">
        <f t="shared" si="61"/>
        <v>25830.9</v>
      </c>
      <c r="F115" s="12" t="s">
        <v>2862</v>
      </c>
      <c r="G115" s="12">
        <v>62561</v>
      </c>
      <c r="H115" s="12">
        <v>631</v>
      </c>
      <c r="I115" s="12">
        <v>25830.9</v>
      </c>
      <c r="J115" s="52">
        <f t="shared" si="62"/>
        <v>0</v>
      </c>
      <c r="K115" s="33">
        <f t="shared" si="63"/>
        <v>5.5154313931690312E-2</v>
      </c>
    </row>
    <row r="116" spans="1:11" x14ac:dyDescent="0.3">
      <c r="A116" s="871">
        <v>2058</v>
      </c>
      <c r="B116" s="873">
        <v>87439.8</v>
      </c>
      <c r="C116" s="873" t="s">
        <v>2863</v>
      </c>
      <c r="D116" s="873">
        <v>2058</v>
      </c>
      <c r="E116" s="873">
        <v>83902.9</v>
      </c>
      <c r="F116" s="12" t="s">
        <v>2864</v>
      </c>
      <c r="G116" s="12">
        <v>62591</v>
      </c>
      <c r="H116" s="12">
        <v>200</v>
      </c>
      <c r="I116" s="12">
        <v>7999</v>
      </c>
      <c r="J116" s="877">
        <f t="shared" ref="J116" si="64">+A116-D116</f>
        <v>0</v>
      </c>
      <c r="K116" s="879">
        <f t="shared" ref="K116" si="65">+((B116/A116)-(E116/D116))/(B116/A116)</f>
        <v>4.0449543571691574E-2</v>
      </c>
    </row>
    <row r="117" spans="1:11" ht="15" thickBot="1" x14ac:dyDescent="0.35">
      <c r="A117" s="872"/>
      <c r="B117" s="874"/>
      <c r="C117" s="874"/>
      <c r="D117" s="874"/>
      <c r="E117" s="874"/>
      <c r="F117" s="10" t="s">
        <v>2864</v>
      </c>
      <c r="G117" s="10">
        <v>62591</v>
      </c>
      <c r="H117" s="10">
        <v>800</v>
      </c>
      <c r="I117" s="10">
        <v>31916.400000000001</v>
      </c>
      <c r="J117" s="878"/>
      <c r="K117" s="880"/>
    </row>
    <row r="118" spans="1:11" ht="15" thickBot="1" x14ac:dyDescent="0.35">
      <c r="A118" s="175">
        <v>635</v>
      </c>
      <c r="B118" s="8">
        <v>27655</v>
      </c>
      <c r="C118" s="8" t="s">
        <v>2970</v>
      </c>
      <c r="D118" s="8">
        <f>+H118</f>
        <v>636</v>
      </c>
      <c r="E118" s="8">
        <f>+I118</f>
        <v>26665.8</v>
      </c>
      <c r="F118" s="8" t="s">
        <v>2971</v>
      </c>
      <c r="G118" s="8">
        <v>62651</v>
      </c>
      <c r="H118" s="8">
        <v>636</v>
      </c>
      <c r="I118" s="8">
        <v>26665.8</v>
      </c>
      <c r="J118" s="52">
        <f t="shared" ref="J118:J120" si="66">+A118-D118</f>
        <v>-1</v>
      </c>
      <c r="K118" s="138">
        <f t="shared" ref="K118:K120" si="67">+((B118/A118)-(E118/D118))/(B118/A118)</f>
        <v>3.7285386313164672E-2</v>
      </c>
    </row>
    <row r="119" spans="1:11" ht="15" thickBot="1" x14ac:dyDescent="0.35">
      <c r="A119" s="175">
        <v>579</v>
      </c>
      <c r="B119" s="8">
        <v>24425</v>
      </c>
      <c r="C119" s="8" t="s">
        <v>2972</v>
      </c>
      <c r="D119" s="8">
        <f>+H119</f>
        <v>580</v>
      </c>
      <c r="E119" s="8">
        <f>+I119</f>
        <v>24057.399999999998</v>
      </c>
      <c r="F119" s="8" t="s">
        <v>2973</v>
      </c>
      <c r="G119" s="8">
        <v>62681</v>
      </c>
      <c r="H119" s="8">
        <v>580</v>
      </c>
      <c r="I119" s="8">
        <v>24057.399999999998</v>
      </c>
      <c r="J119" s="52">
        <f t="shared" si="66"/>
        <v>-1</v>
      </c>
      <c r="K119" s="138">
        <f t="shared" si="67"/>
        <v>1.6748342921681501E-2</v>
      </c>
    </row>
    <row r="120" spans="1:11" x14ac:dyDescent="0.3">
      <c r="A120" s="871">
        <v>1170</v>
      </c>
      <c r="B120" s="873">
        <v>53064.25</v>
      </c>
      <c r="C120" s="873" t="s">
        <v>2974</v>
      </c>
      <c r="D120" s="873">
        <f>+H120+H121</f>
        <v>1170</v>
      </c>
      <c r="E120" s="873">
        <f>+I120+I121</f>
        <v>50948.800000000003</v>
      </c>
      <c r="F120" s="12" t="s">
        <v>2975</v>
      </c>
      <c r="G120" s="12">
        <v>62691</v>
      </c>
      <c r="H120" s="12">
        <v>620</v>
      </c>
      <c r="I120" s="12">
        <v>26413.7</v>
      </c>
      <c r="J120" s="877">
        <f t="shared" si="66"/>
        <v>0</v>
      </c>
      <c r="K120" s="879">
        <f t="shared" si="67"/>
        <v>3.9865823035282584E-2</v>
      </c>
    </row>
    <row r="121" spans="1:11" ht="15" thickBot="1" x14ac:dyDescent="0.35">
      <c r="A121" s="872"/>
      <c r="B121" s="874"/>
      <c r="C121" s="874"/>
      <c r="D121" s="874"/>
      <c r="E121" s="874"/>
      <c r="F121" s="10" t="s">
        <v>2975</v>
      </c>
      <c r="G121" s="10">
        <v>62691</v>
      </c>
      <c r="H121" s="10">
        <v>550</v>
      </c>
      <c r="I121" s="10">
        <v>24535.100000000002</v>
      </c>
      <c r="J121" s="878"/>
      <c r="K121" s="880"/>
    </row>
    <row r="122" spans="1:11" x14ac:dyDescent="0.3">
      <c r="A122" s="1094">
        <v>3685</v>
      </c>
      <c r="B122" s="873">
        <v>163432.1</v>
      </c>
      <c r="C122" s="873" t="s">
        <v>2976</v>
      </c>
      <c r="D122" s="873">
        <v>3681</v>
      </c>
      <c r="E122" s="873">
        <v>155655.29999999999</v>
      </c>
      <c r="F122" s="12" t="s">
        <v>2977</v>
      </c>
      <c r="G122" s="12">
        <v>62751</v>
      </c>
      <c r="H122" s="12">
        <v>500</v>
      </c>
      <c r="I122" s="12">
        <v>20330.2</v>
      </c>
      <c r="J122" s="877">
        <f t="shared" ref="J122" si="68">+A122-D122</f>
        <v>4</v>
      </c>
      <c r="K122" s="879">
        <f t="shared" ref="K122" si="69">+((B122/A122)-(E122/D122))/(B122/A122)</f>
        <v>4.6549334064256168E-2</v>
      </c>
    </row>
    <row r="123" spans="1:11" x14ac:dyDescent="0.3">
      <c r="A123" s="1095"/>
      <c r="B123" s="881"/>
      <c r="C123" s="881"/>
      <c r="D123" s="881"/>
      <c r="E123" s="881"/>
      <c r="F123" s="15" t="s">
        <v>2977</v>
      </c>
      <c r="G123" s="15">
        <v>62751</v>
      </c>
      <c r="H123" s="15">
        <v>250</v>
      </c>
      <c r="I123" s="15">
        <v>10716.099999999999</v>
      </c>
      <c r="J123" s="886"/>
      <c r="K123" s="885"/>
    </row>
    <row r="124" spans="1:11" x14ac:dyDescent="0.3">
      <c r="A124" s="1095"/>
      <c r="B124" s="881"/>
      <c r="C124" s="881"/>
      <c r="D124" s="881"/>
      <c r="E124" s="881"/>
      <c r="F124" s="15" t="s">
        <v>2977</v>
      </c>
      <c r="G124" s="15">
        <v>62751</v>
      </c>
      <c r="H124" s="15">
        <v>1249</v>
      </c>
      <c r="I124" s="15">
        <v>53307.19999999999</v>
      </c>
      <c r="J124" s="886"/>
      <c r="K124" s="885"/>
    </row>
    <row r="125" spans="1:11" ht="15" thickBot="1" x14ac:dyDescent="0.35">
      <c r="A125" s="1096"/>
      <c r="B125" s="874"/>
      <c r="C125" s="874"/>
      <c r="D125" s="874"/>
      <c r="E125" s="874"/>
      <c r="F125" s="10" t="s">
        <v>2977</v>
      </c>
      <c r="G125" s="10">
        <v>62751</v>
      </c>
      <c r="H125" s="10">
        <v>1021</v>
      </c>
      <c r="I125" s="10">
        <v>42751.4</v>
      </c>
      <c r="J125" s="878"/>
      <c r="K125" s="880"/>
    </row>
    <row r="126" spans="1:11" ht="15" thickBot="1" x14ac:dyDescent="0.35">
      <c r="A126" s="283">
        <v>743</v>
      </c>
      <c r="B126" s="8">
        <v>33389.5</v>
      </c>
      <c r="C126" s="8" t="s">
        <v>3137</v>
      </c>
      <c r="D126" s="8">
        <f t="shared" ref="D126:E128" si="70">+H126</f>
        <v>745</v>
      </c>
      <c r="E126" s="8">
        <f t="shared" si="70"/>
        <v>32099.3</v>
      </c>
      <c r="F126" s="8" t="s">
        <v>3138</v>
      </c>
      <c r="G126" s="8">
        <v>62761</v>
      </c>
      <c r="H126" s="8">
        <v>745</v>
      </c>
      <c r="I126" s="8">
        <v>32099.3</v>
      </c>
      <c r="J126" s="52">
        <f t="shared" ref="J126:J128" si="71">+A126-D126</f>
        <v>-2</v>
      </c>
      <c r="K126" s="138">
        <f t="shared" ref="K126:K128" si="72">+((B126/A126)-(E126/D126))/(B126/A126)</f>
        <v>4.1221719925415679E-2</v>
      </c>
    </row>
    <row r="127" spans="1:11" ht="15" thickBot="1" x14ac:dyDescent="0.35">
      <c r="A127" s="283">
        <v>422</v>
      </c>
      <c r="B127" s="8">
        <v>18893.75</v>
      </c>
      <c r="C127" s="8" t="s">
        <v>3139</v>
      </c>
      <c r="D127" s="8">
        <f t="shared" si="70"/>
        <v>419</v>
      </c>
      <c r="E127" s="8">
        <f t="shared" si="70"/>
        <v>18232</v>
      </c>
      <c r="F127" s="8" t="s">
        <v>3140</v>
      </c>
      <c r="G127" s="8">
        <v>62771</v>
      </c>
      <c r="H127" s="8">
        <v>419</v>
      </c>
      <c r="I127" s="8">
        <v>18232</v>
      </c>
      <c r="J127" s="52">
        <f t="shared" si="71"/>
        <v>3</v>
      </c>
      <c r="K127" s="138">
        <f t="shared" si="72"/>
        <v>2.8115679551442077E-2</v>
      </c>
    </row>
    <row r="128" spans="1:11" ht="15" thickBot="1" x14ac:dyDescent="0.35">
      <c r="A128" s="283">
        <v>660</v>
      </c>
      <c r="B128" s="8">
        <v>27874.9</v>
      </c>
      <c r="C128" s="8" t="s">
        <v>3141</v>
      </c>
      <c r="D128" s="8">
        <f t="shared" si="70"/>
        <v>661</v>
      </c>
      <c r="E128" s="8">
        <f t="shared" si="70"/>
        <v>26611.800000000003</v>
      </c>
      <c r="F128" s="8" t="s">
        <v>3142</v>
      </c>
      <c r="G128" s="8">
        <v>62781</v>
      </c>
      <c r="H128" s="45">
        <v>661</v>
      </c>
      <c r="I128" s="8">
        <v>26611.800000000003</v>
      </c>
      <c r="J128" s="52">
        <f t="shared" si="71"/>
        <v>-1</v>
      </c>
      <c r="K128" s="138">
        <f t="shared" si="72"/>
        <v>4.6757473900478227E-2</v>
      </c>
    </row>
    <row r="129" spans="1:11" x14ac:dyDescent="0.3">
      <c r="A129" s="871">
        <v>3486</v>
      </c>
      <c r="B129" s="873">
        <v>153048.70000000001</v>
      </c>
      <c r="C129" s="873" t="s">
        <v>3284</v>
      </c>
      <c r="D129" s="873">
        <f>+H129+H130+H131+H133+H132</f>
        <v>3487</v>
      </c>
      <c r="E129" s="873">
        <f>+I129+I130+I131+I133+I132</f>
        <v>145021.09999999998</v>
      </c>
      <c r="F129" s="12" t="s">
        <v>3285</v>
      </c>
      <c r="G129" s="12">
        <v>62791</v>
      </c>
      <c r="H129" s="12">
        <v>440</v>
      </c>
      <c r="I129" s="39">
        <v>18466.599999999999</v>
      </c>
      <c r="J129" s="877">
        <f t="shared" ref="J129" si="73">+A129-D129</f>
        <v>-1</v>
      </c>
      <c r="K129" s="879">
        <f t="shared" ref="K129" si="74">+((B129/A129)-(E129/D129))/(B129/A129)</f>
        <v>5.2723016096852558E-2</v>
      </c>
    </row>
    <row r="130" spans="1:11" x14ac:dyDescent="0.3">
      <c r="A130" s="875"/>
      <c r="B130" s="881"/>
      <c r="C130" s="881"/>
      <c r="D130" s="881"/>
      <c r="E130" s="881"/>
      <c r="F130" s="15" t="s">
        <v>3285</v>
      </c>
      <c r="G130" s="15">
        <v>62791</v>
      </c>
      <c r="H130" s="15">
        <v>660</v>
      </c>
      <c r="I130" s="50">
        <v>27773.399999999998</v>
      </c>
      <c r="J130" s="886"/>
      <c r="K130" s="885"/>
    </row>
    <row r="131" spans="1:11" x14ac:dyDescent="0.3">
      <c r="A131" s="875"/>
      <c r="B131" s="881"/>
      <c r="C131" s="881"/>
      <c r="D131" s="881"/>
      <c r="E131" s="881"/>
      <c r="F131" s="15" t="s">
        <v>3285</v>
      </c>
      <c r="G131" s="15">
        <v>62791</v>
      </c>
      <c r="H131" s="15">
        <v>438</v>
      </c>
      <c r="I131" s="50">
        <v>17933.099999999999</v>
      </c>
      <c r="J131" s="886"/>
      <c r="K131" s="885"/>
    </row>
    <row r="132" spans="1:11" x14ac:dyDescent="0.3">
      <c r="A132" s="875"/>
      <c r="B132" s="881"/>
      <c r="C132" s="881"/>
      <c r="D132" s="881"/>
      <c r="E132" s="881"/>
      <c r="F132" s="15" t="s">
        <v>3285</v>
      </c>
      <c r="G132" s="15">
        <v>62791</v>
      </c>
      <c r="H132" s="15">
        <v>1350</v>
      </c>
      <c r="I132" s="50">
        <v>56342.7</v>
      </c>
      <c r="J132" s="886"/>
      <c r="K132" s="885"/>
    </row>
    <row r="133" spans="1:11" ht="15" thickBot="1" x14ac:dyDescent="0.35">
      <c r="A133" s="872"/>
      <c r="B133" s="874"/>
      <c r="C133" s="874"/>
      <c r="D133" s="874"/>
      <c r="E133" s="874"/>
      <c r="F133" s="10" t="s">
        <v>3285</v>
      </c>
      <c r="G133" s="10">
        <v>62791</v>
      </c>
      <c r="H133" s="10">
        <v>599</v>
      </c>
      <c r="I133" s="42">
        <v>24505.3</v>
      </c>
      <c r="J133" s="878"/>
      <c r="K133" s="880"/>
    </row>
    <row r="134" spans="1:11" ht="15" thickBot="1" x14ac:dyDescent="0.35">
      <c r="A134" s="175">
        <v>1114</v>
      </c>
      <c r="B134" s="8">
        <v>48479.75</v>
      </c>
      <c r="C134" s="8" t="s">
        <v>3286</v>
      </c>
      <c r="D134" s="8">
        <f t="shared" ref="D134:E136" si="75">+H134</f>
        <v>1114</v>
      </c>
      <c r="E134" s="8">
        <f t="shared" si="75"/>
        <v>46124.7</v>
      </c>
      <c r="F134" s="8" t="s">
        <v>3287</v>
      </c>
      <c r="G134" s="8">
        <v>63011</v>
      </c>
      <c r="H134" s="8">
        <v>1114</v>
      </c>
      <c r="I134" s="45">
        <v>46124.7</v>
      </c>
      <c r="J134" s="52">
        <f t="shared" ref="J134:J139" si="76">+A134-D134</f>
        <v>0</v>
      </c>
      <c r="K134" s="138">
        <f t="shared" ref="K134:K138" si="77">+((B134/A134)-(E134/D134))/(B134/A134)</f>
        <v>4.8578014531840796E-2</v>
      </c>
    </row>
    <row r="135" spans="1:11" ht="15" thickBot="1" x14ac:dyDescent="0.35">
      <c r="A135" s="175">
        <v>1696</v>
      </c>
      <c r="B135" s="8">
        <v>72908.75</v>
      </c>
      <c r="C135" s="8" t="s">
        <v>3288</v>
      </c>
      <c r="D135" s="8">
        <v>1696</v>
      </c>
      <c r="E135" s="8">
        <v>71588.100000000006</v>
      </c>
      <c r="F135" s="8" t="s">
        <v>3289</v>
      </c>
      <c r="G135" s="8">
        <v>63021</v>
      </c>
      <c r="H135" s="8">
        <v>1143</v>
      </c>
      <c r="I135" s="45">
        <v>48530.6</v>
      </c>
      <c r="J135" s="52">
        <f t="shared" si="76"/>
        <v>0</v>
      </c>
      <c r="K135" s="138">
        <f t="shared" si="77"/>
        <v>1.8113738062989548E-2</v>
      </c>
    </row>
    <row r="136" spans="1:11" ht="15" thickBot="1" x14ac:dyDescent="0.35">
      <c r="A136" s="175">
        <v>100</v>
      </c>
      <c r="B136" s="8">
        <f>+E136*1.04</f>
        <v>3955.6400000000003</v>
      </c>
      <c r="C136" s="8" t="s">
        <v>3204</v>
      </c>
      <c r="D136" s="8">
        <f t="shared" si="75"/>
        <v>100</v>
      </c>
      <c r="E136" s="8">
        <f t="shared" si="75"/>
        <v>3803.5</v>
      </c>
      <c r="F136" s="8" t="s">
        <v>3205</v>
      </c>
      <c r="G136" s="8">
        <v>96742</v>
      </c>
      <c r="H136" s="8">
        <v>100</v>
      </c>
      <c r="I136" s="45">
        <v>3803.5</v>
      </c>
      <c r="J136" s="52">
        <f t="shared" si="76"/>
        <v>0</v>
      </c>
      <c r="K136" s="138">
        <f t="shared" si="77"/>
        <v>3.8461538461538637E-2</v>
      </c>
    </row>
    <row r="137" spans="1:11" ht="15" thickBot="1" x14ac:dyDescent="0.35">
      <c r="A137" s="175">
        <v>395</v>
      </c>
      <c r="B137" s="8">
        <v>17497.75</v>
      </c>
      <c r="C137" s="8" t="s">
        <v>3381</v>
      </c>
      <c r="D137" s="8">
        <f>+H137</f>
        <v>395</v>
      </c>
      <c r="E137" s="8">
        <f>+I137</f>
        <v>16521.2</v>
      </c>
      <c r="F137" s="8" t="s">
        <v>3382</v>
      </c>
      <c r="G137" s="8">
        <v>63031</v>
      </c>
      <c r="H137" s="8">
        <v>395</v>
      </c>
      <c r="I137" s="45">
        <v>16521.2</v>
      </c>
      <c r="J137" s="52">
        <f t="shared" si="76"/>
        <v>0</v>
      </c>
      <c r="K137" s="138">
        <f t="shared" si="77"/>
        <v>5.5810032718492379E-2</v>
      </c>
    </row>
    <row r="138" spans="1:11" ht="15" thickBot="1" x14ac:dyDescent="0.35">
      <c r="A138" s="175">
        <v>170</v>
      </c>
      <c r="B138" s="8">
        <v>7845.25</v>
      </c>
      <c r="C138" s="8" t="s">
        <v>3383</v>
      </c>
      <c r="D138" s="8">
        <f>+H138</f>
        <v>171</v>
      </c>
      <c r="E138" s="8">
        <f>+I138</f>
        <v>6909.6</v>
      </c>
      <c r="F138" s="8" t="s">
        <v>3384</v>
      </c>
      <c r="G138" s="8">
        <v>63041</v>
      </c>
      <c r="H138" s="8">
        <v>171</v>
      </c>
      <c r="I138" s="45">
        <v>6909.6</v>
      </c>
      <c r="J138" s="52">
        <f t="shared" si="76"/>
        <v>-1</v>
      </c>
      <c r="K138" s="138">
        <f t="shared" si="77"/>
        <v>0.12441375578137844</v>
      </c>
    </row>
    <row r="139" spans="1:11" x14ac:dyDescent="0.3">
      <c r="A139" s="871">
        <v>449</v>
      </c>
      <c r="B139" s="873">
        <v>17900.25</v>
      </c>
      <c r="C139" s="873" t="s">
        <v>3385</v>
      </c>
      <c r="D139" s="873">
        <f>+H139+H140</f>
        <v>449</v>
      </c>
      <c r="E139" s="873">
        <f>+I139+I140</f>
        <v>16737.599999999999</v>
      </c>
      <c r="F139" s="12" t="s">
        <v>3386</v>
      </c>
      <c r="G139" s="12">
        <v>63091</v>
      </c>
      <c r="H139" s="12">
        <v>400</v>
      </c>
      <c r="I139" s="39">
        <v>14887.1</v>
      </c>
      <c r="J139" s="877">
        <f t="shared" si="76"/>
        <v>0</v>
      </c>
      <c r="K139" s="879">
        <f t="shared" ref="K139" si="78">+((B139/A139)-(E139/D139))/(B139/A139)</f>
        <v>6.495160682113385E-2</v>
      </c>
    </row>
    <row r="140" spans="1:11" ht="15" thickBot="1" x14ac:dyDescent="0.35">
      <c r="A140" s="872"/>
      <c r="B140" s="874"/>
      <c r="C140" s="874"/>
      <c r="D140" s="874"/>
      <c r="E140" s="874"/>
      <c r="F140" s="10" t="s">
        <v>3386</v>
      </c>
      <c r="G140" s="10">
        <v>63091</v>
      </c>
      <c r="H140" s="10">
        <v>49</v>
      </c>
      <c r="I140" s="42">
        <v>1850.5</v>
      </c>
      <c r="J140" s="878"/>
      <c r="K140" s="880"/>
    </row>
    <row r="141" spans="1:11" ht="15" thickBot="1" x14ac:dyDescent="0.35">
      <c r="A141" s="175">
        <v>784</v>
      </c>
      <c r="B141" s="8">
        <v>27600</v>
      </c>
      <c r="C141" s="8" t="s">
        <v>3387</v>
      </c>
      <c r="D141" s="8">
        <f>+H141+203</f>
        <v>784</v>
      </c>
      <c r="E141" s="8">
        <f>+I141+6803.3</f>
        <v>26497.7</v>
      </c>
      <c r="F141" s="8" t="s">
        <v>3388</v>
      </c>
      <c r="G141" s="9">
        <v>63101</v>
      </c>
      <c r="H141" s="15">
        <v>581</v>
      </c>
      <c r="I141" s="50">
        <v>19694.400000000001</v>
      </c>
      <c r="J141" s="52">
        <f t="shared" ref="J141:J143" si="79">+A141-D141</f>
        <v>0</v>
      </c>
      <c r="K141" s="138">
        <f t="shared" ref="K141:K143" si="80">+((B141/A141)-(E141/D141))/(B141/A141)</f>
        <v>3.993840579710161E-2</v>
      </c>
    </row>
    <row r="142" spans="1:11" ht="15" thickBot="1" x14ac:dyDescent="0.35">
      <c r="A142" s="313">
        <v>136</v>
      </c>
      <c r="B142" s="27">
        <v>5339.4</v>
      </c>
      <c r="C142" s="27" t="s">
        <v>3515</v>
      </c>
      <c r="D142" s="8">
        <f>+H142</f>
        <v>137</v>
      </c>
      <c r="E142" s="8">
        <f>+I142</f>
        <v>4936.3</v>
      </c>
      <c r="F142" s="8" t="s">
        <v>3516</v>
      </c>
      <c r="G142" s="8">
        <v>63141</v>
      </c>
      <c r="H142" s="8">
        <v>137</v>
      </c>
      <c r="I142" s="45">
        <v>4936.3</v>
      </c>
      <c r="J142" s="52">
        <f t="shared" si="79"/>
        <v>-1</v>
      </c>
      <c r="K142" s="138">
        <f t="shared" si="80"/>
        <v>8.2243582960878275E-2</v>
      </c>
    </row>
    <row r="143" spans="1:11" x14ac:dyDescent="0.3">
      <c r="A143" s="902">
        <v>1106</v>
      </c>
      <c r="B143" s="905">
        <v>54521.2</v>
      </c>
      <c r="C143" s="905" t="s">
        <v>3517</v>
      </c>
      <c r="D143" s="873">
        <f>+H143+H144</f>
        <v>1106</v>
      </c>
      <c r="E143" s="873">
        <f>+I143+I144</f>
        <v>50372.100000000006</v>
      </c>
      <c r="F143" s="12" t="s">
        <v>3518</v>
      </c>
      <c r="G143" s="12">
        <v>63161</v>
      </c>
      <c r="H143" s="12">
        <v>400</v>
      </c>
      <c r="I143" s="39">
        <v>17688.7</v>
      </c>
      <c r="J143" s="877">
        <f t="shared" si="79"/>
        <v>0</v>
      </c>
      <c r="K143" s="879">
        <f t="shared" si="80"/>
        <v>7.6100672765823121E-2</v>
      </c>
    </row>
    <row r="144" spans="1:11" ht="15" thickBot="1" x14ac:dyDescent="0.35">
      <c r="A144" s="904"/>
      <c r="B144" s="907"/>
      <c r="C144" s="907"/>
      <c r="D144" s="874"/>
      <c r="E144" s="874"/>
      <c r="F144" s="10" t="s">
        <v>3518</v>
      </c>
      <c r="G144" s="10">
        <v>63161</v>
      </c>
      <c r="H144" s="10">
        <v>706</v>
      </c>
      <c r="I144" s="42">
        <v>32683.4</v>
      </c>
      <c r="J144" s="878"/>
      <c r="K144" s="880"/>
    </row>
    <row r="145" spans="1:11" ht="15" thickBot="1" x14ac:dyDescent="0.35">
      <c r="A145" s="313">
        <v>250</v>
      </c>
      <c r="B145" s="27">
        <v>10236.75</v>
      </c>
      <c r="C145" s="27" t="s">
        <v>3519</v>
      </c>
      <c r="D145" s="8">
        <f>+H145</f>
        <v>250</v>
      </c>
      <c r="E145" s="8">
        <f>+I145</f>
        <v>9617.8000000000011</v>
      </c>
      <c r="F145" s="8" t="s">
        <v>3520</v>
      </c>
      <c r="G145" s="8">
        <v>63181</v>
      </c>
      <c r="H145" s="8">
        <v>250</v>
      </c>
      <c r="I145" s="45">
        <v>9617.8000000000011</v>
      </c>
      <c r="J145" s="52">
        <f t="shared" ref="J145:J146" si="81">+A145-D145</f>
        <v>0</v>
      </c>
      <c r="K145" s="138">
        <f t="shared" ref="K145:K146" si="82">+((B145/A145)-(E145/D145))/(B145/A145)</f>
        <v>6.0463526021442338E-2</v>
      </c>
    </row>
    <row r="146" spans="1:11" ht="15" thickBot="1" x14ac:dyDescent="0.35">
      <c r="A146" s="319">
        <v>131</v>
      </c>
      <c r="B146" s="28">
        <v>5976.75</v>
      </c>
      <c r="C146" s="28" t="s">
        <v>3521</v>
      </c>
      <c r="D146" s="8">
        <f>+H146</f>
        <v>131</v>
      </c>
      <c r="E146" s="8">
        <f>+I146</f>
        <v>5638.4</v>
      </c>
      <c r="F146" s="10" t="s">
        <v>3522</v>
      </c>
      <c r="G146" s="10">
        <v>63191</v>
      </c>
      <c r="H146" s="10">
        <v>131</v>
      </c>
      <c r="I146" s="42">
        <v>5638.4</v>
      </c>
      <c r="J146" s="52">
        <f t="shared" si="81"/>
        <v>0</v>
      </c>
      <c r="K146" s="138">
        <f t="shared" si="82"/>
        <v>5.6611034425063919E-2</v>
      </c>
    </row>
    <row r="147" spans="1:11" x14ac:dyDescent="0.3">
      <c r="A147" s="871">
        <v>1567</v>
      </c>
      <c r="B147" s="873">
        <v>56989.5</v>
      </c>
      <c r="C147" s="873" t="s">
        <v>3523</v>
      </c>
      <c r="D147" s="873">
        <f>+H147+H148</f>
        <v>1567</v>
      </c>
      <c r="E147" s="873">
        <f>+I147+I148</f>
        <v>55518.6</v>
      </c>
      <c r="F147" s="12" t="s">
        <v>3524</v>
      </c>
      <c r="G147" s="12">
        <v>63271</v>
      </c>
      <c r="H147" s="12">
        <v>615</v>
      </c>
      <c r="I147" s="12">
        <v>21534.5</v>
      </c>
      <c r="J147" s="877">
        <f t="shared" ref="J147" si="83">+A147-D147</f>
        <v>0</v>
      </c>
      <c r="K147" s="879">
        <f t="shared" ref="K147" si="84">+((B147/A147)-(E147/D147))/(B147/A147)</f>
        <v>2.5810017634827532E-2</v>
      </c>
    </row>
    <row r="148" spans="1:11" ht="15" thickBot="1" x14ac:dyDescent="0.35">
      <c r="A148" s="872"/>
      <c r="B148" s="874"/>
      <c r="C148" s="874"/>
      <c r="D148" s="874"/>
      <c r="E148" s="874"/>
      <c r="F148" s="10" t="s">
        <v>3524</v>
      </c>
      <c r="G148" s="10">
        <v>63271</v>
      </c>
      <c r="H148" s="10">
        <v>952</v>
      </c>
      <c r="I148" s="10">
        <v>33984.1</v>
      </c>
      <c r="J148" s="878"/>
      <c r="K148" s="880"/>
    </row>
    <row r="149" spans="1:11" ht="15" thickBot="1" x14ac:dyDescent="0.35">
      <c r="A149" s="175">
        <v>813</v>
      </c>
      <c r="B149" s="8">
        <v>34644.25</v>
      </c>
      <c r="C149" s="8" t="s">
        <v>3525</v>
      </c>
      <c r="D149" s="8">
        <f>+H149</f>
        <v>814</v>
      </c>
      <c r="E149" s="8">
        <f>+I149</f>
        <v>33992.799999999996</v>
      </c>
      <c r="F149" s="8" t="s">
        <v>3526</v>
      </c>
      <c r="G149" s="8">
        <v>63341</v>
      </c>
      <c r="H149" s="8">
        <v>814</v>
      </c>
      <c r="I149" s="8">
        <v>33992.799999999996</v>
      </c>
      <c r="J149" s="52">
        <f t="shared" ref="J149:J157" si="85">+A149-D149</f>
        <v>-1</v>
      </c>
      <c r="K149" s="138">
        <f t="shared" ref="K149:K157" si="86">+((B149/A149)-(E149/D149))/(B149/A149)</f>
        <v>2.0009386739796683E-2</v>
      </c>
    </row>
    <row r="150" spans="1:11" ht="15" thickBot="1" x14ac:dyDescent="0.35">
      <c r="A150" s="174">
        <v>601</v>
      </c>
      <c r="B150" s="12">
        <v>29805.5</v>
      </c>
      <c r="C150" s="12" t="s">
        <v>3642</v>
      </c>
      <c r="D150" s="12">
        <f t="shared" ref="D150:E150" si="87">+H150</f>
        <v>601</v>
      </c>
      <c r="E150" s="12">
        <f t="shared" si="87"/>
        <v>27256</v>
      </c>
      <c r="F150" s="12" t="s">
        <v>3643</v>
      </c>
      <c r="G150" s="12">
        <v>65351</v>
      </c>
      <c r="H150" s="12">
        <v>601</v>
      </c>
      <c r="I150" s="12">
        <v>27256</v>
      </c>
      <c r="J150" s="52">
        <f t="shared" ref="J150:J151" si="88">+A150-D150</f>
        <v>0</v>
      </c>
      <c r="K150" s="138">
        <f t="shared" ref="K150:K151" si="89">+((B150/A150)-(E150/D150))/(B150/A150)</f>
        <v>8.5537904078106339E-2</v>
      </c>
    </row>
    <row r="151" spans="1:11" x14ac:dyDescent="0.3">
      <c r="A151" s="871">
        <v>1557</v>
      </c>
      <c r="B151" s="873">
        <v>64038.75</v>
      </c>
      <c r="C151" s="873" t="s">
        <v>3644</v>
      </c>
      <c r="D151" s="873">
        <f>+H151+H152</f>
        <v>1551</v>
      </c>
      <c r="E151" s="873">
        <f>+I151+I152</f>
        <v>62296.3</v>
      </c>
      <c r="F151" s="12" t="s">
        <v>3645</v>
      </c>
      <c r="G151" s="12">
        <v>65381</v>
      </c>
      <c r="H151" s="12">
        <v>400</v>
      </c>
      <c r="I151" s="12">
        <v>14910.4</v>
      </c>
      <c r="J151" s="877">
        <f t="shared" si="88"/>
        <v>6</v>
      </c>
      <c r="K151" s="879">
        <f t="shared" si="89"/>
        <v>2.34460933518893E-2</v>
      </c>
    </row>
    <row r="152" spans="1:11" ht="15" thickBot="1" x14ac:dyDescent="0.35">
      <c r="A152" s="872"/>
      <c r="B152" s="874"/>
      <c r="C152" s="874"/>
      <c r="D152" s="874"/>
      <c r="E152" s="874"/>
      <c r="F152" s="10" t="s">
        <v>3645</v>
      </c>
      <c r="G152" s="10">
        <v>65381</v>
      </c>
      <c r="H152" s="10">
        <v>1151</v>
      </c>
      <c r="I152" s="10">
        <v>47385.9</v>
      </c>
      <c r="J152" s="878"/>
      <c r="K152" s="880"/>
    </row>
    <row r="153" spans="1:11" ht="15" thickBot="1" x14ac:dyDescent="0.35">
      <c r="A153" s="199">
        <v>610</v>
      </c>
      <c r="B153" s="10">
        <v>24043</v>
      </c>
      <c r="C153" s="10" t="s">
        <v>3646</v>
      </c>
      <c r="D153" s="10">
        <f t="shared" ref="D153:E153" si="90">+H153</f>
        <v>611</v>
      </c>
      <c r="E153" s="10">
        <f t="shared" si="90"/>
        <v>22996.5</v>
      </c>
      <c r="F153" s="10" t="s">
        <v>3647</v>
      </c>
      <c r="G153" s="10">
        <v>65391</v>
      </c>
      <c r="H153" s="10">
        <v>611</v>
      </c>
      <c r="I153" s="10">
        <v>22996.5</v>
      </c>
      <c r="J153" s="52">
        <f t="shared" ref="J153" si="91">+A153-D153</f>
        <v>-1</v>
      </c>
      <c r="K153" s="138">
        <f t="shared" ref="K153" si="92">+((B153/A153)-(E153/D153))/(B153/A153)</f>
        <v>4.5091605853750889E-2</v>
      </c>
    </row>
    <row r="154" spans="1:11" ht="15" thickBot="1" x14ac:dyDescent="0.35">
      <c r="A154" s="175">
        <v>100</v>
      </c>
      <c r="B154" s="8">
        <v>5076</v>
      </c>
      <c r="C154" s="8" t="s">
        <v>3527</v>
      </c>
      <c r="D154" s="8">
        <f>+H154</f>
        <v>100</v>
      </c>
      <c r="E154" s="8">
        <f>+I154</f>
        <v>4600.7</v>
      </c>
      <c r="F154" s="8" t="s">
        <v>3528</v>
      </c>
      <c r="G154" s="8">
        <v>63421</v>
      </c>
      <c r="H154" s="8">
        <v>100</v>
      </c>
      <c r="I154" s="8">
        <v>4600.7</v>
      </c>
      <c r="J154" s="52">
        <f t="shared" si="85"/>
        <v>0</v>
      </c>
      <c r="K154" s="138">
        <f t="shared" si="86"/>
        <v>9.36367218282112E-2</v>
      </c>
    </row>
    <row r="155" spans="1:11" ht="15" thickBot="1" x14ac:dyDescent="0.35">
      <c r="A155" s="175">
        <v>276</v>
      </c>
      <c r="B155" s="8">
        <v>10459.25</v>
      </c>
      <c r="C155" s="8" t="s">
        <v>3648</v>
      </c>
      <c r="D155" s="8">
        <f t="shared" ref="D155:E156" si="93">+H155</f>
        <v>276</v>
      </c>
      <c r="E155" s="8">
        <f t="shared" si="93"/>
        <v>10388</v>
      </c>
      <c r="F155" s="8" t="s">
        <v>3649</v>
      </c>
      <c r="G155" s="8">
        <v>63431</v>
      </c>
      <c r="H155" s="8">
        <v>276</v>
      </c>
      <c r="I155" s="8">
        <v>10388</v>
      </c>
      <c r="J155" s="52">
        <f t="shared" si="85"/>
        <v>0</v>
      </c>
      <c r="K155" s="138">
        <f t="shared" si="86"/>
        <v>6.812151922939106E-3</v>
      </c>
    </row>
    <row r="156" spans="1:11" ht="15" thickBot="1" x14ac:dyDescent="0.35">
      <c r="A156" s="174">
        <v>798</v>
      </c>
      <c r="B156" s="12">
        <v>33888.25</v>
      </c>
      <c r="C156" s="12" t="s">
        <v>3650</v>
      </c>
      <c r="D156" s="12">
        <f>+H156</f>
        <v>798</v>
      </c>
      <c r="E156" s="12">
        <f t="shared" si="93"/>
        <v>33202.300000000003</v>
      </c>
      <c r="F156" s="12" t="s">
        <v>3651</v>
      </c>
      <c r="G156" s="12">
        <v>63501</v>
      </c>
      <c r="H156" s="12">
        <v>798</v>
      </c>
      <c r="I156" s="12">
        <v>33202.300000000003</v>
      </c>
      <c r="J156" s="52">
        <f t="shared" si="85"/>
        <v>0</v>
      </c>
      <c r="K156" s="138">
        <f t="shared" si="86"/>
        <v>2.0241529143582144E-2</v>
      </c>
    </row>
    <row r="157" spans="1:11" x14ac:dyDescent="0.3">
      <c r="A157" s="871">
        <v>1889</v>
      </c>
      <c r="B157" s="873">
        <v>79139.5</v>
      </c>
      <c r="C157" s="873" t="s">
        <v>3652</v>
      </c>
      <c r="D157" s="873">
        <f>+H157+H158</f>
        <v>1888</v>
      </c>
      <c r="E157" s="873">
        <f>+I157+I158</f>
        <v>76212.7</v>
      </c>
      <c r="F157" s="12" t="s">
        <v>3653</v>
      </c>
      <c r="G157" s="12">
        <v>63561</v>
      </c>
      <c r="H157" s="12">
        <v>816</v>
      </c>
      <c r="I157" s="12">
        <v>34130.6</v>
      </c>
      <c r="J157" s="877">
        <f t="shared" si="85"/>
        <v>1</v>
      </c>
      <c r="K157" s="879">
        <f t="shared" si="86"/>
        <v>3.6472723530140583E-2</v>
      </c>
    </row>
    <row r="158" spans="1:11" ht="15" thickBot="1" x14ac:dyDescent="0.35">
      <c r="A158" s="872"/>
      <c r="B158" s="874"/>
      <c r="C158" s="874"/>
      <c r="D158" s="874"/>
      <c r="E158" s="874"/>
      <c r="F158" s="10" t="s">
        <v>3653</v>
      </c>
      <c r="G158" s="10">
        <v>63561</v>
      </c>
      <c r="H158" s="10">
        <v>1072</v>
      </c>
      <c r="I158" s="10">
        <v>42082.1</v>
      </c>
      <c r="J158" s="878"/>
      <c r="K158" s="880"/>
    </row>
    <row r="159" spans="1:11" ht="15" thickBot="1" x14ac:dyDescent="0.35">
      <c r="A159" s="199">
        <v>1099</v>
      </c>
      <c r="B159" s="10">
        <v>47836</v>
      </c>
      <c r="C159" s="10" t="s">
        <v>3654</v>
      </c>
      <c r="D159" s="10">
        <f>+H159</f>
        <v>1098</v>
      </c>
      <c r="E159" s="10">
        <f t="shared" ref="E159:E160" si="94">+I159</f>
        <v>46252.299999999996</v>
      </c>
      <c r="F159" s="10" t="s">
        <v>3655</v>
      </c>
      <c r="G159" s="10">
        <v>63571</v>
      </c>
      <c r="H159" s="10">
        <v>1098</v>
      </c>
      <c r="I159" s="10">
        <v>46252.299999999996</v>
      </c>
      <c r="J159" s="52">
        <f t="shared" ref="J159" si="95">+A159-D159</f>
        <v>1</v>
      </c>
      <c r="K159" s="138">
        <f t="shared" ref="K159" si="96">+((B159/A159)-(E159/D159))/(B159/A159)</f>
        <v>3.2226270281994207E-2</v>
      </c>
    </row>
    <row r="160" spans="1:11" ht="15" thickBot="1" x14ac:dyDescent="0.35">
      <c r="A160" s="175">
        <v>48</v>
      </c>
      <c r="B160" s="8">
        <v>1858.78</v>
      </c>
      <c r="C160" s="8" t="s">
        <v>3840</v>
      </c>
      <c r="D160" s="8">
        <f>+H160</f>
        <v>48</v>
      </c>
      <c r="E160" s="8">
        <f t="shared" si="94"/>
        <v>1788.5</v>
      </c>
      <c r="F160" s="8" t="s">
        <v>3841</v>
      </c>
      <c r="G160" s="8">
        <v>63691</v>
      </c>
      <c r="H160" s="8">
        <v>48</v>
      </c>
      <c r="I160" s="8">
        <v>1788.5</v>
      </c>
      <c r="J160" s="52">
        <f t="shared" ref="J160:J162" si="97">+A160-D160</f>
        <v>0</v>
      </c>
      <c r="K160" s="138">
        <f t="shared" ref="K160:K162" si="98">+((B160/A160)-(E160/D160))/(B160/A160)</f>
        <v>3.7809746177600467E-2</v>
      </c>
    </row>
    <row r="161" spans="1:11" ht="15" thickBot="1" x14ac:dyDescent="0.35">
      <c r="A161" s="212">
        <v>100</v>
      </c>
      <c r="B161" s="50">
        <f>+A161*42.85053</f>
        <v>4285.0529999999999</v>
      </c>
      <c r="C161" s="50" t="s">
        <v>3690</v>
      </c>
      <c r="D161" s="50">
        <f>+H161</f>
        <v>100</v>
      </c>
      <c r="E161" s="50">
        <f>+I161</f>
        <v>4160</v>
      </c>
      <c r="F161" s="333" t="s">
        <v>3691</v>
      </c>
      <c r="G161" s="333">
        <v>30371</v>
      </c>
      <c r="H161" s="333">
        <v>100</v>
      </c>
      <c r="I161" s="333">
        <v>4160</v>
      </c>
      <c r="J161" s="52">
        <f t="shared" si="97"/>
        <v>0</v>
      </c>
      <c r="K161" s="138">
        <f t="shared" si="98"/>
        <v>2.9183536352992548E-2</v>
      </c>
    </row>
    <row r="162" spans="1:11" x14ac:dyDescent="0.3">
      <c r="A162" s="871">
        <v>47</v>
      </c>
      <c r="B162" s="873">
        <v>1766.2</v>
      </c>
      <c r="C162" s="873" t="s">
        <v>3842</v>
      </c>
      <c r="D162" s="873">
        <f>+H162+H163</f>
        <v>47</v>
      </c>
      <c r="E162" s="873">
        <f>+I162+I163</f>
        <v>1796.3</v>
      </c>
      <c r="F162" s="12" t="s">
        <v>3843</v>
      </c>
      <c r="G162" s="12">
        <v>63701</v>
      </c>
      <c r="H162" s="12">
        <v>22</v>
      </c>
      <c r="I162" s="12">
        <v>861.8</v>
      </c>
      <c r="J162" s="877">
        <f t="shared" si="97"/>
        <v>0</v>
      </c>
      <c r="K162" s="879">
        <f t="shared" si="98"/>
        <v>-1.7042237572188864E-2</v>
      </c>
    </row>
    <row r="163" spans="1:11" ht="15" thickBot="1" x14ac:dyDescent="0.35">
      <c r="A163" s="872"/>
      <c r="B163" s="874"/>
      <c r="C163" s="874"/>
      <c r="D163" s="874"/>
      <c r="E163" s="874"/>
      <c r="F163" s="10" t="s">
        <v>3843</v>
      </c>
      <c r="G163" s="10">
        <v>63701</v>
      </c>
      <c r="H163" s="10">
        <v>25</v>
      </c>
      <c r="I163" s="10">
        <v>934.5</v>
      </c>
      <c r="J163" s="878"/>
      <c r="K163" s="880"/>
    </row>
    <row r="164" spans="1:11" x14ac:dyDescent="0.3">
      <c r="A164" s="174">
        <v>1825</v>
      </c>
      <c r="B164" s="12">
        <v>79414.75</v>
      </c>
      <c r="C164" s="873" t="s">
        <v>3844</v>
      </c>
      <c r="D164" s="873">
        <f>+H164+H165</f>
        <v>1824</v>
      </c>
      <c r="E164" s="873">
        <f>+I164+I165</f>
        <v>77121.2</v>
      </c>
      <c r="F164" s="12" t="s">
        <v>3845</v>
      </c>
      <c r="G164" s="12">
        <v>63711</v>
      </c>
      <c r="H164" s="12">
        <v>1099</v>
      </c>
      <c r="I164" s="12">
        <v>46632.9</v>
      </c>
      <c r="J164" s="877">
        <f t="shared" ref="J164" si="99">+A164-D164</f>
        <v>1</v>
      </c>
      <c r="K164" s="879">
        <f t="shared" ref="K164" si="100">+((B164/A164)-(E164/D164))/(B164/A164)</f>
        <v>2.8348243120464151E-2</v>
      </c>
    </row>
    <row r="165" spans="1:11" ht="15" thickBot="1" x14ac:dyDescent="0.35">
      <c r="A165" s="199"/>
      <c r="B165" s="10"/>
      <c r="C165" s="874"/>
      <c r="D165" s="874"/>
      <c r="E165" s="874"/>
      <c r="F165" s="10" t="s">
        <v>3845</v>
      </c>
      <c r="G165" s="10">
        <v>63711</v>
      </c>
      <c r="H165" s="10">
        <v>725</v>
      </c>
      <c r="I165" s="10">
        <v>30488.3</v>
      </c>
      <c r="J165" s="878"/>
      <c r="K165" s="880"/>
    </row>
    <row r="166" spans="1:11" x14ac:dyDescent="0.3">
      <c r="A166" s="871">
        <v>2445</v>
      </c>
      <c r="B166" s="873">
        <v>102209.5</v>
      </c>
      <c r="C166" s="873" t="s">
        <v>3846</v>
      </c>
      <c r="D166" s="873">
        <f>+H166+H167</f>
        <v>2447</v>
      </c>
      <c r="E166" s="873">
        <f>+I166+I167</f>
        <v>102128.09999999999</v>
      </c>
      <c r="F166" s="12" t="s">
        <v>3847</v>
      </c>
      <c r="G166" s="12">
        <v>63721</v>
      </c>
      <c r="H166" s="12">
        <v>1376</v>
      </c>
      <c r="I166" s="12">
        <v>55995.499999999993</v>
      </c>
      <c r="J166" s="877">
        <f t="shared" ref="J166" si="101">+A166-D166</f>
        <v>-2</v>
      </c>
      <c r="K166" s="879">
        <f t="shared" ref="K166" si="102">+((B166/A166)-(E166/D166))/(B166/A166)</f>
        <v>1.6130798827052575E-3</v>
      </c>
    </row>
    <row r="167" spans="1:11" ht="15" thickBot="1" x14ac:dyDescent="0.35">
      <c r="A167" s="875"/>
      <c r="B167" s="881"/>
      <c r="C167" s="881"/>
      <c r="D167" s="881"/>
      <c r="E167" s="881"/>
      <c r="F167" s="15" t="s">
        <v>3847</v>
      </c>
      <c r="G167" s="15">
        <v>63721</v>
      </c>
      <c r="H167" s="15">
        <v>1071</v>
      </c>
      <c r="I167" s="15">
        <v>46132.6</v>
      </c>
      <c r="J167" s="878"/>
      <c r="K167" s="880"/>
    </row>
    <row r="168" spans="1:11" x14ac:dyDescent="0.3">
      <c r="A168" s="871">
        <v>2175</v>
      </c>
      <c r="B168" s="873">
        <v>90540.75</v>
      </c>
      <c r="C168" s="873" t="s">
        <v>3848</v>
      </c>
      <c r="D168" s="873">
        <v>2175</v>
      </c>
      <c r="E168" s="873">
        <v>90150.9</v>
      </c>
      <c r="F168" s="12" t="s">
        <v>3849</v>
      </c>
      <c r="G168" s="12">
        <v>63801</v>
      </c>
      <c r="H168" s="12">
        <v>1100</v>
      </c>
      <c r="I168" s="12">
        <v>44620.9</v>
      </c>
      <c r="J168" s="877">
        <f t="shared" ref="J168" si="103">+A168-D168</f>
        <v>0</v>
      </c>
      <c r="K168" s="879">
        <f t="shared" ref="K168" si="104">+((B168/A168)-(E168/D168))/(B168/A168)</f>
        <v>4.3057960089794532E-3</v>
      </c>
    </row>
    <row r="169" spans="1:11" ht="15" thickBot="1" x14ac:dyDescent="0.35">
      <c r="A169" s="872"/>
      <c r="B169" s="874"/>
      <c r="C169" s="874"/>
      <c r="D169" s="874"/>
      <c r="E169" s="874"/>
      <c r="F169" s="10" t="s">
        <v>3849</v>
      </c>
      <c r="G169" s="10">
        <v>63801</v>
      </c>
      <c r="H169" s="10">
        <v>750</v>
      </c>
      <c r="I169" s="10">
        <v>31655.300000000003</v>
      </c>
      <c r="J169" s="878"/>
      <c r="K169" s="880"/>
    </row>
    <row r="170" spans="1:11" ht="15" thickBot="1" x14ac:dyDescent="0.35">
      <c r="A170" s="199">
        <v>45</v>
      </c>
      <c r="B170" s="10">
        <v>1691.05</v>
      </c>
      <c r="C170" s="10" t="s">
        <v>3706</v>
      </c>
      <c r="D170" s="10">
        <f t="shared" ref="D170:E172" si="105">+H170</f>
        <v>45</v>
      </c>
      <c r="E170" s="10">
        <f t="shared" si="105"/>
        <v>1700.2</v>
      </c>
      <c r="F170" s="10" t="s">
        <v>3850</v>
      </c>
      <c r="G170" s="10">
        <v>97831</v>
      </c>
      <c r="H170" s="10">
        <v>45</v>
      </c>
      <c r="I170" s="10">
        <v>1700.2</v>
      </c>
      <c r="J170" s="52">
        <f t="shared" ref="J170:J171" si="106">+A170-D170</f>
        <v>0</v>
      </c>
      <c r="K170" s="138">
        <f t="shared" ref="K170:K171" si="107">+((B170/A170)-(E170/D170))/(B170/A170)</f>
        <v>-5.4108394192956986E-3</v>
      </c>
    </row>
    <row r="171" spans="1:11" ht="15" thickBot="1" x14ac:dyDescent="0.35">
      <c r="A171" s="175">
        <v>50</v>
      </c>
      <c r="B171" s="8">
        <v>1936.22</v>
      </c>
      <c r="C171" s="8" t="s">
        <v>3707</v>
      </c>
      <c r="D171" s="8">
        <f t="shared" si="105"/>
        <v>51</v>
      </c>
      <c r="E171" s="8">
        <f t="shared" si="105"/>
        <v>1962.6</v>
      </c>
      <c r="F171" s="8" t="s">
        <v>3851</v>
      </c>
      <c r="G171" s="8">
        <v>97841</v>
      </c>
      <c r="H171" s="8">
        <v>51</v>
      </c>
      <c r="I171" s="8">
        <v>1962.6</v>
      </c>
      <c r="J171" s="52">
        <f t="shared" si="106"/>
        <v>-1</v>
      </c>
      <c r="K171" s="138">
        <f t="shared" si="107"/>
        <v>6.2505050775102386E-3</v>
      </c>
    </row>
    <row r="172" spans="1:11" ht="15" thickBot="1" x14ac:dyDescent="0.35">
      <c r="A172" s="175">
        <v>35</v>
      </c>
      <c r="B172" s="8">
        <v>1050</v>
      </c>
      <c r="C172" s="8" t="s">
        <v>3852</v>
      </c>
      <c r="D172" s="8">
        <f t="shared" si="105"/>
        <v>56</v>
      </c>
      <c r="E172" s="8">
        <f t="shared" si="105"/>
        <v>1778.2</v>
      </c>
      <c r="F172" s="8" t="s">
        <v>3853</v>
      </c>
      <c r="G172" s="8">
        <v>63881</v>
      </c>
      <c r="H172" s="8">
        <v>56</v>
      </c>
      <c r="I172" s="46">
        <v>1778.2</v>
      </c>
      <c r="J172" s="52">
        <f t="shared" ref="J172:J174" si="108">+A172-D172</f>
        <v>-21</v>
      </c>
      <c r="K172" s="138">
        <f t="shared" ref="K172:K174" si="109">+((B172/A172)-(E172/D172))/(B172/A172)</f>
        <v>-5.8452380952380999E-2</v>
      </c>
    </row>
    <row r="173" spans="1:11" ht="15" thickBot="1" x14ac:dyDescent="0.35">
      <c r="A173" s="174">
        <v>750</v>
      </c>
      <c r="B173" s="12">
        <v>26875.5</v>
      </c>
      <c r="C173" s="12" t="s">
        <v>3854</v>
      </c>
      <c r="D173" s="12">
        <v>750</v>
      </c>
      <c r="E173" s="12">
        <v>26651.5</v>
      </c>
      <c r="F173" s="12" t="s">
        <v>3855</v>
      </c>
      <c r="G173" s="12">
        <v>63891</v>
      </c>
      <c r="H173" s="12">
        <v>350</v>
      </c>
      <c r="I173" s="12">
        <v>12549</v>
      </c>
      <c r="J173" s="52">
        <f t="shared" si="108"/>
        <v>0</v>
      </c>
      <c r="K173" s="138">
        <f t="shared" si="109"/>
        <v>8.3347286562111197E-3</v>
      </c>
    </row>
    <row r="174" spans="1:11" x14ac:dyDescent="0.3">
      <c r="A174" s="871">
        <v>825</v>
      </c>
      <c r="B174" s="873">
        <v>32181.5</v>
      </c>
      <c r="C174" s="873" t="s">
        <v>3856</v>
      </c>
      <c r="D174" s="873">
        <f>+H174+H175</f>
        <v>825</v>
      </c>
      <c r="E174" s="873">
        <f>+I174+I175</f>
        <v>32046.1</v>
      </c>
      <c r="F174" s="12" t="s">
        <v>3857</v>
      </c>
      <c r="G174" s="12">
        <v>63921</v>
      </c>
      <c r="H174" s="12">
        <v>425</v>
      </c>
      <c r="I174" s="12">
        <v>17154</v>
      </c>
      <c r="J174" s="877">
        <f t="shared" si="108"/>
        <v>0</v>
      </c>
      <c r="K174" s="879">
        <f t="shared" si="109"/>
        <v>4.2073862312199083E-3</v>
      </c>
    </row>
    <row r="175" spans="1:11" ht="15" thickBot="1" x14ac:dyDescent="0.35">
      <c r="A175" s="872"/>
      <c r="B175" s="874"/>
      <c r="C175" s="874"/>
      <c r="D175" s="874"/>
      <c r="E175" s="874"/>
      <c r="F175" s="10" t="s">
        <v>3857</v>
      </c>
      <c r="G175" s="10">
        <v>63921</v>
      </c>
      <c r="H175" s="10">
        <v>400</v>
      </c>
      <c r="I175" s="10">
        <v>14892.1</v>
      </c>
      <c r="J175" s="878"/>
      <c r="K175" s="880"/>
    </row>
    <row r="176" spans="1:11" ht="15" thickBot="1" x14ac:dyDescent="0.35">
      <c r="A176" s="175">
        <v>327</v>
      </c>
      <c r="B176" s="8">
        <v>14016.25</v>
      </c>
      <c r="C176" s="8" t="s">
        <v>4113</v>
      </c>
      <c r="D176" s="8">
        <f t="shared" ref="D176:E178" si="110">+H176</f>
        <v>327</v>
      </c>
      <c r="E176" s="8">
        <f t="shared" si="110"/>
        <v>13821.3</v>
      </c>
      <c r="F176" s="8" t="s">
        <v>4114</v>
      </c>
      <c r="G176" s="8">
        <v>63941</v>
      </c>
      <c r="H176" s="8">
        <v>327</v>
      </c>
      <c r="I176" s="8">
        <v>13821.3</v>
      </c>
      <c r="J176" s="52">
        <f t="shared" ref="J176:J179" si="111">+A176-D176</f>
        <v>0</v>
      </c>
      <c r="K176" s="138">
        <f t="shared" ref="K176:K179" si="112">+((B176/A176)-(E176/D176))/(B176/A176)</f>
        <v>1.390885579238401E-2</v>
      </c>
    </row>
    <row r="177" spans="1:11" ht="15" thickBot="1" x14ac:dyDescent="0.35">
      <c r="A177" s="175">
        <v>304</v>
      </c>
      <c r="B177" s="8">
        <v>13178.5</v>
      </c>
      <c r="C177" s="8" t="s">
        <v>4115</v>
      </c>
      <c r="D177" s="8">
        <f t="shared" si="110"/>
        <v>304</v>
      </c>
      <c r="E177" s="8">
        <f t="shared" si="110"/>
        <v>12987.5</v>
      </c>
      <c r="F177" s="8" t="s">
        <v>4116</v>
      </c>
      <c r="G177" s="8">
        <v>63951</v>
      </c>
      <c r="H177" s="8">
        <v>304</v>
      </c>
      <c r="I177" s="8">
        <v>12987.5</v>
      </c>
      <c r="J177" s="52">
        <f t="shared" si="111"/>
        <v>0</v>
      </c>
      <c r="K177" s="138">
        <f t="shared" si="112"/>
        <v>1.4493303486739646E-2</v>
      </c>
    </row>
    <row r="178" spans="1:11" ht="15" thickBot="1" x14ac:dyDescent="0.35">
      <c r="A178" s="181">
        <v>323</v>
      </c>
      <c r="B178" s="15">
        <v>14234</v>
      </c>
      <c r="C178" s="15" t="s">
        <v>4117</v>
      </c>
      <c r="D178" s="15">
        <f t="shared" si="110"/>
        <v>323</v>
      </c>
      <c r="E178" s="15">
        <f t="shared" si="110"/>
        <v>14122.199999999999</v>
      </c>
      <c r="F178" s="15" t="s">
        <v>4118</v>
      </c>
      <c r="G178" s="15">
        <v>63961</v>
      </c>
      <c r="H178" s="15">
        <v>323</v>
      </c>
      <c r="I178" s="15">
        <v>14122.199999999999</v>
      </c>
      <c r="J178" s="52">
        <f t="shared" si="111"/>
        <v>0</v>
      </c>
      <c r="K178" s="138">
        <f t="shared" si="112"/>
        <v>7.8544330476325169E-3</v>
      </c>
    </row>
    <row r="179" spans="1:11" x14ac:dyDescent="0.3">
      <c r="A179" s="871">
        <v>262</v>
      </c>
      <c r="B179" s="873">
        <v>13934.8</v>
      </c>
      <c r="C179" s="873" t="s">
        <v>4119</v>
      </c>
      <c r="D179" s="873">
        <f>+H179+H180</f>
        <v>261</v>
      </c>
      <c r="E179" s="873">
        <f>+I179+I180</f>
        <v>13614.1</v>
      </c>
      <c r="F179" s="12" t="s">
        <v>4120</v>
      </c>
      <c r="G179" s="12">
        <v>63991</v>
      </c>
      <c r="H179" s="12">
        <v>91</v>
      </c>
      <c r="I179" s="12">
        <v>4758</v>
      </c>
      <c r="J179" s="877">
        <f t="shared" si="111"/>
        <v>1</v>
      </c>
      <c r="K179" s="879">
        <f t="shared" si="112"/>
        <v>1.9271083712576215E-2</v>
      </c>
    </row>
    <row r="180" spans="1:11" ht="15" thickBot="1" x14ac:dyDescent="0.35">
      <c r="A180" s="872"/>
      <c r="B180" s="874"/>
      <c r="C180" s="874"/>
      <c r="D180" s="874"/>
      <c r="E180" s="874"/>
      <c r="F180" s="10" t="s">
        <v>4120</v>
      </c>
      <c r="G180" s="10">
        <v>63991</v>
      </c>
      <c r="H180" s="10">
        <v>170</v>
      </c>
      <c r="I180" s="10">
        <v>8856.1</v>
      </c>
      <c r="J180" s="878"/>
      <c r="K180" s="880"/>
    </row>
    <row r="181" spans="1:11" ht="15" thickBot="1" x14ac:dyDescent="0.35">
      <c r="A181" s="175">
        <v>221</v>
      </c>
      <c r="B181" s="8">
        <v>10899.1</v>
      </c>
      <c r="C181" s="8" t="s">
        <v>4121</v>
      </c>
      <c r="D181" s="8">
        <f>+H181</f>
        <v>221</v>
      </c>
      <c r="E181" s="8">
        <f>+I181</f>
        <v>10751.7</v>
      </c>
      <c r="F181" s="8" t="s">
        <v>4122</v>
      </c>
      <c r="G181" s="8">
        <v>6401</v>
      </c>
      <c r="H181" s="8">
        <v>221</v>
      </c>
      <c r="I181" s="8">
        <v>10751.7</v>
      </c>
      <c r="J181" s="52">
        <f t="shared" ref="J181:J182" si="113">+A181-D181</f>
        <v>0</v>
      </c>
      <c r="K181" s="138">
        <f t="shared" ref="K181:K182" si="114">+((B181/A181)-(E181/D181))/(B181/A181)</f>
        <v>1.3524052444697149E-2</v>
      </c>
    </row>
    <row r="182" spans="1:11" x14ac:dyDescent="0.3">
      <c r="A182" s="871">
        <v>500</v>
      </c>
      <c r="B182" s="873">
        <v>18105</v>
      </c>
      <c r="C182" s="873" t="s">
        <v>4123</v>
      </c>
      <c r="D182" s="873">
        <f>+H182+H183</f>
        <v>500</v>
      </c>
      <c r="E182" s="873">
        <f>+I182+I183</f>
        <v>18084.2</v>
      </c>
      <c r="F182" s="12" t="s">
        <v>4124</v>
      </c>
      <c r="G182" s="12">
        <v>64021</v>
      </c>
      <c r="H182" s="12">
        <v>50</v>
      </c>
      <c r="I182" s="12">
        <v>1780.8</v>
      </c>
      <c r="J182" s="877">
        <f t="shared" si="113"/>
        <v>0</v>
      </c>
      <c r="K182" s="879">
        <f t="shared" si="114"/>
        <v>1.1488539077603569E-3</v>
      </c>
    </row>
    <row r="183" spans="1:11" ht="15" thickBot="1" x14ac:dyDescent="0.35">
      <c r="A183" s="872"/>
      <c r="B183" s="874"/>
      <c r="C183" s="874"/>
      <c r="D183" s="874"/>
      <c r="E183" s="874"/>
      <c r="F183" s="10" t="s">
        <v>4124</v>
      </c>
      <c r="G183" s="10">
        <v>64021</v>
      </c>
      <c r="H183" s="10">
        <v>450</v>
      </c>
      <c r="I183" s="10">
        <v>16303.4</v>
      </c>
      <c r="J183" s="878"/>
      <c r="K183" s="880"/>
    </row>
    <row r="184" spans="1:11" ht="15" thickBot="1" x14ac:dyDescent="0.35">
      <c r="A184" s="175">
        <v>553</v>
      </c>
      <c r="B184" s="8">
        <v>22860.75</v>
      </c>
      <c r="C184" s="8" t="s">
        <v>4125</v>
      </c>
      <c r="D184" s="8">
        <f>+H184</f>
        <v>553</v>
      </c>
      <c r="E184" s="8">
        <f t="shared" ref="E184:E187" si="115">+I184</f>
        <v>22936.700000000004</v>
      </c>
      <c r="F184" s="8" t="s">
        <v>4126</v>
      </c>
      <c r="G184" s="8">
        <v>64061</v>
      </c>
      <c r="H184" s="8">
        <v>553</v>
      </c>
      <c r="I184" s="8">
        <v>22936.700000000004</v>
      </c>
      <c r="J184" s="52">
        <f t="shared" ref="J184:J188" si="116">+A184-D184</f>
        <v>0</v>
      </c>
      <c r="K184" s="138">
        <f t="shared" ref="K184:K188" si="117">+((B184/A184)-(E184/D184))/(B184/A184)</f>
        <v>-3.3222882013933964E-3</v>
      </c>
    </row>
    <row r="185" spans="1:11" ht="15" thickBot="1" x14ac:dyDescent="0.35">
      <c r="A185" s="175">
        <v>554</v>
      </c>
      <c r="B185" s="8">
        <v>23199.5</v>
      </c>
      <c r="C185" s="8" t="s">
        <v>4127</v>
      </c>
      <c r="D185" s="8">
        <f>+H185</f>
        <v>554</v>
      </c>
      <c r="E185" s="8">
        <f t="shared" si="115"/>
        <v>23710.3</v>
      </c>
      <c r="F185" s="8" t="s">
        <v>4128</v>
      </c>
      <c r="G185" s="8">
        <v>65051</v>
      </c>
      <c r="H185" s="8">
        <v>554</v>
      </c>
      <c r="I185" s="8">
        <v>23710.3</v>
      </c>
      <c r="J185" s="52">
        <f t="shared" si="116"/>
        <v>0</v>
      </c>
      <c r="K185" s="138">
        <f t="shared" si="117"/>
        <v>-2.2017715899049523E-2</v>
      </c>
    </row>
    <row r="186" spans="1:11" ht="15" thickBot="1" x14ac:dyDescent="0.35">
      <c r="A186" s="175">
        <v>241</v>
      </c>
      <c r="B186" s="8">
        <v>10353.75</v>
      </c>
      <c r="C186" s="8" t="s">
        <v>4129</v>
      </c>
      <c r="D186" s="8">
        <f>+H186</f>
        <v>241</v>
      </c>
      <c r="E186" s="8">
        <f t="shared" si="115"/>
        <v>10063.800000000001</v>
      </c>
      <c r="F186" s="8" t="s">
        <v>4130</v>
      </c>
      <c r="G186" s="8">
        <v>64061</v>
      </c>
      <c r="H186" s="8">
        <v>241</v>
      </c>
      <c r="I186" s="8">
        <v>10063.800000000001</v>
      </c>
      <c r="J186" s="52">
        <f t="shared" si="116"/>
        <v>0</v>
      </c>
      <c r="K186" s="138">
        <f t="shared" si="117"/>
        <v>2.8004346251358163E-2</v>
      </c>
    </row>
    <row r="187" spans="1:11" ht="15" thickBot="1" x14ac:dyDescent="0.35">
      <c r="A187" s="175">
        <v>728</v>
      </c>
      <c r="B187" s="8">
        <v>26164.75</v>
      </c>
      <c r="C187" s="8" t="s">
        <v>4131</v>
      </c>
      <c r="D187" s="8">
        <f>+H187</f>
        <v>728</v>
      </c>
      <c r="E187" s="8">
        <f t="shared" si="115"/>
        <v>26114</v>
      </c>
      <c r="F187" s="8" t="s">
        <v>4132</v>
      </c>
      <c r="G187" s="8">
        <v>64081</v>
      </c>
      <c r="H187" s="8">
        <v>728</v>
      </c>
      <c r="I187" s="8">
        <v>26114</v>
      </c>
      <c r="J187" s="52">
        <f t="shared" si="116"/>
        <v>0</v>
      </c>
      <c r="K187" s="138">
        <f t="shared" si="117"/>
        <v>1.9396325208532864E-3</v>
      </c>
    </row>
    <row r="188" spans="1:11" x14ac:dyDescent="0.3">
      <c r="A188" s="871">
        <v>657</v>
      </c>
      <c r="B188" s="873">
        <v>25313.5</v>
      </c>
      <c r="C188" s="873" t="s">
        <v>4133</v>
      </c>
      <c r="D188" s="873">
        <f>+H188+H189</f>
        <v>657</v>
      </c>
      <c r="E188" s="873">
        <f>+I188+I189</f>
        <v>25660.7</v>
      </c>
      <c r="F188" s="12" t="s">
        <v>4134</v>
      </c>
      <c r="G188" s="12">
        <v>64151</v>
      </c>
      <c r="H188" s="12">
        <v>200</v>
      </c>
      <c r="I188" s="12">
        <v>8198.5</v>
      </c>
      <c r="J188" s="877">
        <f t="shared" si="116"/>
        <v>0</v>
      </c>
      <c r="K188" s="879">
        <f t="shared" si="117"/>
        <v>-1.3716001343156944E-2</v>
      </c>
    </row>
    <row r="189" spans="1:11" ht="15" thickBot="1" x14ac:dyDescent="0.35">
      <c r="A189" s="872"/>
      <c r="B189" s="874"/>
      <c r="C189" s="874"/>
      <c r="D189" s="874"/>
      <c r="E189" s="874"/>
      <c r="F189" s="10" t="s">
        <v>4134</v>
      </c>
      <c r="G189" s="10">
        <v>64151</v>
      </c>
      <c r="H189" s="10">
        <v>457</v>
      </c>
      <c r="I189" s="10">
        <v>17462.2</v>
      </c>
      <c r="J189" s="878"/>
      <c r="K189" s="880"/>
    </row>
    <row r="190" spans="1:11" ht="15" thickBot="1" x14ac:dyDescent="0.35">
      <c r="A190" s="175">
        <v>124</v>
      </c>
      <c r="B190" s="8">
        <v>5201.25</v>
      </c>
      <c r="C190" s="8" t="s">
        <v>4135</v>
      </c>
      <c r="D190" s="8">
        <f>+H190</f>
        <v>124</v>
      </c>
      <c r="E190" s="8">
        <f t="shared" ref="E190:E195" si="118">+I190</f>
        <v>5156.8</v>
      </c>
      <c r="F190" s="8" t="s">
        <v>4136</v>
      </c>
      <c r="G190" s="8">
        <v>64161</v>
      </c>
      <c r="H190" s="8">
        <v>124</v>
      </c>
      <c r="I190" s="8">
        <v>5156.8</v>
      </c>
      <c r="J190" s="52">
        <f t="shared" ref="J190:J195" si="119">+A190-D190</f>
        <v>0</v>
      </c>
      <c r="K190" s="138">
        <f t="shared" ref="K190:K195" si="120">+((B190/A190)-(E190/D190))/(B190/A190)</f>
        <v>8.5460225907234028E-3</v>
      </c>
    </row>
    <row r="191" spans="1:11" ht="15" thickBot="1" x14ac:dyDescent="0.35">
      <c r="A191" s="175">
        <v>552</v>
      </c>
      <c r="B191" s="8">
        <v>22882.25</v>
      </c>
      <c r="C191" s="8" t="s">
        <v>4137</v>
      </c>
      <c r="D191" s="8">
        <f>+H191</f>
        <v>552</v>
      </c>
      <c r="E191" s="8">
        <f t="shared" si="118"/>
        <v>22877.4</v>
      </c>
      <c r="F191" s="8" t="s">
        <v>4138</v>
      </c>
      <c r="G191" s="8">
        <v>64221</v>
      </c>
      <c r="H191" s="8">
        <v>552</v>
      </c>
      <c r="I191" s="8">
        <v>22877.4</v>
      </c>
      <c r="J191" s="52">
        <f t="shared" si="119"/>
        <v>0</v>
      </c>
      <c r="K191" s="138">
        <f t="shared" si="120"/>
        <v>2.1195468102991547E-4</v>
      </c>
    </row>
    <row r="192" spans="1:11" ht="15" thickBot="1" x14ac:dyDescent="0.35">
      <c r="A192" s="199">
        <v>120</v>
      </c>
      <c r="B192" s="10">
        <v>4401</v>
      </c>
      <c r="C192" s="10" t="s">
        <v>4139</v>
      </c>
      <c r="D192" s="8">
        <f>+H192</f>
        <v>120</v>
      </c>
      <c r="E192" s="8">
        <f t="shared" si="118"/>
        <v>4366.1000000000004</v>
      </c>
      <c r="F192" s="10" t="s">
        <v>4140</v>
      </c>
      <c r="G192" s="10">
        <v>64251</v>
      </c>
      <c r="H192" s="10">
        <v>120</v>
      </c>
      <c r="I192" s="10">
        <v>4366.1000000000004</v>
      </c>
      <c r="J192" s="52">
        <f t="shared" si="119"/>
        <v>0</v>
      </c>
      <c r="K192" s="138">
        <f t="shared" si="120"/>
        <v>7.9300159054757919E-3</v>
      </c>
    </row>
    <row r="193" spans="1:11" ht="15" thickBot="1" x14ac:dyDescent="0.35">
      <c r="A193" s="175">
        <v>240</v>
      </c>
      <c r="B193" s="8">
        <v>10614.25</v>
      </c>
      <c r="C193" s="8" t="s">
        <v>4141</v>
      </c>
      <c r="D193" s="8">
        <f>+H193</f>
        <v>240</v>
      </c>
      <c r="E193" s="8">
        <f t="shared" si="118"/>
        <v>10539.7</v>
      </c>
      <c r="F193" s="8" t="s">
        <v>4142</v>
      </c>
      <c r="G193" s="8">
        <v>64261</v>
      </c>
      <c r="H193" s="8">
        <v>240</v>
      </c>
      <c r="I193" s="8">
        <v>10539.7</v>
      </c>
      <c r="J193" s="52">
        <f t="shared" si="119"/>
        <v>0</v>
      </c>
      <c r="K193" s="138">
        <f t="shared" si="120"/>
        <v>7.0235767953457573E-3</v>
      </c>
    </row>
    <row r="194" spans="1:11" ht="15" thickBot="1" x14ac:dyDescent="0.35">
      <c r="A194" s="175">
        <v>928</v>
      </c>
      <c r="B194" s="8">
        <v>40123.25</v>
      </c>
      <c r="C194" s="8" t="s">
        <v>4143</v>
      </c>
      <c r="D194" s="8">
        <f t="shared" ref="D194:D195" si="121">+H194</f>
        <v>928</v>
      </c>
      <c r="E194" s="8">
        <f t="shared" si="118"/>
        <v>40015.300000000003</v>
      </c>
      <c r="F194" s="8" t="s">
        <v>4144</v>
      </c>
      <c r="G194" s="8">
        <v>64291</v>
      </c>
      <c r="H194" s="8">
        <v>928</v>
      </c>
      <c r="I194" s="8">
        <v>40015.300000000003</v>
      </c>
      <c r="J194" s="52">
        <f t="shared" si="119"/>
        <v>0</v>
      </c>
      <c r="K194" s="138">
        <f t="shared" si="120"/>
        <v>2.6904600200631755E-3</v>
      </c>
    </row>
    <row r="195" spans="1:11" ht="15" thickBot="1" x14ac:dyDescent="0.35">
      <c r="A195" s="199">
        <v>300</v>
      </c>
      <c r="B195" s="10">
        <v>13248.25</v>
      </c>
      <c r="C195" s="10" t="s">
        <v>4145</v>
      </c>
      <c r="D195" s="8">
        <f t="shared" si="121"/>
        <v>301</v>
      </c>
      <c r="E195" s="8">
        <f t="shared" si="118"/>
        <v>13103.300000000001</v>
      </c>
      <c r="F195" s="10" t="s">
        <v>4146</v>
      </c>
      <c r="G195" s="10">
        <v>64301</v>
      </c>
      <c r="H195" s="10">
        <v>301</v>
      </c>
      <c r="I195" s="10">
        <v>13103.300000000001</v>
      </c>
      <c r="J195" s="52">
        <f t="shared" si="119"/>
        <v>-1</v>
      </c>
      <c r="K195" s="138">
        <f t="shared" si="120"/>
        <v>1.4226977762310902E-2</v>
      </c>
    </row>
    <row r="196" spans="1:11" x14ac:dyDescent="0.3">
      <c r="A196" s="871">
        <v>1101</v>
      </c>
      <c r="B196" s="873">
        <v>46229</v>
      </c>
      <c r="C196" s="873" t="s">
        <v>4297</v>
      </c>
      <c r="D196" s="873">
        <f>+H196+H197+H198</f>
        <v>1100</v>
      </c>
      <c r="E196" s="873">
        <f>+I196+I197+I198</f>
        <v>46093.8</v>
      </c>
      <c r="F196" s="12" t="s">
        <v>4298</v>
      </c>
      <c r="G196" s="12">
        <v>64321</v>
      </c>
      <c r="H196" s="12">
        <v>131</v>
      </c>
      <c r="I196" s="12">
        <v>5016.1000000000004</v>
      </c>
      <c r="J196" s="877">
        <f t="shared" ref="J196" si="122">+A196-D196</f>
        <v>1</v>
      </c>
      <c r="K196" s="879">
        <f>+((B196/A196)-(E196/D196))/(B196/A196)</f>
        <v>2.0181389485937388E-3</v>
      </c>
    </row>
    <row r="197" spans="1:11" x14ac:dyDescent="0.3">
      <c r="A197" s="875"/>
      <c r="B197" s="881"/>
      <c r="C197" s="881"/>
      <c r="D197" s="881"/>
      <c r="E197" s="881"/>
      <c r="F197" s="15" t="s">
        <v>4298</v>
      </c>
      <c r="G197" s="15">
        <v>64321</v>
      </c>
      <c r="H197" s="15">
        <v>420</v>
      </c>
      <c r="I197" s="15">
        <v>17480.2</v>
      </c>
      <c r="J197" s="886"/>
      <c r="K197" s="885"/>
    </row>
    <row r="198" spans="1:11" ht="15" thickBot="1" x14ac:dyDescent="0.35">
      <c r="A198" s="872"/>
      <c r="B198" s="874"/>
      <c r="C198" s="874"/>
      <c r="D198" s="874"/>
      <c r="E198" s="874"/>
      <c r="F198" s="10" t="s">
        <v>4298</v>
      </c>
      <c r="G198" s="10">
        <v>64321</v>
      </c>
      <c r="H198" s="10">
        <v>549</v>
      </c>
      <c r="I198" s="10">
        <v>23597.5</v>
      </c>
      <c r="J198" s="878"/>
      <c r="K198" s="880"/>
    </row>
    <row r="199" spans="1:11" ht="15" thickBot="1" x14ac:dyDescent="0.35">
      <c r="A199" s="174">
        <v>221</v>
      </c>
      <c r="B199" s="12">
        <v>10394</v>
      </c>
      <c r="C199" s="12" t="s">
        <v>4385</v>
      </c>
      <c r="D199" s="12">
        <f>+H199</f>
        <v>221</v>
      </c>
      <c r="E199" s="12">
        <f>+I199</f>
        <v>10292.6</v>
      </c>
      <c r="F199" s="12" t="s">
        <v>4386</v>
      </c>
      <c r="G199" s="12">
        <v>64421</v>
      </c>
      <c r="H199" s="12">
        <v>221</v>
      </c>
      <c r="I199" s="12">
        <v>10292.6</v>
      </c>
      <c r="J199" s="52">
        <f t="shared" ref="J199:J200" si="123">+A199-D199</f>
        <v>0</v>
      </c>
      <c r="K199" s="138">
        <f t="shared" ref="K199:K200" si="124">+((B199/A199)-(E199/D199))/(B199/A199)</f>
        <v>9.755628247065655E-3</v>
      </c>
    </row>
    <row r="200" spans="1:11" x14ac:dyDescent="0.3">
      <c r="A200" s="871">
        <v>1658</v>
      </c>
      <c r="B200" s="873">
        <v>67972.75</v>
      </c>
      <c r="C200" s="873" t="s">
        <v>4387</v>
      </c>
      <c r="D200" s="873">
        <f>+H200+H201</f>
        <v>1658</v>
      </c>
      <c r="E200" s="873">
        <f>+I200+I201</f>
        <v>68028</v>
      </c>
      <c r="F200" s="12" t="s">
        <v>4388</v>
      </c>
      <c r="G200" s="12">
        <v>64451</v>
      </c>
      <c r="H200" s="12">
        <v>825</v>
      </c>
      <c r="I200" s="12">
        <v>33716.300000000003</v>
      </c>
      <c r="J200" s="877">
        <f t="shared" si="123"/>
        <v>0</v>
      </c>
      <c r="K200" s="879">
        <f t="shared" si="124"/>
        <v>-8.1282572795716274E-4</v>
      </c>
    </row>
    <row r="201" spans="1:11" ht="15" thickBot="1" x14ac:dyDescent="0.35">
      <c r="A201" s="872"/>
      <c r="B201" s="874"/>
      <c r="C201" s="874"/>
      <c r="D201" s="874"/>
      <c r="E201" s="874"/>
      <c r="F201" s="10" t="s">
        <v>4388</v>
      </c>
      <c r="G201" s="10">
        <v>64451</v>
      </c>
      <c r="H201" s="10">
        <v>833</v>
      </c>
      <c r="I201" s="10">
        <v>34311.699999999997</v>
      </c>
      <c r="J201" s="878"/>
      <c r="K201" s="880"/>
    </row>
    <row r="202" spans="1:11" ht="15" thickBot="1" x14ac:dyDescent="0.35">
      <c r="A202" s="174">
        <v>77</v>
      </c>
      <c r="B202" s="12">
        <v>3389.25</v>
      </c>
      <c r="C202" s="12" t="s">
        <v>4389</v>
      </c>
      <c r="D202" s="12">
        <f>+H202</f>
        <v>77</v>
      </c>
      <c r="E202" s="12">
        <f>+I202</f>
        <v>3333.8</v>
      </c>
      <c r="F202" s="12" t="s">
        <v>4390</v>
      </c>
      <c r="G202" s="12">
        <v>64471</v>
      </c>
      <c r="H202" s="12">
        <v>77</v>
      </c>
      <c r="I202" s="12">
        <v>3333.8</v>
      </c>
      <c r="J202" s="52">
        <f t="shared" ref="J202:J203" si="125">+A202-D202</f>
        <v>0</v>
      </c>
      <c r="K202" s="138">
        <f t="shared" ref="K202" si="126">+((B202/A202)-(E202/D202))/(B202/A202)</f>
        <v>1.6360551744486168E-2</v>
      </c>
    </row>
    <row r="203" spans="1:11" x14ac:dyDescent="0.3">
      <c r="A203" s="871">
        <v>2195</v>
      </c>
      <c r="B203" s="873">
        <v>93815.25</v>
      </c>
      <c r="C203" s="873" t="s">
        <v>4391</v>
      </c>
      <c r="D203" s="873">
        <f>+H203+H204+H205</f>
        <v>2198</v>
      </c>
      <c r="E203" s="873">
        <f>+I203+I204+I205</f>
        <v>94161.2</v>
      </c>
      <c r="F203" s="12" t="s">
        <v>4392</v>
      </c>
      <c r="G203" s="12">
        <v>64561</v>
      </c>
      <c r="H203" s="12">
        <v>1095</v>
      </c>
      <c r="I203" s="12">
        <v>47554.1</v>
      </c>
      <c r="J203" s="877">
        <f t="shared" si="125"/>
        <v>-3</v>
      </c>
      <c r="K203" s="879">
        <f>+((B203/A203)-(E203/D203))/(B203/A203)</f>
        <v>-2.3176565501069764E-3</v>
      </c>
    </row>
    <row r="204" spans="1:11" x14ac:dyDescent="0.3">
      <c r="A204" s="875"/>
      <c r="B204" s="881"/>
      <c r="C204" s="881"/>
      <c r="D204" s="881"/>
      <c r="E204" s="881"/>
      <c r="F204" s="15" t="s">
        <v>4392</v>
      </c>
      <c r="G204" s="15">
        <v>64561</v>
      </c>
      <c r="H204" s="15">
        <v>400</v>
      </c>
      <c r="I204" s="15">
        <v>17193.099999999999</v>
      </c>
      <c r="J204" s="886"/>
      <c r="K204" s="885"/>
    </row>
    <row r="205" spans="1:11" ht="15" thickBot="1" x14ac:dyDescent="0.35">
      <c r="A205" s="872"/>
      <c r="B205" s="874"/>
      <c r="C205" s="874"/>
      <c r="D205" s="874"/>
      <c r="E205" s="874"/>
      <c r="F205" s="10" t="s">
        <v>4392</v>
      </c>
      <c r="G205" s="10">
        <v>64561</v>
      </c>
      <c r="H205" s="10">
        <v>703</v>
      </c>
      <c r="I205" s="10">
        <v>29414</v>
      </c>
      <c r="J205" s="878"/>
      <c r="K205" s="880"/>
    </row>
    <row r="206" spans="1:11" ht="15" thickBot="1" x14ac:dyDescent="0.35">
      <c r="A206" s="175">
        <v>446</v>
      </c>
      <c r="B206" s="8">
        <v>20042</v>
      </c>
      <c r="C206" s="8" t="s">
        <v>4393</v>
      </c>
      <c r="D206" s="8">
        <v>446</v>
      </c>
      <c r="E206" s="8">
        <v>19952.3</v>
      </c>
      <c r="F206" s="8" t="s">
        <v>4394</v>
      </c>
      <c r="G206" s="8">
        <v>64581</v>
      </c>
      <c r="H206" s="8">
        <v>396</v>
      </c>
      <c r="I206" s="8">
        <v>17942.7</v>
      </c>
      <c r="J206" s="52">
        <f t="shared" ref="J206:J207" si="127">+A206-D206</f>
        <v>0</v>
      </c>
      <c r="K206" s="138">
        <f t="shared" ref="K206" si="128">+((B206/A206)-(E206/D206))/(B206/A206)</f>
        <v>4.475601237401497E-3</v>
      </c>
    </row>
    <row r="207" spans="1:11" x14ac:dyDescent="0.3">
      <c r="A207" s="871">
        <v>2320</v>
      </c>
      <c r="B207" s="873">
        <v>94112.75</v>
      </c>
      <c r="C207" s="873" t="s">
        <v>4482</v>
      </c>
      <c r="D207" s="873">
        <f>+H207+H208+H209</f>
        <v>2320</v>
      </c>
      <c r="E207" s="873">
        <f>+I207+I208+I209</f>
        <v>94276.7</v>
      </c>
      <c r="F207" s="12" t="s">
        <v>4483</v>
      </c>
      <c r="G207" s="12">
        <v>64591</v>
      </c>
      <c r="H207" s="12">
        <v>551</v>
      </c>
      <c r="I207" s="12">
        <v>20531.600000000002</v>
      </c>
      <c r="J207" s="877">
        <f t="shared" si="127"/>
        <v>0</v>
      </c>
      <c r="K207" s="879">
        <f>+((B207/A207)-(E207/D207))/(B207/A207)</f>
        <v>-1.7420593915277438E-3</v>
      </c>
    </row>
    <row r="208" spans="1:11" x14ac:dyDescent="0.3">
      <c r="A208" s="875"/>
      <c r="B208" s="881"/>
      <c r="C208" s="881"/>
      <c r="D208" s="881"/>
      <c r="E208" s="881"/>
      <c r="F208" s="15" t="s">
        <v>4483</v>
      </c>
      <c r="G208" s="15">
        <v>64591</v>
      </c>
      <c r="H208" s="15">
        <v>1400</v>
      </c>
      <c r="I208" s="15">
        <v>58505.700000000004</v>
      </c>
      <c r="J208" s="886"/>
      <c r="K208" s="885"/>
    </row>
    <row r="209" spans="1:11" ht="15" thickBot="1" x14ac:dyDescent="0.35">
      <c r="A209" s="872"/>
      <c r="B209" s="874"/>
      <c r="C209" s="874"/>
      <c r="D209" s="874"/>
      <c r="E209" s="874"/>
      <c r="F209" s="10" t="s">
        <v>4483</v>
      </c>
      <c r="G209" s="10">
        <v>64591</v>
      </c>
      <c r="H209" s="10">
        <v>369</v>
      </c>
      <c r="I209" s="10">
        <v>15239.4</v>
      </c>
      <c r="J209" s="878"/>
      <c r="K209" s="880"/>
    </row>
    <row r="210" spans="1:11" ht="15" thickBot="1" x14ac:dyDescent="0.35">
      <c r="A210" s="175">
        <v>993</v>
      </c>
      <c r="B210" s="8">
        <v>37757.75</v>
      </c>
      <c r="C210" s="8" t="s">
        <v>4484</v>
      </c>
      <c r="D210" s="8">
        <f t="shared" ref="D210:E212" si="129">+H210</f>
        <v>992</v>
      </c>
      <c r="E210" s="8">
        <f t="shared" si="129"/>
        <v>37687.699999999997</v>
      </c>
      <c r="F210" s="8" t="s">
        <v>4485</v>
      </c>
      <c r="G210" s="8">
        <v>64601</v>
      </c>
      <c r="H210" s="8">
        <v>992</v>
      </c>
      <c r="I210" s="8">
        <v>37687.699999999997</v>
      </c>
      <c r="J210" s="52">
        <f t="shared" ref="J210:J214" si="130">+A210-D210</f>
        <v>1</v>
      </c>
      <c r="K210" s="138">
        <f t="shared" ref="K210:K214" si="131">+((B210/A210)-(E210/D210))/(B210/A210)</f>
        <v>8.4905395410171539E-4</v>
      </c>
    </row>
    <row r="211" spans="1:11" ht="15" thickBot="1" x14ac:dyDescent="0.35">
      <c r="A211" s="175">
        <v>275</v>
      </c>
      <c r="B211" s="8">
        <v>11572</v>
      </c>
      <c r="C211" s="8" t="s">
        <v>4486</v>
      </c>
      <c r="D211" s="8">
        <f t="shared" si="129"/>
        <v>275</v>
      </c>
      <c r="E211" s="8">
        <f t="shared" si="129"/>
        <v>11567.199999999999</v>
      </c>
      <c r="F211" s="8" t="s">
        <v>4487</v>
      </c>
      <c r="G211" s="8">
        <v>64621</v>
      </c>
      <c r="H211" s="8">
        <v>275</v>
      </c>
      <c r="I211" s="8">
        <v>11567.199999999999</v>
      </c>
      <c r="J211" s="52">
        <f t="shared" si="130"/>
        <v>0</v>
      </c>
      <c r="K211" s="138">
        <f t="shared" si="131"/>
        <v>4.1479433114420284E-4</v>
      </c>
    </row>
    <row r="212" spans="1:11" ht="15" thickBot="1" x14ac:dyDescent="0.35">
      <c r="A212" s="175">
        <v>159</v>
      </c>
      <c r="B212" s="8">
        <v>7046.4</v>
      </c>
      <c r="C212" s="8" t="s">
        <v>4488</v>
      </c>
      <c r="D212" s="8">
        <f t="shared" si="129"/>
        <v>159</v>
      </c>
      <c r="E212" s="8">
        <f t="shared" si="129"/>
        <v>6978.5</v>
      </c>
      <c r="F212" s="8" t="s">
        <v>4489</v>
      </c>
      <c r="G212" s="8">
        <v>64631</v>
      </c>
      <c r="H212" s="8">
        <v>159</v>
      </c>
      <c r="I212" s="8">
        <v>6978.5</v>
      </c>
      <c r="J212" s="52">
        <f t="shared" si="130"/>
        <v>0</v>
      </c>
      <c r="K212" s="138">
        <f t="shared" si="131"/>
        <v>9.6361262488645991E-3</v>
      </c>
    </row>
    <row r="213" spans="1:11" ht="15" thickBot="1" x14ac:dyDescent="0.35">
      <c r="A213" s="175">
        <v>1359</v>
      </c>
      <c r="B213" s="8">
        <v>56190.5</v>
      </c>
      <c r="C213" s="8" t="s">
        <v>4490</v>
      </c>
      <c r="D213" s="8">
        <v>1365</v>
      </c>
      <c r="E213" s="8">
        <v>56367.1</v>
      </c>
      <c r="F213" s="8" t="s">
        <v>4491</v>
      </c>
      <c r="G213" s="8">
        <v>64671</v>
      </c>
      <c r="H213" s="8">
        <v>400</v>
      </c>
      <c r="I213" s="8">
        <v>16419.400000000001</v>
      </c>
      <c r="J213" s="52">
        <f t="shared" si="130"/>
        <v>-6</v>
      </c>
      <c r="K213" s="138">
        <f t="shared" si="131"/>
        <v>1.2665392286503568E-3</v>
      </c>
    </row>
    <row r="214" spans="1:11" x14ac:dyDescent="0.3">
      <c r="A214" s="871">
        <v>1651</v>
      </c>
      <c r="B214" s="873">
        <v>73075.5</v>
      </c>
      <c r="C214" s="873" t="s">
        <v>4569</v>
      </c>
      <c r="D214" s="873">
        <f>+H214+H215</f>
        <v>1651</v>
      </c>
      <c r="E214" s="873">
        <f>+I214+I215</f>
        <v>72970.899999999994</v>
      </c>
      <c r="F214" s="12" t="s">
        <v>4570</v>
      </c>
      <c r="G214" s="12">
        <v>64691</v>
      </c>
      <c r="H214" s="12">
        <v>825</v>
      </c>
      <c r="I214" s="12">
        <v>36622.1</v>
      </c>
      <c r="J214" s="877">
        <f t="shared" si="130"/>
        <v>0</v>
      </c>
      <c r="K214" s="879">
        <f t="shared" si="131"/>
        <v>1.4313962956120706E-3</v>
      </c>
    </row>
    <row r="215" spans="1:11" ht="15" thickBot="1" x14ac:dyDescent="0.35">
      <c r="A215" s="872"/>
      <c r="B215" s="874"/>
      <c r="C215" s="874"/>
      <c r="D215" s="874"/>
      <c r="E215" s="874"/>
      <c r="F215" s="10" t="s">
        <v>4570</v>
      </c>
      <c r="G215" s="10">
        <v>64691</v>
      </c>
      <c r="H215" s="10">
        <v>826</v>
      </c>
      <c r="I215" s="10">
        <v>36348.799999999996</v>
      </c>
      <c r="J215" s="878"/>
      <c r="K215" s="880"/>
    </row>
    <row r="216" spans="1:11" x14ac:dyDescent="0.3">
      <c r="A216" s="871">
        <v>767</v>
      </c>
      <c r="B216" s="873">
        <v>30649.25</v>
      </c>
      <c r="C216" s="873" t="s">
        <v>4571</v>
      </c>
      <c r="D216" s="873">
        <f>+H216+H217</f>
        <v>768</v>
      </c>
      <c r="E216" s="873">
        <f>+I216+I217</f>
        <v>30847.1</v>
      </c>
      <c r="F216" s="12" t="s">
        <v>4572</v>
      </c>
      <c r="G216" s="12">
        <v>64701</v>
      </c>
      <c r="H216" s="12">
        <v>100</v>
      </c>
      <c r="I216" s="12">
        <v>4389.8999999999996</v>
      </c>
      <c r="J216" s="877">
        <f t="shared" ref="J216" si="132">+A216-D216</f>
        <v>-1</v>
      </c>
      <c r="K216" s="879">
        <f t="shared" ref="K216" si="133">+((B216/A216)-(E216/D216))/(B216/A216)</f>
        <v>-5.1448079547896063E-3</v>
      </c>
    </row>
    <row r="217" spans="1:11" ht="15" thickBot="1" x14ac:dyDescent="0.35">
      <c r="A217" s="872"/>
      <c r="B217" s="874"/>
      <c r="C217" s="874"/>
      <c r="D217" s="874"/>
      <c r="E217" s="874"/>
      <c r="F217" s="10" t="s">
        <v>4572</v>
      </c>
      <c r="G217" s="10">
        <v>64701</v>
      </c>
      <c r="H217" s="10">
        <v>668</v>
      </c>
      <c r="I217" s="10">
        <v>26457.199999999997</v>
      </c>
      <c r="J217" s="878"/>
      <c r="K217" s="880"/>
    </row>
    <row r="218" spans="1:11" x14ac:dyDescent="0.3">
      <c r="A218" s="871">
        <v>1100</v>
      </c>
      <c r="B218" s="873">
        <v>45705.5</v>
      </c>
      <c r="C218" s="873" t="s">
        <v>4668</v>
      </c>
      <c r="D218" s="873">
        <f>+H218+H220+H219</f>
        <v>1100</v>
      </c>
      <c r="E218" s="873">
        <f>+I218+I220+I219</f>
        <v>46102.7</v>
      </c>
      <c r="F218" s="12" t="s">
        <v>4669</v>
      </c>
      <c r="G218" s="12">
        <v>64741</v>
      </c>
      <c r="H218" s="12">
        <v>600</v>
      </c>
      <c r="I218" s="12">
        <v>25013.599999999999</v>
      </c>
      <c r="J218" s="877">
        <f t="shared" ref="J218" si="134">+A218-D218</f>
        <v>0</v>
      </c>
      <c r="K218" s="879">
        <f>+((B218/A218)-(E218/D218))/(B218/A218)</f>
        <v>-8.6904201901303567E-3</v>
      </c>
    </row>
    <row r="219" spans="1:11" x14ac:dyDescent="0.3">
      <c r="A219" s="875"/>
      <c r="B219" s="881"/>
      <c r="C219" s="881"/>
      <c r="D219" s="881"/>
      <c r="E219" s="881"/>
      <c r="F219" s="15" t="s">
        <v>4669</v>
      </c>
      <c r="G219" s="15">
        <v>64741</v>
      </c>
      <c r="H219" s="15">
        <v>252</v>
      </c>
      <c r="I219" s="15">
        <v>10602.2</v>
      </c>
      <c r="J219" s="886"/>
      <c r="K219" s="885"/>
    </row>
    <row r="220" spans="1:11" ht="15" thickBot="1" x14ac:dyDescent="0.35">
      <c r="A220" s="872"/>
      <c r="B220" s="874"/>
      <c r="C220" s="874"/>
      <c r="D220" s="874"/>
      <c r="E220" s="874"/>
      <c r="F220" s="10" t="s">
        <v>4669</v>
      </c>
      <c r="G220" s="10">
        <v>64741</v>
      </c>
      <c r="H220" s="10">
        <v>248</v>
      </c>
      <c r="I220" s="10">
        <v>10486.9</v>
      </c>
      <c r="J220" s="878"/>
      <c r="K220" s="880"/>
    </row>
    <row r="221" spans="1:11" x14ac:dyDescent="0.3">
      <c r="A221" s="871">
        <v>1313</v>
      </c>
      <c r="B221" s="873">
        <v>56662</v>
      </c>
      <c r="C221" s="873" t="s">
        <v>4670</v>
      </c>
      <c r="D221" s="873">
        <v>1303</v>
      </c>
      <c r="E221" s="873">
        <v>55617.599999999999</v>
      </c>
      <c r="F221" s="12" t="s">
        <v>4671</v>
      </c>
      <c r="G221" s="12">
        <v>64761</v>
      </c>
      <c r="H221" s="12">
        <v>528</v>
      </c>
      <c r="I221" s="12">
        <v>22528.799999999999</v>
      </c>
      <c r="J221" s="877">
        <f t="shared" ref="J221" si="135">+A221-D221</f>
        <v>10</v>
      </c>
      <c r="K221" s="879">
        <f t="shared" ref="K221" si="136">+((B221/A221)-(E221/D221))/(B221/A221)</f>
        <v>1.0898968078080835E-2</v>
      </c>
    </row>
    <row r="222" spans="1:11" ht="15" thickBot="1" x14ac:dyDescent="0.35">
      <c r="A222" s="872"/>
      <c r="B222" s="874"/>
      <c r="C222" s="874"/>
      <c r="D222" s="874"/>
      <c r="E222" s="874"/>
      <c r="F222" s="10" t="s">
        <v>4671</v>
      </c>
      <c r="G222" s="10">
        <v>64761</v>
      </c>
      <c r="H222" s="10">
        <v>400</v>
      </c>
      <c r="I222" s="10">
        <v>17014.099999999999</v>
      </c>
      <c r="J222" s="878"/>
      <c r="K222" s="880"/>
    </row>
    <row r="223" spans="1:11" ht="15" thickBot="1" x14ac:dyDescent="0.35">
      <c r="A223" s="175">
        <v>1324</v>
      </c>
      <c r="B223" s="8">
        <v>58947</v>
      </c>
      <c r="C223" s="8" t="s">
        <v>4759</v>
      </c>
      <c r="D223" s="8">
        <v>1324</v>
      </c>
      <c r="E223" s="8">
        <v>58640.4</v>
      </c>
      <c r="F223" s="8" t="s">
        <v>4760</v>
      </c>
      <c r="G223" s="8">
        <v>64771</v>
      </c>
      <c r="H223" s="8">
        <v>125</v>
      </c>
      <c r="I223" s="8">
        <v>5272.9</v>
      </c>
      <c r="J223" s="52">
        <f t="shared" ref="J223:J224" si="137">+A223-D223</f>
        <v>0</v>
      </c>
      <c r="K223" s="138">
        <f t="shared" ref="K223:K224" si="138">+((B223/A223)-(E223/D223))/(B223/A223)</f>
        <v>5.2012825080156953E-3</v>
      </c>
    </row>
    <row r="224" spans="1:11" ht="15" thickBot="1" x14ac:dyDescent="0.35">
      <c r="A224" s="175">
        <v>1792</v>
      </c>
      <c r="B224" s="8">
        <v>64029.5</v>
      </c>
      <c r="C224" s="8" t="s">
        <v>4821</v>
      </c>
      <c r="D224" s="8">
        <v>1793</v>
      </c>
      <c r="E224" s="8">
        <v>63271.8</v>
      </c>
      <c r="F224" s="8" t="s">
        <v>4824</v>
      </c>
      <c r="G224" s="9">
        <v>64821</v>
      </c>
      <c r="H224" s="15">
        <v>472</v>
      </c>
      <c r="I224" s="15">
        <v>19451.400000000001</v>
      </c>
      <c r="J224" s="52">
        <f t="shared" si="137"/>
        <v>-1</v>
      </c>
      <c r="K224" s="138">
        <f t="shared" si="138"/>
        <v>1.2384732537555149E-2</v>
      </c>
    </row>
    <row r="225" spans="1:12" ht="15" thickBot="1" x14ac:dyDescent="0.35">
      <c r="A225" s="175">
        <v>236</v>
      </c>
      <c r="B225" s="8">
        <v>10142.25</v>
      </c>
      <c r="C225" s="8" t="s">
        <v>4822</v>
      </c>
      <c r="D225" s="8">
        <f>+H225</f>
        <v>236</v>
      </c>
      <c r="E225" s="8">
        <f>+I225</f>
        <v>10022.1</v>
      </c>
      <c r="F225" s="8" t="s">
        <v>4823</v>
      </c>
      <c r="G225" s="8">
        <v>64881</v>
      </c>
      <c r="H225" s="8">
        <v>236</v>
      </c>
      <c r="I225" s="8">
        <v>10022.1</v>
      </c>
      <c r="J225" s="52">
        <f t="shared" ref="J225" si="139">+A225-D225</f>
        <v>0</v>
      </c>
      <c r="K225" s="138">
        <f t="shared" ref="K225" si="140">+((B225/A225)-(E225/D225))/(B225/A225)</f>
        <v>1.1846483768394483E-2</v>
      </c>
    </row>
    <row r="226" spans="1:12" ht="15" thickBot="1" x14ac:dyDescent="0.35">
      <c r="A226" s="175">
        <v>472</v>
      </c>
      <c r="B226" s="8">
        <v>20168.5</v>
      </c>
      <c r="C226" s="8" t="s">
        <v>4672</v>
      </c>
      <c r="D226" s="8">
        <f>+H226</f>
        <v>472</v>
      </c>
      <c r="E226" s="8">
        <f>+I226</f>
        <v>19451.400000000001</v>
      </c>
      <c r="F226" s="8" t="s">
        <v>4673</v>
      </c>
      <c r="G226" s="9">
        <v>64901</v>
      </c>
      <c r="H226" s="15">
        <v>472</v>
      </c>
      <c r="I226" s="15">
        <v>19451.400000000001</v>
      </c>
      <c r="J226" s="52">
        <f t="shared" ref="J226:J227" si="141">+A226-D226</f>
        <v>0</v>
      </c>
      <c r="K226" s="138">
        <f t="shared" ref="K226:K227" si="142">+((B226/A226)-(E226/D226))/(B226/A226)</f>
        <v>3.5555445372734619E-2</v>
      </c>
      <c r="L226">
        <f>+E226/D226</f>
        <v>41.210593220338986</v>
      </c>
    </row>
    <row r="227" spans="1:12" x14ac:dyDescent="0.3">
      <c r="A227" s="871">
        <v>549</v>
      </c>
      <c r="B227" s="873">
        <v>18576.25</v>
      </c>
      <c r="C227" s="873" t="s">
        <v>4817</v>
      </c>
      <c r="D227" s="873">
        <f>+H227+H228</f>
        <v>549</v>
      </c>
      <c r="E227" s="873">
        <f>+I227+I228</f>
        <v>18473.900000000001</v>
      </c>
      <c r="F227" s="12" t="s">
        <v>4818</v>
      </c>
      <c r="G227" s="12">
        <v>64921</v>
      </c>
      <c r="H227" s="12">
        <v>185</v>
      </c>
      <c r="I227" s="12">
        <v>6233.5</v>
      </c>
      <c r="J227" s="877">
        <f t="shared" si="141"/>
        <v>0</v>
      </c>
      <c r="K227" s="879">
        <f t="shared" si="142"/>
        <v>5.5097234371845449E-3</v>
      </c>
    </row>
    <row r="228" spans="1:12" ht="15" thickBot="1" x14ac:dyDescent="0.35">
      <c r="A228" s="872"/>
      <c r="B228" s="874"/>
      <c r="C228" s="874"/>
      <c r="D228" s="874"/>
      <c r="E228" s="874"/>
      <c r="F228" s="10" t="s">
        <v>4818</v>
      </c>
      <c r="G228" s="10">
        <v>64921</v>
      </c>
      <c r="H228" s="10">
        <v>364</v>
      </c>
      <c r="I228" s="10">
        <v>12240.4</v>
      </c>
      <c r="J228" s="878"/>
      <c r="K228" s="880"/>
    </row>
    <row r="229" spans="1:12" ht="15" thickBot="1" x14ac:dyDescent="0.35">
      <c r="A229" s="199">
        <v>1703</v>
      </c>
      <c r="B229" s="10">
        <v>76210.25</v>
      </c>
      <c r="C229" s="10" t="s">
        <v>4819</v>
      </c>
      <c r="D229" s="10">
        <f>+H229+1288</f>
        <v>1703</v>
      </c>
      <c r="E229" s="10">
        <f>+I229+56471.9</f>
        <v>74664.600000000006</v>
      </c>
      <c r="F229" s="10" t="s">
        <v>4820</v>
      </c>
      <c r="G229" s="10">
        <v>64931</v>
      </c>
      <c r="H229" s="10">
        <v>415</v>
      </c>
      <c r="I229" s="10">
        <v>18192.7</v>
      </c>
      <c r="J229" s="52">
        <f t="shared" ref="J229:J230" si="143">+A229-D229</f>
        <v>0</v>
      </c>
      <c r="K229" s="138">
        <f t="shared" ref="K229" si="144">+((B229/A229)-(E229/D229))/(B229/A229)</f>
        <v>2.0281392594828054E-2</v>
      </c>
    </row>
    <row r="230" spans="1:12" x14ac:dyDescent="0.3">
      <c r="A230" s="882">
        <v>1991</v>
      </c>
      <c r="B230" s="982">
        <v>70824.5</v>
      </c>
      <c r="C230" s="982" t="s">
        <v>4938</v>
      </c>
      <c r="D230" s="873">
        <f>+H230+H231+H232+H233</f>
        <v>1991</v>
      </c>
      <c r="E230" s="873">
        <f>+I230+I231+I232+I233</f>
        <v>70089.800000000017</v>
      </c>
      <c r="F230" s="12" t="s">
        <v>4939</v>
      </c>
      <c r="G230" s="12">
        <v>64941</v>
      </c>
      <c r="H230" s="12">
        <v>327</v>
      </c>
      <c r="I230" s="12">
        <v>11761.3</v>
      </c>
      <c r="J230" s="877">
        <f t="shared" si="143"/>
        <v>0</v>
      </c>
      <c r="K230" s="879">
        <f>+((B230/A230)-(E230/D230))/(B230/A230)</f>
        <v>1.0373528934196168E-2</v>
      </c>
    </row>
    <row r="231" spans="1:12" x14ac:dyDescent="0.3">
      <c r="A231" s="883"/>
      <c r="B231" s="1005"/>
      <c r="C231" s="1005"/>
      <c r="D231" s="881"/>
      <c r="E231" s="881"/>
      <c r="F231" s="15" t="s">
        <v>4939</v>
      </c>
      <c r="G231" s="15">
        <v>64941</v>
      </c>
      <c r="H231" s="15">
        <v>573</v>
      </c>
      <c r="I231" s="15">
        <v>20282.200000000004</v>
      </c>
      <c r="J231" s="886"/>
      <c r="K231" s="885"/>
    </row>
    <row r="232" spans="1:12" x14ac:dyDescent="0.3">
      <c r="A232" s="883"/>
      <c r="B232" s="1005"/>
      <c r="C232" s="1005"/>
      <c r="D232" s="881"/>
      <c r="E232" s="881"/>
      <c r="F232" s="15" t="s">
        <v>4939</v>
      </c>
      <c r="G232" s="15">
        <v>64942</v>
      </c>
      <c r="H232" s="15">
        <v>427</v>
      </c>
      <c r="I232" s="15">
        <v>15068.900000000001</v>
      </c>
      <c r="J232" s="886"/>
      <c r="K232" s="885"/>
    </row>
    <row r="233" spans="1:12" ht="15" thickBot="1" x14ac:dyDescent="0.35">
      <c r="A233" s="883"/>
      <c r="B233" s="1005"/>
      <c r="C233" s="1005"/>
      <c r="D233" s="881"/>
      <c r="E233" s="881"/>
      <c r="F233" s="15" t="s">
        <v>4939</v>
      </c>
      <c r="G233" s="15">
        <v>64942</v>
      </c>
      <c r="H233" s="15">
        <v>664</v>
      </c>
      <c r="I233" s="15">
        <v>22977.4</v>
      </c>
      <c r="J233" s="878"/>
      <c r="K233" s="880"/>
    </row>
    <row r="234" spans="1:12" x14ac:dyDescent="0.3">
      <c r="A234" s="871">
        <v>1000</v>
      </c>
      <c r="B234" s="873">
        <v>43077.25</v>
      </c>
      <c r="C234" s="873" t="s">
        <v>4940</v>
      </c>
      <c r="D234" s="873">
        <f>+H234+H235</f>
        <v>1000</v>
      </c>
      <c r="E234" s="873">
        <f>+I234+I235</f>
        <v>41907.800000000003</v>
      </c>
      <c r="F234" s="12" t="s">
        <v>4941</v>
      </c>
      <c r="G234" s="12">
        <v>64951</v>
      </c>
      <c r="H234" s="12">
        <v>136</v>
      </c>
      <c r="I234" s="12">
        <v>5641.4</v>
      </c>
      <c r="J234" s="877">
        <f t="shared" ref="J234" si="145">+A234-D234</f>
        <v>0</v>
      </c>
      <c r="K234" s="879">
        <f t="shared" ref="K234" si="146">+((B234/A234)-(E234/D234))/(B234/A234)</f>
        <v>2.7147740396613006E-2</v>
      </c>
    </row>
    <row r="235" spans="1:12" ht="15" thickBot="1" x14ac:dyDescent="0.35">
      <c r="A235" s="872"/>
      <c r="B235" s="874"/>
      <c r="C235" s="874"/>
      <c r="D235" s="874"/>
      <c r="E235" s="874"/>
      <c r="F235" s="10" t="s">
        <v>4941</v>
      </c>
      <c r="G235" s="10">
        <v>60951</v>
      </c>
      <c r="H235" s="10">
        <v>864</v>
      </c>
      <c r="I235" s="10">
        <v>36266.400000000001</v>
      </c>
      <c r="J235" s="878"/>
      <c r="K235" s="880"/>
    </row>
    <row r="236" spans="1:12" ht="15" thickBot="1" x14ac:dyDescent="0.35">
      <c r="A236" s="175">
        <v>233</v>
      </c>
      <c r="B236" s="8">
        <v>10149.75</v>
      </c>
      <c r="C236" s="8" t="s">
        <v>4942</v>
      </c>
      <c r="D236" s="8">
        <v>233</v>
      </c>
      <c r="E236" s="8">
        <v>9918.2999999999993</v>
      </c>
      <c r="F236" s="8" t="s">
        <v>5025</v>
      </c>
      <c r="G236" s="8">
        <v>60961</v>
      </c>
      <c r="H236" s="8">
        <v>150</v>
      </c>
      <c r="I236" s="8">
        <v>6406.4</v>
      </c>
      <c r="J236" s="52">
        <f t="shared" ref="J236:J237" si="147">+A236-D236</f>
        <v>0</v>
      </c>
      <c r="K236" s="138">
        <f t="shared" ref="K236:K237" si="148">+((B236/A236)-(E236/D236))/(B236/A236)</f>
        <v>2.2803517328013053E-2</v>
      </c>
    </row>
    <row r="237" spans="1:12" x14ac:dyDescent="0.3">
      <c r="A237" s="871">
        <v>835</v>
      </c>
      <c r="B237" s="873">
        <v>36601.5</v>
      </c>
      <c r="C237" s="873" t="s">
        <v>5026</v>
      </c>
      <c r="D237" s="873">
        <f>+H237+H238</f>
        <v>835</v>
      </c>
      <c r="E237" s="873">
        <f>+I237+I238</f>
        <v>35715.5</v>
      </c>
      <c r="F237" s="15" t="s">
        <v>5027</v>
      </c>
      <c r="G237" s="15">
        <v>64981</v>
      </c>
      <c r="H237" s="15">
        <v>668</v>
      </c>
      <c r="I237" s="15">
        <v>28590.699999999997</v>
      </c>
      <c r="J237" s="877">
        <f t="shared" si="147"/>
        <v>0</v>
      </c>
      <c r="K237" s="879">
        <f t="shared" si="148"/>
        <v>2.4206658197068427E-2</v>
      </c>
    </row>
    <row r="238" spans="1:12" ht="15" thickBot="1" x14ac:dyDescent="0.35">
      <c r="A238" s="872"/>
      <c r="B238" s="874"/>
      <c r="C238" s="874"/>
      <c r="D238" s="874"/>
      <c r="E238" s="874"/>
      <c r="F238" s="15" t="s">
        <v>5027</v>
      </c>
      <c r="G238" s="15">
        <v>64981</v>
      </c>
      <c r="H238" s="15">
        <v>167</v>
      </c>
      <c r="I238" s="15">
        <v>7124.8</v>
      </c>
      <c r="J238" s="878"/>
      <c r="K238" s="880"/>
    </row>
    <row r="239" spans="1:12" x14ac:dyDescent="0.3">
      <c r="A239" s="871">
        <v>542</v>
      </c>
      <c r="B239" s="873">
        <v>24081.5</v>
      </c>
      <c r="C239" s="873" t="s">
        <v>5028</v>
      </c>
      <c r="D239" s="873">
        <f>+H239+H240</f>
        <v>542</v>
      </c>
      <c r="E239" s="873">
        <f>+I239+I240</f>
        <v>23332.2</v>
      </c>
      <c r="F239" s="12" t="s">
        <v>5029</v>
      </c>
      <c r="G239" s="12">
        <v>64991</v>
      </c>
      <c r="H239" s="12">
        <v>350</v>
      </c>
      <c r="I239" s="12">
        <v>15044.900000000001</v>
      </c>
      <c r="J239" s="877">
        <f t="shared" ref="J239" si="149">+A239-D239</f>
        <v>0</v>
      </c>
      <c r="K239" s="879">
        <f t="shared" ref="K239" si="150">+((B239/A239)-(E239/D239))/(B239/A239)</f>
        <v>3.1115171397130541E-2</v>
      </c>
    </row>
    <row r="240" spans="1:12" ht="15" thickBot="1" x14ac:dyDescent="0.35">
      <c r="A240" s="875"/>
      <c r="B240" s="881"/>
      <c r="C240" s="881"/>
      <c r="D240" s="881"/>
      <c r="E240" s="881"/>
      <c r="F240" s="15" t="s">
        <v>5029</v>
      </c>
      <c r="G240" s="15">
        <v>64991</v>
      </c>
      <c r="H240" s="15">
        <v>192</v>
      </c>
      <c r="I240" s="15">
        <v>8287.2999999999993</v>
      </c>
      <c r="J240" s="878"/>
      <c r="K240" s="880"/>
    </row>
    <row r="241" spans="1:11" x14ac:dyDescent="0.3">
      <c r="A241" s="871">
        <v>1523</v>
      </c>
      <c r="B241" s="873">
        <v>65100.25</v>
      </c>
      <c r="C241" s="873" t="s">
        <v>5030</v>
      </c>
      <c r="D241" s="873">
        <f>+H241+H242+H243</f>
        <v>1524</v>
      </c>
      <c r="E241" s="873">
        <f>+I241+I242+I243</f>
        <v>64503.8</v>
      </c>
      <c r="F241" s="12" t="s">
        <v>5031</v>
      </c>
      <c r="G241" s="12">
        <v>65011</v>
      </c>
      <c r="H241" s="12">
        <v>771</v>
      </c>
      <c r="I241" s="12">
        <v>32570.3</v>
      </c>
      <c r="J241" s="877">
        <f t="shared" ref="J241" si="151">+A241-D241</f>
        <v>-1</v>
      </c>
      <c r="K241" s="879">
        <f>+((B241/A241)-(E241/D241))/(B241/A241)</f>
        <v>9.8121793400790611E-3</v>
      </c>
    </row>
    <row r="242" spans="1:11" x14ac:dyDescent="0.3">
      <c r="A242" s="875"/>
      <c r="B242" s="881"/>
      <c r="C242" s="881"/>
      <c r="D242" s="881"/>
      <c r="E242" s="881"/>
      <c r="F242" s="15" t="s">
        <v>5031</v>
      </c>
      <c r="G242" s="15">
        <v>65012</v>
      </c>
      <c r="H242" s="15">
        <v>200</v>
      </c>
      <c r="I242" s="15">
        <v>8438.2999999999993</v>
      </c>
      <c r="J242" s="886"/>
      <c r="K242" s="885"/>
    </row>
    <row r="243" spans="1:11" ht="15" thickBot="1" x14ac:dyDescent="0.35">
      <c r="A243" s="872"/>
      <c r="B243" s="874"/>
      <c r="C243" s="874"/>
      <c r="D243" s="874"/>
      <c r="E243" s="874"/>
      <c r="F243" s="10" t="s">
        <v>5031</v>
      </c>
      <c r="G243" s="10">
        <v>65012</v>
      </c>
      <c r="H243" s="10">
        <v>553</v>
      </c>
      <c r="I243" s="10">
        <v>23495.200000000001</v>
      </c>
      <c r="J243" s="878"/>
      <c r="K243" s="880"/>
    </row>
    <row r="244" spans="1:11" ht="15" thickBot="1" x14ac:dyDescent="0.35">
      <c r="A244" s="175">
        <v>420</v>
      </c>
      <c r="B244" s="8">
        <v>18105</v>
      </c>
      <c r="C244" s="8" t="s">
        <v>5032</v>
      </c>
      <c r="D244" s="8">
        <f t="shared" ref="D244:E247" si="152">+H244</f>
        <v>420</v>
      </c>
      <c r="E244" s="8">
        <f t="shared" si="152"/>
        <v>17656.2</v>
      </c>
      <c r="F244" s="8" t="s">
        <v>5033</v>
      </c>
      <c r="G244" s="8">
        <v>65031</v>
      </c>
      <c r="H244" s="8">
        <v>420</v>
      </c>
      <c r="I244" s="8">
        <v>17656.2</v>
      </c>
      <c r="J244" s="52">
        <f t="shared" ref="J244:J245" si="153">+A244-D244</f>
        <v>0</v>
      </c>
      <c r="K244" s="138">
        <f t="shared" ref="K244:K245" si="154">+((B244/A244)-(E244/D244))/(B244/A244)</f>
        <v>2.4788732394366093E-2</v>
      </c>
    </row>
    <row r="245" spans="1:11" ht="15" thickBot="1" x14ac:dyDescent="0.35">
      <c r="A245" s="175">
        <v>253</v>
      </c>
      <c r="B245" s="8">
        <v>8580.25</v>
      </c>
      <c r="C245" s="8" t="s">
        <v>5034</v>
      </c>
      <c r="D245" s="8">
        <f t="shared" si="152"/>
        <v>253</v>
      </c>
      <c r="E245" s="8">
        <f t="shared" si="152"/>
        <v>8539.4</v>
      </c>
      <c r="F245" s="8" t="s">
        <v>5035</v>
      </c>
      <c r="G245" s="8">
        <v>65081</v>
      </c>
      <c r="H245" s="8">
        <v>253</v>
      </c>
      <c r="I245" s="8">
        <v>8539.4</v>
      </c>
      <c r="J245" s="52">
        <f t="shared" si="153"/>
        <v>0</v>
      </c>
      <c r="K245" s="138">
        <f t="shared" si="154"/>
        <v>4.7609335392325546E-3</v>
      </c>
    </row>
    <row r="246" spans="1:11" ht="15" thickBot="1" x14ac:dyDescent="0.35">
      <c r="A246" s="374">
        <v>1149</v>
      </c>
      <c r="B246" s="374">
        <v>50610.25</v>
      </c>
      <c r="C246" s="374" t="s">
        <v>5244</v>
      </c>
      <c r="D246" s="8">
        <v>1149</v>
      </c>
      <c r="E246" s="8">
        <v>51590</v>
      </c>
      <c r="F246" s="374" t="s">
        <v>5245</v>
      </c>
      <c r="G246" s="374">
        <v>65101</v>
      </c>
      <c r="H246" s="374">
        <v>898</v>
      </c>
      <c r="I246" s="374">
        <v>40526.1</v>
      </c>
      <c r="J246" s="52">
        <f t="shared" ref="J246" si="155">+A246-D246</f>
        <v>0</v>
      </c>
      <c r="K246" s="138">
        <f t="shared" ref="K246" si="156">+((B246/A246)-(E246/D246))/(B246/A246)</f>
        <v>-1.9358726740136695E-2</v>
      </c>
    </row>
    <row r="247" spans="1:11" ht="15" thickBot="1" x14ac:dyDescent="0.35">
      <c r="A247" s="175">
        <v>218</v>
      </c>
      <c r="B247" s="8">
        <v>9401.75</v>
      </c>
      <c r="C247" s="8" t="s">
        <v>5107</v>
      </c>
      <c r="D247" s="8">
        <f t="shared" si="152"/>
        <v>218</v>
      </c>
      <c r="E247" s="8">
        <f t="shared" si="152"/>
        <v>9515.9</v>
      </c>
      <c r="F247" s="8" t="s">
        <v>5108</v>
      </c>
      <c r="G247" s="8">
        <v>65141</v>
      </c>
      <c r="H247" s="8">
        <v>218</v>
      </c>
      <c r="I247" s="8">
        <v>9515.9</v>
      </c>
      <c r="J247" s="52">
        <f t="shared" ref="J247:J248" si="157">+A247-D247</f>
        <v>0</v>
      </c>
      <c r="K247" s="138">
        <f t="shared" ref="K247:K248" si="158">+((B247/A247)-(E247/D247))/(B247/A247)</f>
        <v>-1.214135666232344E-2</v>
      </c>
    </row>
    <row r="248" spans="1:11" x14ac:dyDescent="0.3">
      <c r="A248" s="871">
        <v>536</v>
      </c>
      <c r="B248" s="873">
        <v>22736.25</v>
      </c>
      <c r="C248" s="873" t="s">
        <v>5109</v>
      </c>
      <c r="D248" s="873">
        <v>536</v>
      </c>
      <c r="E248" s="873">
        <v>22981.8</v>
      </c>
      <c r="F248" s="12" t="s">
        <v>5110</v>
      </c>
      <c r="G248" s="12">
        <v>65151</v>
      </c>
      <c r="H248" s="12">
        <v>304</v>
      </c>
      <c r="I248" s="12">
        <v>12991.5</v>
      </c>
      <c r="J248" s="877">
        <f t="shared" si="157"/>
        <v>0</v>
      </c>
      <c r="K248" s="879">
        <f t="shared" si="158"/>
        <v>-1.0799934026059735E-2</v>
      </c>
    </row>
    <row r="249" spans="1:11" ht="15" thickBot="1" x14ac:dyDescent="0.35">
      <c r="A249" s="872"/>
      <c r="B249" s="874"/>
      <c r="C249" s="874"/>
      <c r="D249" s="874"/>
      <c r="E249" s="874"/>
      <c r="F249" s="10" t="s">
        <v>5110</v>
      </c>
      <c r="G249" s="10">
        <v>65151</v>
      </c>
      <c r="H249" s="10">
        <v>200</v>
      </c>
      <c r="I249" s="10">
        <v>8627.7999999999993</v>
      </c>
      <c r="J249" s="878"/>
      <c r="K249" s="880"/>
    </row>
    <row r="250" spans="1:11" x14ac:dyDescent="0.3">
      <c r="A250" s="871">
        <v>440</v>
      </c>
      <c r="B250" s="873">
        <v>18417</v>
      </c>
      <c r="C250" s="873" t="s">
        <v>5344</v>
      </c>
      <c r="D250" s="873">
        <f>+H250+H251</f>
        <v>440</v>
      </c>
      <c r="E250" s="873">
        <f>+I250+I251</f>
        <v>18558.800000000003</v>
      </c>
      <c r="F250" s="382" t="s">
        <v>5345</v>
      </c>
      <c r="G250" s="382">
        <v>65171</v>
      </c>
      <c r="H250" s="382">
        <v>110</v>
      </c>
      <c r="I250" s="382">
        <v>4653.6000000000004</v>
      </c>
      <c r="J250" s="877">
        <f t="shared" ref="J250" si="159">+A250-D250</f>
        <v>0</v>
      </c>
      <c r="K250" s="879">
        <f t="shared" ref="K250" si="160">+((B250/A250)-(E250/D250))/(B250/A250)</f>
        <v>-7.6994081555086247E-3</v>
      </c>
    </row>
    <row r="251" spans="1:11" ht="15" thickBot="1" x14ac:dyDescent="0.35">
      <c r="A251" s="872"/>
      <c r="B251" s="874"/>
      <c r="C251" s="874"/>
      <c r="D251" s="874"/>
      <c r="E251" s="874"/>
      <c r="F251" s="387" t="s">
        <v>5345</v>
      </c>
      <c r="G251" s="387">
        <v>65171</v>
      </c>
      <c r="H251" s="387">
        <v>330</v>
      </c>
      <c r="I251" s="387">
        <v>13905.2</v>
      </c>
      <c r="J251" s="878"/>
      <c r="K251" s="880"/>
    </row>
    <row r="252" spans="1:11" ht="15" thickBot="1" x14ac:dyDescent="0.35">
      <c r="A252" s="175">
        <v>619</v>
      </c>
      <c r="B252" s="8">
        <v>27432.75</v>
      </c>
      <c r="C252" s="8" t="s">
        <v>5346</v>
      </c>
      <c r="D252" s="8">
        <f t="shared" ref="D252:E252" si="161">+H252</f>
        <v>619</v>
      </c>
      <c r="E252" s="8">
        <f t="shared" si="161"/>
        <v>28123.100000000002</v>
      </c>
      <c r="F252" s="8" t="s">
        <v>5347</v>
      </c>
      <c r="G252" s="8">
        <v>65201</v>
      </c>
      <c r="H252" s="8">
        <v>619</v>
      </c>
      <c r="I252" s="8">
        <v>28123.100000000002</v>
      </c>
      <c r="J252" s="52">
        <f t="shared" ref="J252" si="162">+A252-D252</f>
        <v>0</v>
      </c>
      <c r="K252" s="138">
        <f t="shared" ref="K252" si="163">+((B252/A252)-(E252/D252))/(B252/A252)</f>
        <v>-2.5165176659285204E-2</v>
      </c>
    </row>
    <row r="253" spans="1:11" ht="15" thickBot="1" x14ac:dyDescent="0.35">
      <c r="A253" s="175">
        <v>105</v>
      </c>
      <c r="B253" s="8">
        <v>3529.5</v>
      </c>
      <c r="C253" s="8" t="s">
        <v>5474</v>
      </c>
      <c r="D253" s="8">
        <f>+H253</f>
        <v>105</v>
      </c>
      <c r="E253" s="8">
        <f>+I253</f>
        <v>3623</v>
      </c>
      <c r="F253" s="8" t="s">
        <v>5475</v>
      </c>
      <c r="G253" s="8">
        <v>65291</v>
      </c>
      <c r="H253" s="8">
        <v>105</v>
      </c>
      <c r="I253" s="8">
        <v>3623</v>
      </c>
      <c r="J253" s="52">
        <f t="shared" ref="J253:J255" si="164">+A253-D253</f>
        <v>0</v>
      </c>
      <c r="K253" s="138">
        <f t="shared" ref="K253:K255" si="165">+((B253/A253)-(E253/D253))/(B253/A253)</f>
        <v>-2.6491004391556942E-2</v>
      </c>
    </row>
    <row r="254" spans="1:11" ht="15" thickBot="1" x14ac:dyDescent="0.35">
      <c r="A254" s="175">
        <v>519</v>
      </c>
      <c r="B254" s="8">
        <v>22132.5</v>
      </c>
      <c r="C254" s="8" t="s">
        <v>5476</v>
      </c>
      <c r="D254" s="8">
        <f>+H254</f>
        <v>519</v>
      </c>
      <c r="E254" s="8">
        <f>+I254</f>
        <v>22387.599999999999</v>
      </c>
      <c r="F254" s="8" t="s">
        <v>5477</v>
      </c>
      <c r="G254" s="8">
        <v>65371</v>
      </c>
      <c r="H254" s="8">
        <v>519</v>
      </c>
      <c r="I254" s="8">
        <v>22387.599999999999</v>
      </c>
      <c r="J254" s="52">
        <f t="shared" si="164"/>
        <v>0</v>
      </c>
      <c r="K254" s="138">
        <f t="shared" si="165"/>
        <v>-1.1526036371851291E-2</v>
      </c>
    </row>
    <row r="255" spans="1:11" x14ac:dyDescent="0.3">
      <c r="A255" s="871">
        <v>462</v>
      </c>
      <c r="B255" s="873">
        <v>19705</v>
      </c>
      <c r="C255" s="873" t="s">
        <v>5478</v>
      </c>
      <c r="D255" s="873">
        <f>+H255+H256</f>
        <v>462</v>
      </c>
      <c r="E255" s="873">
        <f>+I255+I256</f>
        <v>20046.3</v>
      </c>
      <c r="F255" s="404" t="s">
        <v>3647</v>
      </c>
      <c r="G255" s="404">
        <v>65391</v>
      </c>
      <c r="H255" s="404">
        <v>376</v>
      </c>
      <c r="I255" s="404">
        <v>16223.9</v>
      </c>
      <c r="J255" s="877">
        <f t="shared" si="164"/>
        <v>0</v>
      </c>
      <c r="K255" s="879">
        <f t="shared" si="165"/>
        <v>-1.7320477036285187E-2</v>
      </c>
    </row>
    <row r="256" spans="1:11" ht="15" thickBot="1" x14ac:dyDescent="0.35">
      <c r="A256" s="872"/>
      <c r="B256" s="874"/>
      <c r="C256" s="874"/>
      <c r="D256" s="874"/>
      <c r="E256" s="874"/>
      <c r="F256" s="407" t="s">
        <v>3647</v>
      </c>
      <c r="G256" s="407">
        <v>65391</v>
      </c>
      <c r="H256" s="407">
        <v>86</v>
      </c>
      <c r="I256" s="407">
        <v>3822.4</v>
      </c>
      <c r="J256" s="878"/>
      <c r="K256" s="880"/>
    </row>
    <row r="257" spans="1:11" x14ac:dyDescent="0.3">
      <c r="A257" s="871">
        <v>567</v>
      </c>
      <c r="B257" s="873">
        <v>25154.5</v>
      </c>
      <c r="C257" s="873" t="s">
        <v>5479</v>
      </c>
      <c r="D257" s="873">
        <f>+H257+H258</f>
        <v>567</v>
      </c>
      <c r="E257" s="873">
        <f>+I257+I258</f>
        <v>25335.800000000003</v>
      </c>
      <c r="F257" s="404">
        <v>56541</v>
      </c>
      <c r="G257" s="404">
        <v>65411</v>
      </c>
      <c r="H257" s="404">
        <v>314</v>
      </c>
      <c r="I257" s="404">
        <v>14186.1</v>
      </c>
      <c r="J257" s="877">
        <f t="shared" ref="J257" si="166">+A257-D257</f>
        <v>0</v>
      </c>
      <c r="K257" s="879">
        <f t="shared" ref="K257" si="167">+((B257/A257)-(E257/D257))/(B257/A257)</f>
        <v>-7.207457910115617E-3</v>
      </c>
    </row>
    <row r="258" spans="1:11" ht="15" thickBot="1" x14ac:dyDescent="0.35">
      <c r="A258" s="872"/>
      <c r="B258" s="874"/>
      <c r="C258" s="874"/>
      <c r="D258" s="874"/>
      <c r="E258" s="874"/>
      <c r="F258" s="407" t="s">
        <v>5480</v>
      </c>
      <c r="G258" s="407">
        <v>65411</v>
      </c>
      <c r="H258" s="407">
        <v>253</v>
      </c>
      <c r="I258" s="407">
        <v>11149.7</v>
      </c>
      <c r="J258" s="878"/>
      <c r="K258" s="880"/>
    </row>
    <row r="259" spans="1:11" ht="15" thickBot="1" x14ac:dyDescent="0.35">
      <c r="A259" s="175">
        <v>289</v>
      </c>
      <c r="B259" s="8">
        <v>12837.25</v>
      </c>
      <c r="C259" s="8" t="s">
        <v>5481</v>
      </c>
      <c r="D259" s="8">
        <f>+H259</f>
        <v>289</v>
      </c>
      <c r="E259" s="8">
        <f>+I259</f>
        <v>13184.8</v>
      </c>
      <c r="F259" s="8" t="s">
        <v>5482</v>
      </c>
      <c r="G259" s="8">
        <v>65421</v>
      </c>
      <c r="H259" s="8">
        <v>289</v>
      </c>
      <c r="I259" s="8">
        <v>13184.8</v>
      </c>
      <c r="J259" s="52">
        <f t="shared" ref="J259" si="168">+A259-D259</f>
        <v>0</v>
      </c>
      <c r="K259" s="138">
        <f t="shared" ref="K259" si="169">+((B259/A259)-(E259/D259))/(B259/A259)</f>
        <v>-2.7073555473329496E-2</v>
      </c>
    </row>
    <row r="260" spans="1:11" ht="15" thickBot="1" x14ac:dyDescent="0.35">
      <c r="A260" s="175">
        <v>703</v>
      </c>
      <c r="B260" s="8">
        <v>31229.5</v>
      </c>
      <c r="C260" s="8" t="s">
        <v>5676</v>
      </c>
      <c r="D260" s="8">
        <f>+H260</f>
        <v>703</v>
      </c>
      <c r="E260" s="8">
        <f>+I260</f>
        <v>31616.9</v>
      </c>
      <c r="F260" s="8" t="s">
        <v>5677</v>
      </c>
      <c r="G260" s="8">
        <v>65431</v>
      </c>
      <c r="H260" s="8">
        <v>703</v>
      </c>
      <c r="I260" s="8">
        <v>31616.9</v>
      </c>
      <c r="J260" s="52">
        <f t="shared" ref="J260:J261" si="170">+A260-D260</f>
        <v>0</v>
      </c>
      <c r="K260" s="138">
        <f t="shared" ref="K260:K261" si="171">+((B260/A260)-(E260/D260))/(B260/A260)</f>
        <v>-1.2404937639091309E-2</v>
      </c>
    </row>
    <row r="261" spans="1:11" x14ac:dyDescent="0.3">
      <c r="A261" s="871">
        <v>415</v>
      </c>
      <c r="B261" s="873">
        <v>17860.25</v>
      </c>
      <c r="C261" s="873" t="s">
        <v>5657</v>
      </c>
      <c r="D261" s="873">
        <f>+H261+H262</f>
        <v>416</v>
      </c>
      <c r="E261" s="873">
        <f>+I261+I262</f>
        <v>17966.5</v>
      </c>
      <c r="F261" s="442" t="s">
        <v>5658</v>
      </c>
      <c r="G261" s="442">
        <v>65461</v>
      </c>
      <c r="H261" s="442">
        <v>372</v>
      </c>
      <c r="I261" s="442">
        <v>16132.4</v>
      </c>
      <c r="J261" s="877">
        <f t="shared" si="170"/>
        <v>-1</v>
      </c>
      <c r="K261" s="879">
        <f t="shared" si="171"/>
        <v>-3.530818329918185E-3</v>
      </c>
    </row>
    <row r="262" spans="1:11" ht="15" thickBot="1" x14ac:dyDescent="0.35">
      <c r="A262" s="872"/>
      <c r="B262" s="874"/>
      <c r="C262" s="874"/>
      <c r="D262" s="874"/>
      <c r="E262" s="874"/>
      <c r="F262" s="444" t="s">
        <v>5658</v>
      </c>
      <c r="G262" s="444">
        <v>65461</v>
      </c>
      <c r="H262" s="444">
        <v>44</v>
      </c>
      <c r="I262" s="444">
        <v>1834.1</v>
      </c>
      <c r="J262" s="878"/>
      <c r="K262" s="880"/>
    </row>
    <row r="263" spans="1:11" ht="15" thickBot="1" x14ac:dyDescent="0.35">
      <c r="A263" s="175">
        <v>195</v>
      </c>
      <c r="B263" s="8">
        <v>8193</v>
      </c>
      <c r="C263" s="8" t="s">
        <v>5659</v>
      </c>
      <c r="D263" s="8">
        <f>+H263</f>
        <v>195</v>
      </c>
      <c r="E263" s="8">
        <f>+I263</f>
        <v>8569.6</v>
      </c>
      <c r="F263" s="8" t="s">
        <v>5660</v>
      </c>
      <c r="G263" s="8">
        <v>65491</v>
      </c>
      <c r="H263" s="8">
        <v>195</v>
      </c>
      <c r="I263" s="8">
        <v>8569.6</v>
      </c>
      <c r="J263" s="52">
        <f t="shared" ref="J263:J264" si="172">+A263-D263</f>
        <v>0</v>
      </c>
      <c r="K263" s="138">
        <f t="shared" ref="K263" si="173">+((B263/A263)-(E263/D263))/(B263/A263)</f>
        <v>-4.596606859514208E-2</v>
      </c>
    </row>
    <row r="264" spans="1:11" x14ac:dyDescent="0.3">
      <c r="A264" s="871">
        <v>394</v>
      </c>
      <c r="B264" s="873">
        <v>17288.5</v>
      </c>
      <c r="C264" s="873" t="s">
        <v>5661</v>
      </c>
      <c r="D264" s="873">
        <f>+H264+H265+H266</f>
        <v>394</v>
      </c>
      <c r="E264" s="873">
        <f>+I264+I265+I266</f>
        <v>17502.599999999999</v>
      </c>
      <c r="F264" s="442" t="s">
        <v>5662</v>
      </c>
      <c r="G264" s="442">
        <v>65501</v>
      </c>
      <c r="H264" s="442">
        <v>62</v>
      </c>
      <c r="I264" s="442">
        <v>2650.6</v>
      </c>
      <c r="J264" s="877">
        <f t="shared" si="172"/>
        <v>0</v>
      </c>
      <c r="K264" s="879">
        <f>+((B264/A264)-(E264/D264))/(B264/A264)</f>
        <v>-1.2383954651936084E-2</v>
      </c>
    </row>
    <row r="265" spans="1:11" x14ac:dyDescent="0.3">
      <c r="A265" s="875"/>
      <c r="B265" s="881"/>
      <c r="C265" s="881"/>
      <c r="D265" s="881"/>
      <c r="E265" s="881"/>
      <c r="F265" s="443" t="s">
        <v>5662</v>
      </c>
      <c r="G265" s="443">
        <v>65501</v>
      </c>
      <c r="H265" s="443">
        <v>103</v>
      </c>
      <c r="I265" s="443">
        <v>4543.3999999999996</v>
      </c>
      <c r="J265" s="886"/>
      <c r="K265" s="885"/>
    </row>
    <row r="266" spans="1:11" ht="15" thickBot="1" x14ac:dyDescent="0.35">
      <c r="A266" s="872"/>
      <c r="B266" s="874"/>
      <c r="C266" s="874"/>
      <c r="D266" s="874"/>
      <c r="E266" s="874"/>
      <c r="F266" s="444" t="s">
        <v>5662</v>
      </c>
      <c r="G266" s="444">
        <v>65501</v>
      </c>
      <c r="H266" s="444">
        <v>229</v>
      </c>
      <c r="I266" s="444">
        <v>10308.599999999999</v>
      </c>
      <c r="J266" s="878"/>
      <c r="K266" s="880"/>
    </row>
    <row r="267" spans="1:11" ht="15" thickBot="1" x14ac:dyDescent="0.35">
      <c r="A267" s="175">
        <v>440</v>
      </c>
      <c r="B267" s="8">
        <v>20603.25</v>
      </c>
      <c r="C267" s="8" t="s">
        <v>5663</v>
      </c>
      <c r="D267" s="8">
        <f t="shared" ref="D267:E269" si="174">+H267</f>
        <v>440</v>
      </c>
      <c r="E267" s="8">
        <f t="shared" si="174"/>
        <v>21050.2</v>
      </c>
      <c r="F267" s="8" t="s">
        <v>5664</v>
      </c>
      <c r="G267" s="8">
        <v>65581</v>
      </c>
      <c r="H267" s="8">
        <v>440</v>
      </c>
      <c r="I267" s="8">
        <v>21050.2</v>
      </c>
      <c r="J267" s="52">
        <f t="shared" ref="J267:J270" si="175">+A267-D267</f>
        <v>0</v>
      </c>
      <c r="K267" s="138">
        <f t="shared" ref="K267:K269" si="176">+((B267/A267)-(E267/D267))/(B267/A267)</f>
        <v>-2.169317947411209E-2</v>
      </c>
    </row>
    <row r="268" spans="1:11" ht="15" thickBot="1" x14ac:dyDescent="0.35">
      <c r="A268" s="175">
        <v>625</v>
      </c>
      <c r="B268" s="8">
        <v>29170.75</v>
      </c>
      <c r="C268" s="8" t="s">
        <v>5665</v>
      </c>
      <c r="D268" s="8">
        <f t="shared" si="174"/>
        <v>624</v>
      </c>
      <c r="E268" s="8">
        <f t="shared" si="174"/>
        <v>29726.899999999998</v>
      </c>
      <c r="F268" s="8" t="s">
        <v>5666</v>
      </c>
      <c r="G268" s="8">
        <v>65591</v>
      </c>
      <c r="H268" s="8">
        <v>624</v>
      </c>
      <c r="I268" s="8">
        <v>29726.899999999998</v>
      </c>
      <c r="J268" s="52">
        <f t="shared" si="175"/>
        <v>1</v>
      </c>
      <c r="K268" s="138">
        <f t="shared" si="176"/>
        <v>-2.0698448371074141E-2</v>
      </c>
    </row>
    <row r="269" spans="1:11" ht="15" thickBot="1" x14ac:dyDescent="0.35">
      <c r="A269" s="175">
        <v>460</v>
      </c>
      <c r="B269" s="8">
        <v>20114.75</v>
      </c>
      <c r="C269" s="8" t="s">
        <v>5667</v>
      </c>
      <c r="D269" s="8">
        <f t="shared" si="174"/>
        <v>460</v>
      </c>
      <c r="E269" s="8">
        <f t="shared" si="174"/>
        <v>21020.6</v>
      </c>
      <c r="F269" s="8" t="s">
        <v>5668</v>
      </c>
      <c r="G269" s="8">
        <v>65601</v>
      </c>
      <c r="H269" s="8">
        <v>460</v>
      </c>
      <c r="I269" s="8">
        <v>21020.6</v>
      </c>
      <c r="J269" s="52">
        <f t="shared" si="175"/>
        <v>0</v>
      </c>
      <c r="K269" s="138">
        <f t="shared" si="176"/>
        <v>-4.503411675511744E-2</v>
      </c>
    </row>
    <row r="270" spans="1:11" x14ac:dyDescent="0.3">
      <c r="A270" s="871">
        <v>1760</v>
      </c>
      <c r="B270" s="873">
        <v>82124.25</v>
      </c>
      <c r="C270" s="873" t="s">
        <v>5669</v>
      </c>
      <c r="D270" s="873">
        <f>+H270+H273+H271+H272</f>
        <v>1760</v>
      </c>
      <c r="E270" s="873">
        <f>+I270+I273+I271+I272</f>
        <v>83986.999999999985</v>
      </c>
      <c r="F270" s="442" t="s">
        <v>5670</v>
      </c>
      <c r="G270" s="442">
        <v>65611</v>
      </c>
      <c r="H270" s="442">
        <v>880</v>
      </c>
      <c r="I270" s="442">
        <v>42012.3</v>
      </c>
      <c r="J270" s="877">
        <f t="shared" si="175"/>
        <v>0</v>
      </c>
      <c r="K270" s="879">
        <f>+((B270/A270)-(E270/D270))/(B270/A270)</f>
        <v>-2.2682094509234259E-2</v>
      </c>
    </row>
    <row r="271" spans="1:11" x14ac:dyDescent="0.3">
      <c r="A271" s="875"/>
      <c r="B271" s="881"/>
      <c r="C271" s="881"/>
      <c r="D271" s="881"/>
      <c r="E271" s="881"/>
      <c r="F271" s="443" t="s">
        <v>5670</v>
      </c>
      <c r="G271" s="443">
        <v>65612</v>
      </c>
      <c r="H271" s="443">
        <v>88</v>
      </c>
      <c r="I271" s="443">
        <v>3899.7</v>
      </c>
      <c r="J271" s="886"/>
      <c r="K271" s="885"/>
    </row>
    <row r="272" spans="1:11" x14ac:dyDescent="0.3">
      <c r="A272" s="875"/>
      <c r="B272" s="881"/>
      <c r="C272" s="881"/>
      <c r="D272" s="881"/>
      <c r="E272" s="881"/>
      <c r="F272" s="443" t="s">
        <v>5671</v>
      </c>
      <c r="G272" s="443">
        <v>65612</v>
      </c>
      <c r="H272" s="443">
        <v>132</v>
      </c>
      <c r="I272" s="443">
        <v>6119.9</v>
      </c>
      <c r="J272" s="886"/>
      <c r="K272" s="885"/>
    </row>
    <row r="273" spans="1:11" ht="15" thickBot="1" x14ac:dyDescent="0.35">
      <c r="A273" s="872"/>
      <c r="B273" s="874"/>
      <c r="C273" s="874"/>
      <c r="D273" s="874"/>
      <c r="E273" s="874"/>
      <c r="F273" s="444" t="s">
        <v>5670</v>
      </c>
      <c r="G273" s="444">
        <v>65612</v>
      </c>
      <c r="H273" s="444">
        <v>660</v>
      </c>
      <c r="I273" s="444">
        <v>31955.1</v>
      </c>
      <c r="J273" s="878"/>
      <c r="K273" s="880"/>
    </row>
    <row r="274" spans="1:11" ht="15" thickBot="1" x14ac:dyDescent="0.35">
      <c r="A274" s="175">
        <v>652</v>
      </c>
      <c r="B274" s="8">
        <v>27394.9</v>
      </c>
      <c r="C274" s="8" t="s">
        <v>5672</v>
      </c>
      <c r="D274" s="8">
        <f t="shared" ref="D274:E274" si="177">+H274</f>
        <v>652</v>
      </c>
      <c r="E274" s="8">
        <f t="shared" si="177"/>
        <v>27814.9</v>
      </c>
      <c r="F274" s="8" t="s">
        <v>5673</v>
      </c>
      <c r="G274" s="8">
        <v>65631</v>
      </c>
      <c r="H274" s="8">
        <v>652</v>
      </c>
      <c r="I274" s="8">
        <v>27814.9</v>
      </c>
      <c r="J274" s="52">
        <f t="shared" ref="J274:J275" si="178">+A274-D274</f>
        <v>0</v>
      </c>
      <c r="K274" s="138">
        <f t="shared" ref="K274:K275" si="179">+((B274/A274)-(E274/D274))/(B274/A274)</f>
        <v>-1.5331320793286326E-2</v>
      </c>
    </row>
    <row r="275" spans="1:11" ht="15" thickBot="1" x14ac:dyDescent="0.35">
      <c r="A275" s="175">
        <v>2000</v>
      </c>
      <c r="B275" s="8">
        <v>89931</v>
      </c>
      <c r="C275" s="8" t="s">
        <v>5674</v>
      </c>
      <c r="D275" s="8">
        <v>2000</v>
      </c>
      <c r="E275" s="8">
        <v>90694.1</v>
      </c>
      <c r="F275" s="8" t="s">
        <v>5796</v>
      </c>
      <c r="G275" s="8">
        <v>65671</v>
      </c>
      <c r="H275" s="8">
        <v>400</v>
      </c>
      <c r="I275" s="8">
        <v>18243.400000000001</v>
      </c>
      <c r="J275" s="52">
        <f t="shared" si="178"/>
        <v>0</v>
      </c>
      <c r="K275" s="138">
        <f t="shared" si="179"/>
        <v>-8.4853943578967056E-3</v>
      </c>
    </row>
    <row r="276" spans="1:11" ht="15" thickBot="1" x14ac:dyDescent="0.35">
      <c r="A276" s="175">
        <v>410</v>
      </c>
      <c r="B276" s="8">
        <v>17229.900000000001</v>
      </c>
      <c r="C276" s="8" t="s">
        <v>5797</v>
      </c>
      <c r="D276" s="8">
        <f t="shared" ref="D276:E277" si="180">+H276</f>
        <v>410</v>
      </c>
      <c r="E276" s="8">
        <f t="shared" si="180"/>
        <v>17362</v>
      </c>
      <c r="F276" s="8" t="s">
        <v>5798</v>
      </c>
      <c r="G276" s="8">
        <v>65701</v>
      </c>
      <c r="H276" s="8">
        <v>410</v>
      </c>
      <c r="I276" s="8">
        <v>17362</v>
      </c>
      <c r="J276" s="52">
        <f t="shared" ref="J276:J278" si="181">+A276-D276</f>
        <v>0</v>
      </c>
      <c r="K276" s="138">
        <f t="shared" ref="K276:K278" si="182">+((B276/A276)-(E276/D276))/(B276/A276)</f>
        <v>-7.6669046250991803E-3</v>
      </c>
    </row>
    <row r="277" spans="1:11" ht="15" thickBot="1" x14ac:dyDescent="0.35">
      <c r="A277" s="175">
        <v>111</v>
      </c>
      <c r="B277" s="8">
        <v>4310.6000000000004</v>
      </c>
      <c r="C277" s="8" t="s">
        <v>5799</v>
      </c>
      <c r="D277" s="8">
        <f t="shared" si="180"/>
        <v>108</v>
      </c>
      <c r="E277" s="8">
        <f t="shared" si="180"/>
        <v>4111.3</v>
      </c>
      <c r="F277" s="8" t="s">
        <v>5800</v>
      </c>
      <c r="G277" s="8">
        <v>65741</v>
      </c>
      <c r="H277" s="8">
        <v>108</v>
      </c>
      <c r="I277" s="8">
        <v>4111.3</v>
      </c>
      <c r="J277" s="52">
        <f t="shared" si="181"/>
        <v>3</v>
      </c>
      <c r="K277" s="138">
        <f t="shared" si="182"/>
        <v>1.9741386865453105E-2</v>
      </c>
    </row>
    <row r="278" spans="1:11" x14ac:dyDescent="0.3">
      <c r="A278" s="871">
        <v>494</v>
      </c>
      <c r="B278" s="873">
        <v>21636.75</v>
      </c>
      <c r="C278" s="873" t="s">
        <v>5801</v>
      </c>
      <c r="D278" s="873">
        <f>+H278+H279+42</f>
        <v>494</v>
      </c>
      <c r="E278" s="873">
        <f>+I278+I279+1793.8</f>
        <v>21573.3</v>
      </c>
      <c r="F278" s="458" t="s">
        <v>5802</v>
      </c>
      <c r="G278" s="458">
        <v>65821</v>
      </c>
      <c r="H278" s="458">
        <v>400</v>
      </c>
      <c r="I278" s="458">
        <v>17316.7</v>
      </c>
      <c r="J278" s="877">
        <f t="shared" si="181"/>
        <v>0</v>
      </c>
      <c r="K278" s="879">
        <f t="shared" si="182"/>
        <v>2.9325106589484715E-3</v>
      </c>
    </row>
    <row r="279" spans="1:11" ht="15" thickBot="1" x14ac:dyDescent="0.35">
      <c r="A279" s="872"/>
      <c r="B279" s="874"/>
      <c r="C279" s="874"/>
      <c r="D279" s="874"/>
      <c r="E279" s="874"/>
      <c r="F279" s="461" t="s">
        <v>5802</v>
      </c>
      <c r="G279" s="461">
        <v>65821</v>
      </c>
      <c r="H279" s="461">
        <v>52</v>
      </c>
      <c r="I279" s="461">
        <v>2462.8000000000002</v>
      </c>
      <c r="J279" s="878"/>
      <c r="K279" s="880"/>
    </row>
    <row r="280" spans="1:11" ht="15" thickBot="1" x14ac:dyDescent="0.35">
      <c r="A280" s="175">
        <v>748</v>
      </c>
      <c r="B280" s="8">
        <v>32406.25</v>
      </c>
      <c r="C280" s="8" t="s">
        <v>5803</v>
      </c>
      <c r="D280" s="8">
        <f>+H280+348</f>
        <v>748</v>
      </c>
      <c r="E280" s="8">
        <f>+I280+14615.9</f>
        <v>32961</v>
      </c>
      <c r="F280" s="8" t="s">
        <v>5689</v>
      </c>
      <c r="G280" s="8">
        <v>65861</v>
      </c>
      <c r="H280" s="8">
        <v>400</v>
      </c>
      <c r="I280" s="8">
        <v>18345.099999999999</v>
      </c>
      <c r="J280" s="52">
        <f t="shared" ref="J280:J281" si="183">+A280-D280</f>
        <v>0</v>
      </c>
      <c r="K280" s="138">
        <f t="shared" ref="K280:K281" si="184">+((B280/A280)-(E280/D280))/(B280/A280)</f>
        <v>-1.7118611378977834E-2</v>
      </c>
    </row>
    <row r="281" spans="1:11" x14ac:dyDescent="0.3">
      <c r="A281" s="875">
        <v>513</v>
      </c>
      <c r="B281" s="881">
        <v>22939</v>
      </c>
      <c r="C281" s="881" t="s">
        <v>5929</v>
      </c>
      <c r="D281" s="881">
        <f>+H281+H282</f>
        <v>513</v>
      </c>
      <c r="E281" s="881">
        <f>+I281+I282</f>
        <v>23014.6</v>
      </c>
      <c r="F281" s="483" t="s">
        <v>5930</v>
      </c>
      <c r="G281" s="483">
        <v>65871</v>
      </c>
      <c r="H281" s="483">
        <v>287</v>
      </c>
      <c r="I281" s="483">
        <v>12737.7</v>
      </c>
      <c r="J281" s="877">
        <f t="shared" si="183"/>
        <v>0</v>
      </c>
      <c r="K281" s="879">
        <f t="shared" si="184"/>
        <v>-3.2956972841013425E-3</v>
      </c>
    </row>
    <row r="282" spans="1:11" ht="15" thickBot="1" x14ac:dyDescent="0.35">
      <c r="A282" s="872"/>
      <c r="B282" s="874"/>
      <c r="C282" s="874"/>
      <c r="D282" s="874"/>
      <c r="E282" s="874"/>
      <c r="F282" s="481" t="s">
        <v>5930</v>
      </c>
      <c r="G282" s="481">
        <v>65871</v>
      </c>
      <c r="H282" s="481">
        <v>226</v>
      </c>
      <c r="I282" s="481">
        <v>10276.9</v>
      </c>
      <c r="J282" s="878"/>
      <c r="K282" s="880"/>
    </row>
    <row r="283" spans="1:11" x14ac:dyDescent="0.3">
      <c r="A283" s="871">
        <v>858</v>
      </c>
      <c r="B283" s="873">
        <v>35908.9</v>
      </c>
      <c r="C283" s="873" t="s">
        <v>5931</v>
      </c>
      <c r="D283" s="873">
        <f>+H283+H284</f>
        <v>858</v>
      </c>
      <c r="E283" s="873">
        <f>+I283+I284</f>
        <v>35827.1</v>
      </c>
      <c r="F283" s="480" t="s">
        <v>5932</v>
      </c>
      <c r="G283" s="480">
        <v>65881</v>
      </c>
      <c r="H283" s="480">
        <v>200</v>
      </c>
      <c r="I283" s="480">
        <v>8371.7000000000007</v>
      </c>
      <c r="J283" s="877">
        <f t="shared" ref="J283" si="185">+A283-D283</f>
        <v>0</v>
      </c>
      <c r="K283" s="879">
        <f t="shared" ref="K283" si="186">+((B283/A283)-(E283/D283))/(B283/A283)</f>
        <v>2.2779867943602682E-3</v>
      </c>
    </row>
    <row r="284" spans="1:11" ht="15" thickBot="1" x14ac:dyDescent="0.35">
      <c r="A284" s="872"/>
      <c r="B284" s="874"/>
      <c r="C284" s="874"/>
      <c r="D284" s="874"/>
      <c r="E284" s="874"/>
      <c r="F284" s="481" t="s">
        <v>5932</v>
      </c>
      <c r="G284" s="481">
        <v>65881</v>
      </c>
      <c r="H284" s="481">
        <v>658</v>
      </c>
      <c r="I284" s="481">
        <v>27455.399999999998</v>
      </c>
      <c r="J284" s="878"/>
      <c r="K284" s="880"/>
    </row>
    <row r="285" spans="1:11" ht="15" thickBot="1" x14ac:dyDescent="0.35">
      <c r="A285" s="175">
        <v>220</v>
      </c>
      <c r="B285" s="8">
        <v>9892.75</v>
      </c>
      <c r="C285" s="8" t="s">
        <v>5933</v>
      </c>
      <c r="D285" s="8">
        <f>+H285</f>
        <v>220</v>
      </c>
      <c r="E285" s="8">
        <f>+I285</f>
        <v>9744.1</v>
      </c>
      <c r="F285" s="8" t="s">
        <v>5934</v>
      </c>
      <c r="G285" s="8">
        <v>65891</v>
      </c>
      <c r="H285" s="8">
        <v>220</v>
      </c>
      <c r="I285" s="8">
        <v>9744.1</v>
      </c>
      <c r="J285" s="52">
        <f t="shared" ref="J285" si="187">+A285-D285</f>
        <v>0</v>
      </c>
      <c r="K285" s="138">
        <f t="shared" ref="K285" si="188">+((B285/A285)-(E285/D285))/(B285/A285)</f>
        <v>1.5026155517929719E-2</v>
      </c>
    </row>
    <row r="286" spans="1:11" x14ac:dyDescent="0.3">
      <c r="A286" s="871">
        <v>220</v>
      </c>
      <c r="B286" s="873">
        <v>9653.75</v>
      </c>
      <c r="C286" s="873" t="s">
        <v>5935</v>
      </c>
      <c r="D286" s="873">
        <f>+H286+H287</f>
        <v>220</v>
      </c>
      <c r="E286" s="873">
        <f>+I286+I287</f>
        <v>9276.6</v>
      </c>
      <c r="F286" s="480" t="s">
        <v>5936</v>
      </c>
      <c r="G286" s="480">
        <v>65921</v>
      </c>
      <c r="H286" s="480">
        <v>180</v>
      </c>
      <c r="I286" s="480">
        <v>7598.3</v>
      </c>
      <c r="J286" s="877">
        <f t="shared" ref="J286" si="189">+A286-D286</f>
        <v>0</v>
      </c>
      <c r="K286" s="879">
        <f t="shared" ref="K286" si="190">+((B286/A286)-(E286/D286))/(B286/A286)</f>
        <v>3.9067719798005884E-2</v>
      </c>
    </row>
    <row r="287" spans="1:11" ht="15" thickBot="1" x14ac:dyDescent="0.35">
      <c r="A287" s="872"/>
      <c r="B287" s="874"/>
      <c r="C287" s="874"/>
      <c r="D287" s="874"/>
      <c r="E287" s="874"/>
      <c r="F287" s="481" t="s">
        <v>5936</v>
      </c>
      <c r="G287" s="481">
        <v>65921</v>
      </c>
      <c r="H287" s="481">
        <v>40</v>
      </c>
      <c r="I287" s="481">
        <v>1678.3</v>
      </c>
      <c r="J287" s="878"/>
      <c r="K287" s="880"/>
    </row>
    <row r="288" spans="1:11" ht="15" thickBot="1" x14ac:dyDescent="0.35">
      <c r="A288" s="478">
        <v>141</v>
      </c>
      <c r="B288" s="480">
        <v>6210</v>
      </c>
      <c r="C288" s="480" t="s">
        <v>5937</v>
      </c>
      <c r="D288" s="480">
        <f>+H288</f>
        <v>141</v>
      </c>
      <c r="E288" s="480">
        <f>+I288</f>
        <v>5995.9</v>
      </c>
      <c r="F288" s="480" t="s">
        <v>5938</v>
      </c>
      <c r="G288" s="480">
        <v>65951</v>
      </c>
      <c r="H288" s="480">
        <v>141</v>
      </c>
      <c r="I288" s="480">
        <v>5995.9</v>
      </c>
      <c r="J288" s="52">
        <f t="shared" ref="J288" si="191">+A288-D288</f>
        <v>0</v>
      </c>
      <c r="K288" s="138">
        <f t="shared" ref="K288" si="192">+((B288/A288)-(E288/D288))/(B288/A288)</f>
        <v>3.4476650563607145E-2</v>
      </c>
    </row>
    <row r="289" spans="1:11" x14ac:dyDescent="0.3">
      <c r="A289" s="871">
        <v>2323</v>
      </c>
      <c r="B289" s="873">
        <v>102118</v>
      </c>
      <c r="C289" s="873" t="s">
        <v>5939</v>
      </c>
      <c r="D289" s="873">
        <f>+H289+H290</f>
        <v>2323</v>
      </c>
      <c r="E289" s="873">
        <f>+I289+I290</f>
        <v>100615.09999999999</v>
      </c>
      <c r="F289" s="480" t="s">
        <v>5940</v>
      </c>
      <c r="G289" s="480">
        <v>65961</v>
      </c>
      <c r="H289" s="480">
        <v>1109</v>
      </c>
      <c r="I289" s="480">
        <v>48240.299999999988</v>
      </c>
      <c r="J289" s="877">
        <f t="shared" ref="J289" si="193">+A289-D289</f>
        <v>0</v>
      </c>
      <c r="K289" s="879">
        <f t="shared" ref="K289" si="194">+((B289/A289)-(E289/D289))/(B289/A289)</f>
        <v>1.4717287843475322E-2</v>
      </c>
    </row>
    <row r="290" spans="1:11" ht="15" thickBot="1" x14ac:dyDescent="0.35">
      <c r="A290" s="872"/>
      <c r="B290" s="874"/>
      <c r="C290" s="874"/>
      <c r="D290" s="874"/>
      <c r="E290" s="874"/>
      <c r="F290" s="481" t="s">
        <v>5940</v>
      </c>
      <c r="G290" s="481">
        <v>65962</v>
      </c>
      <c r="H290" s="481">
        <v>1214</v>
      </c>
      <c r="I290" s="481">
        <v>52374.8</v>
      </c>
      <c r="J290" s="878"/>
      <c r="K290" s="880"/>
    </row>
    <row r="291" spans="1:11" ht="15" thickBot="1" x14ac:dyDescent="0.35">
      <c r="A291" s="175">
        <v>660</v>
      </c>
      <c r="B291" s="8">
        <v>26679.4</v>
      </c>
      <c r="C291" s="8" t="s">
        <v>5941</v>
      </c>
      <c r="D291" s="8">
        <f>+H291</f>
        <v>660</v>
      </c>
      <c r="E291" s="8">
        <f>+I291</f>
        <v>25937.7</v>
      </c>
      <c r="F291" s="8" t="s">
        <v>5942</v>
      </c>
      <c r="G291" s="8">
        <v>65971</v>
      </c>
      <c r="H291" s="8">
        <v>660</v>
      </c>
      <c r="I291" s="8">
        <v>25937.7</v>
      </c>
      <c r="J291" s="52">
        <f t="shared" ref="J291:J293" si="195">+A291-D291</f>
        <v>0</v>
      </c>
      <c r="K291" s="138">
        <f t="shared" ref="K291:K293" si="196">+((B291/A291)-(E291/D291))/(B291/A291)</f>
        <v>2.7800475273057144E-2</v>
      </c>
    </row>
    <row r="292" spans="1:11" ht="15" thickBot="1" x14ac:dyDescent="0.35">
      <c r="A292" s="175">
        <v>1741</v>
      </c>
      <c r="B292" s="8">
        <v>61645.75</v>
      </c>
      <c r="C292" s="8" t="s">
        <v>5943</v>
      </c>
      <c r="D292" s="8">
        <v>1741</v>
      </c>
      <c r="E292" s="8">
        <v>61992.6</v>
      </c>
      <c r="F292" s="8" t="s">
        <v>5944</v>
      </c>
      <c r="G292" s="9">
        <v>66001</v>
      </c>
      <c r="H292" s="483">
        <v>600</v>
      </c>
      <c r="I292" s="483">
        <v>21240.7</v>
      </c>
      <c r="J292" s="52">
        <f t="shared" si="195"/>
        <v>0</v>
      </c>
      <c r="K292" s="138">
        <f t="shared" si="196"/>
        <v>-5.6265030436000807E-3</v>
      </c>
    </row>
    <row r="293" spans="1:11" x14ac:dyDescent="0.3">
      <c r="A293" s="871">
        <v>220</v>
      </c>
      <c r="B293" s="873">
        <v>9347</v>
      </c>
      <c r="C293" s="873" t="s">
        <v>6042</v>
      </c>
      <c r="D293" s="873">
        <f>+H293+H294</f>
        <v>220</v>
      </c>
      <c r="E293" s="873">
        <f>+I293+I294</f>
        <v>9399.9</v>
      </c>
      <c r="F293" s="495" t="s">
        <v>6043</v>
      </c>
      <c r="G293" s="495">
        <v>66041</v>
      </c>
      <c r="H293" s="495">
        <v>50</v>
      </c>
      <c r="I293" s="495">
        <v>2050.1</v>
      </c>
      <c r="J293" s="877">
        <f t="shared" si="195"/>
        <v>0</v>
      </c>
      <c r="K293" s="879">
        <f t="shared" si="196"/>
        <v>-5.6595699154809399E-3</v>
      </c>
    </row>
    <row r="294" spans="1:11" ht="15" thickBot="1" x14ac:dyDescent="0.35">
      <c r="A294" s="872"/>
      <c r="B294" s="874"/>
      <c r="C294" s="874"/>
      <c r="D294" s="874"/>
      <c r="E294" s="874"/>
      <c r="F294" s="497" t="s">
        <v>6043</v>
      </c>
      <c r="G294" s="497">
        <v>66041</v>
      </c>
      <c r="H294" s="497">
        <v>170</v>
      </c>
      <c r="I294" s="497">
        <v>7349.8</v>
      </c>
      <c r="J294" s="878"/>
      <c r="K294" s="880"/>
    </row>
    <row r="295" spans="1:11" ht="15" thickBot="1" x14ac:dyDescent="0.35">
      <c r="A295" s="493">
        <v>250</v>
      </c>
      <c r="B295" s="495">
        <v>10036.799999999999</v>
      </c>
      <c r="C295" s="495" t="s">
        <v>6044</v>
      </c>
      <c r="D295" s="495">
        <f>+H295</f>
        <v>250</v>
      </c>
      <c r="E295" s="495">
        <f>+I295</f>
        <v>9909</v>
      </c>
      <c r="F295" s="495" t="s">
        <v>6045</v>
      </c>
      <c r="G295" s="495">
        <v>66061</v>
      </c>
      <c r="H295" s="495">
        <v>250</v>
      </c>
      <c r="I295" s="495">
        <v>9909</v>
      </c>
      <c r="J295" s="52">
        <f t="shared" ref="J295" si="197">+A295-D295</f>
        <v>0</v>
      </c>
      <c r="K295" s="138">
        <f t="shared" ref="K295" si="198">+((B295/A295)-(E295/D295))/(B295/A295)</f>
        <v>1.2733142037302607E-2</v>
      </c>
    </row>
    <row r="296" spans="1:11" ht="15" thickBot="1" x14ac:dyDescent="0.35">
      <c r="A296" s="175">
        <v>299</v>
      </c>
      <c r="B296" s="8">
        <v>11638.6</v>
      </c>
      <c r="C296" s="8" t="s">
        <v>6046</v>
      </c>
      <c r="D296" s="495">
        <v>299</v>
      </c>
      <c r="E296" s="495">
        <v>11167.1</v>
      </c>
      <c r="F296" s="8" t="s">
        <v>6047</v>
      </c>
      <c r="G296" s="8">
        <v>66071</v>
      </c>
      <c r="H296" s="8">
        <v>356</v>
      </c>
      <c r="I296" s="8">
        <v>13645.3</v>
      </c>
      <c r="J296" s="52">
        <f t="shared" ref="J296:J299" si="199">+A296-D296</f>
        <v>0</v>
      </c>
      <c r="K296" s="138">
        <f t="shared" ref="K296:K299" si="200">+((B296/A296)-(E296/D296))/(B296/A296)</f>
        <v>4.0511745398931043E-2</v>
      </c>
    </row>
    <row r="297" spans="1:11" ht="15" thickBot="1" x14ac:dyDescent="0.35">
      <c r="A297" s="175">
        <v>440</v>
      </c>
      <c r="B297" s="8">
        <v>19285.75</v>
      </c>
      <c r="C297" s="8" t="s">
        <v>6048</v>
      </c>
      <c r="D297" s="495">
        <v>441</v>
      </c>
      <c r="E297" s="495">
        <v>19236.7</v>
      </c>
      <c r="F297" s="8" t="s">
        <v>6049</v>
      </c>
      <c r="G297" s="8">
        <v>66091</v>
      </c>
      <c r="H297" s="8">
        <v>384</v>
      </c>
      <c r="I297" s="8">
        <v>16758.5</v>
      </c>
      <c r="J297" s="52">
        <f t="shared" si="199"/>
        <v>-1</v>
      </c>
      <c r="K297" s="138">
        <f t="shared" si="200"/>
        <v>4.8051351345233589E-3</v>
      </c>
    </row>
    <row r="298" spans="1:11" ht="15" thickBot="1" x14ac:dyDescent="0.35">
      <c r="A298" s="175">
        <v>1685</v>
      </c>
      <c r="B298" s="8">
        <v>76407.5</v>
      </c>
      <c r="C298" s="8" t="s">
        <v>6050</v>
      </c>
      <c r="D298" s="8">
        <v>1684</v>
      </c>
      <c r="E298" s="8">
        <v>74712</v>
      </c>
      <c r="F298" s="8" t="s">
        <v>6051</v>
      </c>
      <c r="G298" s="8">
        <v>66151</v>
      </c>
      <c r="H298" s="8">
        <v>165</v>
      </c>
      <c r="I298" s="8">
        <v>7246.3</v>
      </c>
      <c r="J298" s="52">
        <f t="shared" si="199"/>
        <v>1</v>
      </c>
      <c r="K298" s="138">
        <f t="shared" si="200"/>
        <v>2.1609582884867806E-2</v>
      </c>
    </row>
    <row r="299" spans="1:11" x14ac:dyDescent="0.3">
      <c r="A299" s="871">
        <v>238</v>
      </c>
      <c r="B299" s="873">
        <v>9160</v>
      </c>
      <c r="C299" s="873" t="s">
        <v>6155</v>
      </c>
      <c r="D299" s="873">
        <f>+H299+H300</f>
        <v>238</v>
      </c>
      <c r="E299" s="873">
        <f>+I299+I300</f>
        <v>9402.5</v>
      </c>
      <c r="F299" s="510" t="s">
        <v>6156</v>
      </c>
      <c r="G299" s="510">
        <v>66201</v>
      </c>
      <c r="H299" s="510">
        <v>81</v>
      </c>
      <c r="I299" s="510">
        <v>3236.8</v>
      </c>
      <c r="J299" s="877">
        <f t="shared" si="199"/>
        <v>0</v>
      </c>
      <c r="K299" s="879">
        <f t="shared" si="200"/>
        <v>-2.647379912663753E-2</v>
      </c>
    </row>
    <row r="300" spans="1:11" ht="15" thickBot="1" x14ac:dyDescent="0.35">
      <c r="A300" s="872"/>
      <c r="B300" s="874"/>
      <c r="C300" s="874"/>
      <c r="D300" s="874"/>
      <c r="E300" s="874"/>
      <c r="F300" s="511" t="s">
        <v>6156</v>
      </c>
      <c r="G300" s="511">
        <v>66201</v>
      </c>
      <c r="H300" s="511">
        <v>157</v>
      </c>
      <c r="I300" s="511">
        <v>6165.7</v>
      </c>
      <c r="J300" s="878"/>
      <c r="K300" s="880"/>
    </row>
    <row r="301" spans="1:11" ht="15" thickBot="1" x14ac:dyDescent="0.35">
      <c r="A301" s="175">
        <v>365</v>
      </c>
      <c r="B301" s="8">
        <v>14435</v>
      </c>
      <c r="C301" s="8" t="s">
        <v>6157</v>
      </c>
      <c r="D301" s="8">
        <f>+H301</f>
        <v>365</v>
      </c>
      <c r="E301" s="8">
        <f>+I301</f>
        <v>14502.2</v>
      </c>
      <c r="F301" s="8" t="s">
        <v>6158</v>
      </c>
      <c r="G301" s="8">
        <v>66211</v>
      </c>
      <c r="H301" s="8">
        <v>365</v>
      </c>
      <c r="I301" s="8">
        <v>14502.2</v>
      </c>
      <c r="J301" s="52">
        <f t="shared" ref="J301" si="201">+A301-D301</f>
        <v>0</v>
      </c>
      <c r="K301" s="138">
        <f t="shared" ref="K301" si="202">+((B301/A301)-(E301/D301))/(B301/A301)</f>
        <v>-4.6553515760305794E-3</v>
      </c>
    </row>
    <row r="302" spans="1:11" ht="15" thickBot="1" x14ac:dyDescent="0.35">
      <c r="A302" s="175">
        <v>440</v>
      </c>
      <c r="B302" s="8">
        <v>16915.2</v>
      </c>
      <c r="C302" s="8" t="s">
        <v>6159</v>
      </c>
      <c r="D302" s="511">
        <f t="shared" ref="D302:E302" si="203">+H302</f>
        <v>440</v>
      </c>
      <c r="E302" s="511">
        <f t="shared" si="203"/>
        <v>16301.999999999998</v>
      </c>
      <c r="F302" s="8" t="s">
        <v>6160</v>
      </c>
      <c r="G302" s="8">
        <v>66271</v>
      </c>
      <c r="H302" s="8">
        <v>440</v>
      </c>
      <c r="I302" s="8">
        <v>16301.999999999998</v>
      </c>
      <c r="J302" s="52">
        <f t="shared" ref="J302:J303" si="204">+A302-D302</f>
        <v>0</v>
      </c>
      <c r="K302" s="138">
        <f t="shared" ref="K302" si="205">+((B302/A302)-(E302/D302))/(B302/A302)</f>
        <v>3.625141884222486E-2</v>
      </c>
    </row>
    <row r="303" spans="1:11" x14ac:dyDescent="0.3">
      <c r="A303" s="871">
        <v>1495</v>
      </c>
      <c r="B303" s="873">
        <v>59106.400000000001</v>
      </c>
      <c r="C303" s="873" t="s">
        <v>6161</v>
      </c>
      <c r="D303" s="873">
        <f>+H303+H304+H305+259</f>
        <v>1497</v>
      </c>
      <c r="E303" s="873">
        <f>+I303+I304+I305+10173.9</f>
        <v>59345.000000000007</v>
      </c>
      <c r="F303" s="510" t="s">
        <v>6162</v>
      </c>
      <c r="G303" s="510">
        <v>66381</v>
      </c>
      <c r="H303" s="510">
        <v>617</v>
      </c>
      <c r="I303" s="510">
        <v>24746.2</v>
      </c>
      <c r="J303" s="877">
        <f t="shared" si="204"/>
        <v>-2</v>
      </c>
      <c r="K303" s="879">
        <f>+((B303/A303)-(E303/D303))/(B303/A303)</f>
        <v>-2.6953893801525673E-3</v>
      </c>
    </row>
    <row r="304" spans="1:11" x14ac:dyDescent="0.3">
      <c r="A304" s="875"/>
      <c r="B304" s="881"/>
      <c r="C304" s="881"/>
      <c r="D304" s="881"/>
      <c r="E304" s="881"/>
      <c r="F304" s="513" t="s">
        <v>6162</v>
      </c>
      <c r="G304" s="513">
        <v>66381</v>
      </c>
      <c r="H304" s="513">
        <v>206</v>
      </c>
      <c r="I304" s="513">
        <v>8098.1</v>
      </c>
      <c r="J304" s="886"/>
      <c r="K304" s="885"/>
    </row>
    <row r="305" spans="1:11" ht="15" thickBot="1" x14ac:dyDescent="0.35">
      <c r="A305" s="872"/>
      <c r="B305" s="874"/>
      <c r="C305" s="874"/>
      <c r="D305" s="874"/>
      <c r="E305" s="874"/>
      <c r="F305" s="511" t="s">
        <v>6162</v>
      </c>
      <c r="G305" s="511">
        <v>66381</v>
      </c>
      <c r="H305" s="511">
        <v>415</v>
      </c>
      <c r="I305" s="511">
        <v>16326.800000000001</v>
      </c>
      <c r="J305" s="878"/>
      <c r="K305" s="880"/>
    </row>
    <row r="306" spans="1:11" ht="15" thickBot="1" x14ac:dyDescent="0.35">
      <c r="A306" s="625">
        <v>1500</v>
      </c>
      <c r="B306" s="626">
        <v>61975.5</v>
      </c>
      <c r="C306" s="626" t="s">
        <v>6297</v>
      </c>
      <c r="D306" s="8">
        <v>1500</v>
      </c>
      <c r="E306" s="8">
        <v>62220.4</v>
      </c>
      <c r="F306" s="8" t="s">
        <v>6298</v>
      </c>
      <c r="G306" s="8">
        <v>66391</v>
      </c>
      <c r="H306" s="582">
        <v>400</v>
      </c>
      <c r="I306" s="582">
        <v>16391.900000000001</v>
      </c>
      <c r="J306" s="52">
        <f t="shared" ref="J306" si="206">+A306-D306</f>
        <v>0</v>
      </c>
      <c r="K306" s="138">
        <f t="shared" ref="K306" si="207">+((B306/A306)-(E306/D306))/(B306/A306)</f>
        <v>-3.9515615041427286E-3</v>
      </c>
    </row>
    <row r="307" spans="1:11" ht="15" thickBot="1" x14ac:dyDescent="0.35">
      <c r="A307" s="625">
        <v>202</v>
      </c>
      <c r="B307" s="626">
        <v>9860.5</v>
      </c>
      <c r="C307" s="626" t="s">
        <v>6362</v>
      </c>
      <c r="D307" s="8">
        <f>+H307</f>
        <v>202</v>
      </c>
      <c r="E307" s="8">
        <f>+I307</f>
        <v>9724.7000000000007</v>
      </c>
      <c r="F307" s="198" t="s">
        <v>6363</v>
      </c>
      <c r="G307" s="198">
        <v>66401</v>
      </c>
      <c r="H307" s="198">
        <v>202</v>
      </c>
      <c r="I307" s="198">
        <v>9724.7000000000007</v>
      </c>
      <c r="J307" s="52">
        <f t="shared" ref="J307:J310" si="208">+A307-D307</f>
        <v>0</v>
      </c>
      <c r="K307" s="138">
        <f t="shared" ref="K307:K310" si="209">+((B307/A307)-(E307/D307))/(B307/A307)</f>
        <v>1.377212108919428E-2</v>
      </c>
    </row>
    <row r="308" spans="1:11" ht="15" thickBot="1" x14ac:dyDescent="0.35">
      <c r="A308" s="625">
        <v>180</v>
      </c>
      <c r="B308" s="626">
        <v>7891.2</v>
      </c>
      <c r="C308" s="626" t="s">
        <v>6364</v>
      </c>
      <c r="D308" s="8">
        <f>+H308</f>
        <v>180</v>
      </c>
      <c r="E308" s="8">
        <f>+I308</f>
        <v>7654.5</v>
      </c>
      <c r="F308" s="198" t="s">
        <v>6365</v>
      </c>
      <c r="G308" s="198">
        <v>66411</v>
      </c>
      <c r="H308" s="198">
        <v>180</v>
      </c>
      <c r="I308" s="198">
        <v>7654.5</v>
      </c>
      <c r="J308" s="52">
        <f t="shared" si="208"/>
        <v>0</v>
      </c>
      <c r="K308" s="138">
        <f t="shared" si="209"/>
        <v>2.9995437956204331E-2</v>
      </c>
    </row>
    <row r="309" spans="1:11" ht="15" thickBot="1" x14ac:dyDescent="0.35">
      <c r="A309" s="627">
        <v>112</v>
      </c>
      <c r="B309" s="628">
        <v>3777.5</v>
      </c>
      <c r="C309" s="628" t="s">
        <v>6366</v>
      </c>
      <c r="D309" s="592">
        <f t="shared" ref="D309:E309" si="210">+H309</f>
        <v>108</v>
      </c>
      <c r="E309" s="592">
        <f t="shared" si="210"/>
        <v>3598.7</v>
      </c>
      <c r="F309" s="587" t="s">
        <v>6367</v>
      </c>
      <c r="G309" s="587">
        <v>66421</v>
      </c>
      <c r="H309" s="587">
        <v>108</v>
      </c>
      <c r="I309" s="587">
        <v>3598.7</v>
      </c>
      <c r="J309" s="52">
        <f t="shared" si="208"/>
        <v>4</v>
      </c>
      <c r="K309" s="138">
        <f t="shared" si="209"/>
        <v>1.2048925166066076E-2</v>
      </c>
    </row>
    <row r="310" spans="1:11" x14ac:dyDescent="0.3">
      <c r="A310" s="1088">
        <v>897</v>
      </c>
      <c r="B310" s="1090">
        <v>31343</v>
      </c>
      <c r="C310" s="1090" t="s">
        <v>6368</v>
      </c>
      <c r="D310" s="873">
        <f>+H310+H311</f>
        <v>897</v>
      </c>
      <c r="E310" s="873">
        <f>+I310+I311</f>
        <v>31329.3</v>
      </c>
      <c r="F310" s="587" t="s">
        <v>6369</v>
      </c>
      <c r="G310" s="587">
        <v>66431</v>
      </c>
      <c r="H310" s="587">
        <v>297</v>
      </c>
      <c r="I310" s="587">
        <v>10388.5</v>
      </c>
      <c r="J310" s="877">
        <f t="shared" si="208"/>
        <v>0</v>
      </c>
      <c r="K310" s="879">
        <f t="shared" si="209"/>
        <v>4.3709919280230519E-4</v>
      </c>
    </row>
    <row r="311" spans="1:11" ht="15" thickBot="1" x14ac:dyDescent="0.35">
      <c r="A311" s="1089"/>
      <c r="B311" s="1091"/>
      <c r="C311" s="1091"/>
      <c r="D311" s="874"/>
      <c r="E311" s="874"/>
      <c r="F311" s="589" t="s">
        <v>6369</v>
      </c>
      <c r="G311" s="589">
        <v>66431</v>
      </c>
      <c r="H311" s="589">
        <v>600</v>
      </c>
      <c r="I311" s="589">
        <v>20940.8</v>
      </c>
      <c r="J311" s="878"/>
      <c r="K311" s="880"/>
    </row>
    <row r="312" spans="1:11" x14ac:dyDescent="0.3">
      <c r="A312" s="1092">
        <v>500</v>
      </c>
      <c r="B312" s="1093">
        <v>20124.7</v>
      </c>
      <c r="C312" s="1093" t="s">
        <v>6370</v>
      </c>
      <c r="D312" s="881">
        <v>505</v>
      </c>
      <c r="E312" s="881">
        <v>20154.900000000001</v>
      </c>
      <c r="F312" s="588" t="s">
        <v>6371</v>
      </c>
      <c r="G312" s="588">
        <v>66541</v>
      </c>
      <c r="H312" s="588">
        <v>103</v>
      </c>
      <c r="I312" s="588">
        <v>4039</v>
      </c>
      <c r="J312" s="877">
        <f t="shared" ref="J312" si="211">+A312-D312</f>
        <v>-5</v>
      </c>
      <c r="K312" s="879">
        <f t="shared" ref="K312" si="212">+((B312/A312)-(E312/D312))/(B312/A312)</f>
        <v>8.4152044674720913E-3</v>
      </c>
    </row>
    <row r="313" spans="1:11" ht="15" thickBot="1" x14ac:dyDescent="0.35">
      <c r="A313" s="1089"/>
      <c r="B313" s="1091"/>
      <c r="C313" s="1091"/>
      <c r="D313" s="874"/>
      <c r="E313" s="874"/>
      <c r="F313" s="589" t="s">
        <v>6371</v>
      </c>
      <c r="G313" s="589">
        <v>66541</v>
      </c>
      <c r="H313" s="589">
        <v>200</v>
      </c>
      <c r="I313" s="589">
        <v>8023.8</v>
      </c>
      <c r="J313" s="878"/>
      <c r="K313" s="880"/>
    </row>
    <row r="314" spans="1:11" x14ac:dyDescent="0.3">
      <c r="A314" s="871">
        <v>416</v>
      </c>
      <c r="B314" s="873">
        <v>14641.9</v>
      </c>
      <c r="C314" s="873" t="s">
        <v>6520</v>
      </c>
      <c r="D314" s="873">
        <f>+H314+H315</f>
        <v>416</v>
      </c>
      <c r="E314" s="873">
        <f>+I314+I315</f>
        <v>14424.8</v>
      </c>
      <c r="F314" s="610" t="s">
        <v>6521</v>
      </c>
      <c r="G314" s="610">
        <v>66651</v>
      </c>
      <c r="H314" s="637">
        <v>196</v>
      </c>
      <c r="I314" s="610">
        <v>6606.3</v>
      </c>
      <c r="J314" s="877">
        <f t="shared" ref="J314" si="213">+A314-D314</f>
        <v>0</v>
      </c>
      <c r="K314" s="879">
        <f t="shared" ref="K314" si="214">+((B314/A314)-(E314/D314))/(B314/A314)</f>
        <v>1.4827310663233638E-2</v>
      </c>
    </row>
    <row r="315" spans="1:11" ht="15" thickBot="1" x14ac:dyDescent="0.35">
      <c r="A315" s="872"/>
      <c r="B315" s="874"/>
      <c r="C315" s="874"/>
      <c r="D315" s="874"/>
      <c r="E315" s="874"/>
      <c r="F315" s="612" t="s">
        <v>6521</v>
      </c>
      <c r="G315" s="612">
        <v>66651</v>
      </c>
      <c r="H315" s="638">
        <v>220</v>
      </c>
      <c r="I315" s="612">
        <v>7818.5</v>
      </c>
      <c r="J315" s="878"/>
      <c r="K315" s="880"/>
    </row>
    <row r="316" spans="1:11" x14ac:dyDescent="0.3">
      <c r="A316" s="871">
        <v>250</v>
      </c>
      <c r="B316" s="873">
        <v>10289.200000000001</v>
      </c>
      <c r="C316" s="873" t="s">
        <v>6522</v>
      </c>
      <c r="D316" s="873">
        <f>+H316+H317</f>
        <v>250</v>
      </c>
      <c r="E316" s="873">
        <f>+I316+I317</f>
        <v>10184.6</v>
      </c>
      <c r="F316" s="611" t="s">
        <v>6523</v>
      </c>
      <c r="G316" s="611">
        <v>66661</v>
      </c>
      <c r="H316" s="639">
        <v>70</v>
      </c>
      <c r="I316" s="611">
        <v>2922.9</v>
      </c>
      <c r="J316" s="877">
        <f t="shared" ref="J316" si="215">+A316-D316</f>
        <v>0</v>
      </c>
      <c r="K316" s="879">
        <f t="shared" ref="K316" si="216">+((B316/A316)-(E316/D316))/(B316/A316)</f>
        <v>1.0165999300237273E-2</v>
      </c>
    </row>
    <row r="317" spans="1:11" ht="15" thickBot="1" x14ac:dyDescent="0.35">
      <c r="A317" s="872"/>
      <c r="B317" s="874"/>
      <c r="C317" s="874"/>
      <c r="D317" s="874"/>
      <c r="E317" s="874"/>
      <c r="F317" s="611" t="s">
        <v>6523</v>
      </c>
      <c r="G317" s="611">
        <v>66661</v>
      </c>
      <c r="H317" s="639">
        <v>180</v>
      </c>
      <c r="I317" s="611">
        <v>7261.7</v>
      </c>
      <c r="J317" s="878"/>
      <c r="K317" s="880"/>
    </row>
    <row r="318" spans="1:11" x14ac:dyDescent="0.3">
      <c r="A318" s="871">
        <v>837</v>
      </c>
      <c r="B318" s="873">
        <v>37536.25</v>
      </c>
      <c r="C318" s="873" t="s">
        <v>6524</v>
      </c>
      <c r="D318" s="873">
        <f>+H318+H319</f>
        <v>837</v>
      </c>
      <c r="E318" s="873">
        <f>+I318+I319</f>
        <v>37194.6</v>
      </c>
      <c r="F318" s="610" t="s">
        <v>6525</v>
      </c>
      <c r="G318" s="610">
        <v>66701</v>
      </c>
      <c r="H318" s="637">
        <v>730</v>
      </c>
      <c r="I318" s="610">
        <v>32519.599999999999</v>
      </c>
      <c r="J318" s="877">
        <f t="shared" ref="J318" si="217">+A318-D318</f>
        <v>0</v>
      </c>
      <c r="K318" s="879">
        <f t="shared" ref="K318" si="218">+((B318/A318)-(E318/D318))/(B318/A318)</f>
        <v>9.101868194079054E-3</v>
      </c>
    </row>
    <row r="319" spans="1:11" ht="15" thickBot="1" x14ac:dyDescent="0.35">
      <c r="A319" s="872"/>
      <c r="B319" s="874"/>
      <c r="C319" s="874"/>
      <c r="D319" s="874"/>
      <c r="E319" s="874"/>
      <c r="F319" s="612" t="s">
        <v>6525</v>
      </c>
      <c r="G319" s="612">
        <v>66701</v>
      </c>
      <c r="H319" s="638">
        <v>107</v>
      </c>
      <c r="I319" s="612">
        <v>4675</v>
      </c>
      <c r="J319" s="878"/>
      <c r="K319" s="880"/>
    </row>
    <row r="320" spans="1:11" ht="15" thickBot="1" x14ac:dyDescent="0.35">
      <c r="A320" s="601">
        <v>355</v>
      </c>
      <c r="B320" s="602">
        <v>13895.1</v>
      </c>
      <c r="C320" s="602" t="s">
        <v>6526</v>
      </c>
      <c r="D320" s="602">
        <f t="shared" ref="D320:E320" si="219">+H320</f>
        <v>355</v>
      </c>
      <c r="E320" s="602">
        <f t="shared" si="219"/>
        <v>13899.900000000001</v>
      </c>
      <c r="F320" s="602" t="s">
        <v>6527</v>
      </c>
      <c r="G320" s="602">
        <v>66781</v>
      </c>
      <c r="H320" s="637">
        <v>355</v>
      </c>
      <c r="I320" s="602">
        <v>13899.900000000001</v>
      </c>
      <c r="J320" s="52">
        <f t="shared" ref="J320" si="220">+A320-D320</f>
        <v>0</v>
      </c>
      <c r="K320" s="138">
        <f t="shared" ref="K320" si="221">+((B320/A320)-(E320/D320))/(B320/A320)</f>
        <v>-3.4544551676495672E-4</v>
      </c>
    </row>
    <row r="321" spans="1:11" x14ac:dyDescent="0.3">
      <c r="A321" s="871">
        <v>663</v>
      </c>
      <c r="B321" s="873">
        <v>27514.25</v>
      </c>
      <c r="C321" s="873" t="s">
        <v>6528</v>
      </c>
      <c r="D321" s="873">
        <f>+H321+H322</f>
        <v>663</v>
      </c>
      <c r="E321" s="873">
        <f>+I321+I322</f>
        <v>27726.7</v>
      </c>
      <c r="F321" s="602" t="s">
        <v>6529</v>
      </c>
      <c r="G321" s="602">
        <v>66811</v>
      </c>
      <c r="H321" s="637">
        <v>44</v>
      </c>
      <c r="I321" s="602">
        <v>1783.2</v>
      </c>
      <c r="J321" s="877">
        <f t="shared" ref="J321" si="222">+A321-D321</f>
        <v>0</v>
      </c>
      <c r="K321" s="879">
        <f t="shared" ref="K321" si="223">+((B321/A321)-(E321/D321))/(B321/A321)</f>
        <v>-7.7214534286779036E-3</v>
      </c>
    </row>
    <row r="322" spans="1:11" ht="15" thickBot="1" x14ac:dyDescent="0.35">
      <c r="A322" s="872"/>
      <c r="B322" s="874"/>
      <c r="C322" s="874"/>
      <c r="D322" s="874"/>
      <c r="E322" s="874"/>
      <c r="F322" s="603" t="s">
        <v>6529</v>
      </c>
      <c r="G322" s="603">
        <v>66811</v>
      </c>
      <c r="H322" s="638">
        <v>619</v>
      </c>
      <c r="I322" s="603">
        <v>25943.5</v>
      </c>
      <c r="J322" s="878"/>
      <c r="K322" s="880"/>
    </row>
    <row r="323" spans="1:11" ht="15" thickBot="1" x14ac:dyDescent="0.35">
      <c r="A323" s="175">
        <v>953</v>
      </c>
      <c r="B323" s="8">
        <v>41999.25</v>
      </c>
      <c r="C323" s="8" t="s">
        <v>6530</v>
      </c>
      <c r="D323" s="8">
        <v>953</v>
      </c>
      <c r="E323" s="8">
        <v>42191</v>
      </c>
      <c r="F323" s="8" t="s">
        <v>6531</v>
      </c>
      <c r="G323" s="8">
        <v>66861</v>
      </c>
      <c r="H323" s="8">
        <v>625</v>
      </c>
      <c r="I323" s="8">
        <v>27680</v>
      </c>
      <c r="J323" s="52">
        <f t="shared" ref="J323" si="224">+A323-D323</f>
        <v>0</v>
      </c>
      <c r="K323" s="138">
        <f t="shared" ref="K323" si="225">+((B323/A323)-(E323/D323))/(B323/A323)</f>
        <v>-4.5655577182926342E-3</v>
      </c>
    </row>
    <row r="324" spans="1:11" x14ac:dyDescent="0.3">
      <c r="A324" s="887">
        <v>2167</v>
      </c>
      <c r="B324" s="881">
        <v>87039.5</v>
      </c>
      <c r="C324" s="881" t="s">
        <v>6719</v>
      </c>
      <c r="D324" s="881">
        <f>+H324+H326+H327+H328+H329+H325</f>
        <v>2167</v>
      </c>
      <c r="E324" s="881">
        <f>+I324+I326+I327+I328+I329+I325</f>
        <v>87500.5</v>
      </c>
      <c r="F324" s="664" t="s">
        <v>6720</v>
      </c>
      <c r="G324" s="664">
        <v>66871</v>
      </c>
      <c r="H324" s="664">
        <v>343</v>
      </c>
      <c r="I324" s="664">
        <v>13617.3</v>
      </c>
      <c r="J324" s="877">
        <f t="shared" ref="J324" si="226">+A324-D324</f>
        <v>0</v>
      </c>
      <c r="K324" s="879">
        <f t="shared" ref="K324" si="227">+((B324/A324)-(E324/D324))/(B324/A324)</f>
        <v>-5.2964458665318249E-3</v>
      </c>
    </row>
    <row r="325" spans="1:11" x14ac:dyDescent="0.3">
      <c r="A325" s="887"/>
      <c r="B325" s="881"/>
      <c r="C325" s="881"/>
      <c r="D325" s="881"/>
      <c r="E325" s="881"/>
      <c r="F325" s="664" t="s">
        <v>6720</v>
      </c>
      <c r="G325" s="664">
        <v>66872</v>
      </c>
      <c r="H325" s="664">
        <v>272</v>
      </c>
      <c r="I325" s="664">
        <v>11057.4</v>
      </c>
      <c r="J325" s="886"/>
      <c r="K325" s="885"/>
    </row>
    <row r="326" spans="1:11" x14ac:dyDescent="0.3">
      <c r="A326" s="887"/>
      <c r="B326" s="881"/>
      <c r="C326" s="881"/>
      <c r="D326" s="881"/>
      <c r="E326" s="881"/>
      <c r="F326" s="664" t="s">
        <v>6720</v>
      </c>
      <c r="G326" s="664">
        <v>66871</v>
      </c>
      <c r="H326" s="664">
        <v>578</v>
      </c>
      <c r="I326" s="664">
        <v>22869.599999999995</v>
      </c>
      <c r="J326" s="886"/>
      <c r="K326" s="885"/>
    </row>
    <row r="327" spans="1:11" x14ac:dyDescent="0.3">
      <c r="A327" s="887"/>
      <c r="B327" s="881"/>
      <c r="C327" s="881"/>
      <c r="D327" s="881"/>
      <c r="E327" s="881"/>
      <c r="F327" s="664" t="s">
        <v>6720</v>
      </c>
      <c r="G327" s="664">
        <v>66872</v>
      </c>
      <c r="H327" s="664">
        <v>500</v>
      </c>
      <c r="I327" s="664">
        <v>20201.100000000002</v>
      </c>
      <c r="J327" s="886"/>
      <c r="K327" s="885"/>
    </row>
    <row r="328" spans="1:11" x14ac:dyDescent="0.3">
      <c r="A328" s="887"/>
      <c r="B328" s="881"/>
      <c r="C328" s="881"/>
      <c r="D328" s="881"/>
      <c r="E328" s="881"/>
      <c r="F328" s="664" t="s">
        <v>6720</v>
      </c>
      <c r="G328" s="664">
        <v>66872</v>
      </c>
      <c r="H328" s="664">
        <v>302</v>
      </c>
      <c r="I328" s="664">
        <v>11971.5</v>
      </c>
      <c r="J328" s="886"/>
      <c r="K328" s="885"/>
    </row>
    <row r="329" spans="1:11" ht="15" thickBot="1" x14ac:dyDescent="0.35">
      <c r="A329" s="888"/>
      <c r="B329" s="874"/>
      <c r="C329" s="874"/>
      <c r="D329" s="874"/>
      <c r="E329" s="874"/>
      <c r="F329" s="668" t="s">
        <v>6720</v>
      </c>
      <c r="G329" s="668">
        <v>66872</v>
      </c>
      <c r="H329" s="668">
        <v>172</v>
      </c>
      <c r="I329" s="668">
        <v>7783.6</v>
      </c>
      <c r="J329" s="878"/>
      <c r="K329" s="880"/>
    </row>
    <row r="330" spans="1:11" x14ac:dyDescent="0.3">
      <c r="A330" s="871">
        <v>580</v>
      </c>
      <c r="B330" s="873">
        <v>24069.25</v>
      </c>
      <c r="C330" s="873" t="s">
        <v>6721</v>
      </c>
      <c r="D330" s="873">
        <f>+H330+H331+H332</f>
        <v>580</v>
      </c>
      <c r="E330" s="873">
        <f>+I330+I331+I332</f>
        <v>24356.6</v>
      </c>
      <c r="F330" s="666" t="s">
        <v>6722</v>
      </c>
      <c r="G330" s="666">
        <v>66921</v>
      </c>
      <c r="H330" s="666">
        <v>220</v>
      </c>
      <c r="I330" s="666">
        <v>9325.1</v>
      </c>
      <c r="J330" s="877">
        <f t="shared" ref="J330" si="228">+A330-D330</f>
        <v>0</v>
      </c>
      <c r="K330" s="879">
        <f>+((B330/A330)-(E330/D330))/(B330/A330)</f>
        <v>-1.1938469208637517E-2</v>
      </c>
    </row>
    <row r="331" spans="1:11" x14ac:dyDescent="0.3">
      <c r="A331" s="875"/>
      <c r="B331" s="881"/>
      <c r="C331" s="881"/>
      <c r="D331" s="881"/>
      <c r="E331" s="881"/>
      <c r="F331" s="664" t="s">
        <v>6722</v>
      </c>
      <c r="G331" s="664">
        <v>66921</v>
      </c>
      <c r="H331" s="664">
        <v>140</v>
      </c>
      <c r="I331" s="664">
        <v>5812.6</v>
      </c>
      <c r="J331" s="886"/>
      <c r="K331" s="885"/>
    </row>
    <row r="332" spans="1:11" ht="15" thickBot="1" x14ac:dyDescent="0.35">
      <c r="A332" s="875"/>
      <c r="B332" s="881"/>
      <c r="C332" s="881"/>
      <c r="D332" s="881"/>
      <c r="E332" s="881"/>
      <c r="F332" s="664" t="s">
        <v>6722</v>
      </c>
      <c r="G332" s="664">
        <v>66921</v>
      </c>
      <c r="H332" s="664">
        <v>220</v>
      </c>
      <c r="I332" s="664">
        <v>9218.9</v>
      </c>
      <c r="J332" s="878"/>
      <c r="K332" s="880"/>
    </row>
    <row r="333" spans="1:11" x14ac:dyDescent="0.3">
      <c r="A333" s="871">
        <v>440</v>
      </c>
      <c r="B333" s="873">
        <v>18439.5</v>
      </c>
      <c r="C333" s="873" t="s">
        <v>6723</v>
      </c>
      <c r="D333" s="873">
        <f>+H333+H334</f>
        <v>440</v>
      </c>
      <c r="E333" s="873">
        <f>+I333+I334</f>
        <v>18525.599999999999</v>
      </c>
      <c r="F333" s="666" t="s">
        <v>6724</v>
      </c>
      <c r="G333" s="666">
        <v>67011</v>
      </c>
      <c r="H333" s="666">
        <v>220</v>
      </c>
      <c r="I333" s="666">
        <v>9301.1</v>
      </c>
      <c r="J333" s="877">
        <f t="shared" ref="J333" si="229">+A333-D333</f>
        <v>0</v>
      </c>
      <c r="K333" s="879">
        <f t="shared" ref="K333" si="230">+((B333/A333)-(E333/D333))/(B333/A333)</f>
        <v>-4.6693240055315959E-3</v>
      </c>
    </row>
    <row r="334" spans="1:11" ht="15" thickBot="1" x14ac:dyDescent="0.35">
      <c r="A334" s="872"/>
      <c r="B334" s="874"/>
      <c r="C334" s="874"/>
      <c r="D334" s="874"/>
      <c r="E334" s="874"/>
      <c r="F334" s="668" t="s">
        <v>6724</v>
      </c>
      <c r="G334" s="668">
        <v>67011</v>
      </c>
      <c r="H334" s="684">
        <v>220</v>
      </c>
      <c r="I334" s="668">
        <v>9224.5</v>
      </c>
      <c r="J334" s="878"/>
      <c r="K334" s="880"/>
    </row>
    <row r="335" spans="1:11" x14ac:dyDescent="0.3">
      <c r="A335" s="871">
        <v>649</v>
      </c>
      <c r="B335" s="873">
        <v>26807.75</v>
      </c>
      <c r="C335" s="873" t="s">
        <v>6725</v>
      </c>
      <c r="D335" s="873">
        <f>+H335+H336</f>
        <v>649</v>
      </c>
      <c r="E335" s="873">
        <f>+I335+I336</f>
        <v>27090.9</v>
      </c>
      <c r="F335" s="666" t="s">
        <v>6726</v>
      </c>
      <c r="G335" s="666">
        <v>67051</v>
      </c>
      <c r="H335" s="685">
        <v>429</v>
      </c>
      <c r="I335" s="666">
        <v>17985.400000000001</v>
      </c>
      <c r="J335" s="877">
        <f t="shared" ref="J335" si="231">+A335-D335</f>
        <v>0</v>
      </c>
      <c r="K335" s="879">
        <f t="shared" ref="K335" si="232">+((B335/A335)-(E335/D335))/(B335/A335)</f>
        <v>-1.056224412716489E-2</v>
      </c>
    </row>
    <row r="336" spans="1:11" ht="15" thickBot="1" x14ac:dyDescent="0.35">
      <c r="A336" s="872"/>
      <c r="B336" s="874"/>
      <c r="C336" s="874"/>
      <c r="D336" s="874"/>
      <c r="E336" s="874"/>
      <c r="F336" s="668" t="s">
        <v>6726</v>
      </c>
      <c r="G336" s="668">
        <v>67051</v>
      </c>
      <c r="H336" s="684">
        <v>220</v>
      </c>
      <c r="I336" s="668">
        <v>9105.5</v>
      </c>
      <c r="J336" s="878"/>
      <c r="K336" s="880"/>
    </row>
    <row r="337" spans="1:11" ht="15" thickBot="1" x14ac:dyDescent="0.35">
      <c r="A337" s="175">
        <v>257</v>
      </c>
      <c r="B337" s="8">
        <v>8899.6</v>
      </c>
      <c r="C337" s="8" t="s">
        <v>6727</v>
      </c>
      <c r="D337" s="8">
        <f t="shared" ref="D337:E339" si="233">+H337</f>
        <v>257</v>
      </c>
      <c r="E337" s="8">
        <f t="shared" si="233"/>
        <v>8737.4000000000015</v>
      </c>
      <c r="F337" s="8" t="s">
        <v>6728</v>
      </c>
      <c r="G337" s="8">
        <v>67071</v>
      </c>
      <c r="H337" s="311">
        <v>257</v>
      </c>
      <c r="I337" s="8">
        <v>8737.4000000000015</v>
      </c>
      <c r="J337" s="52">
        <f t="shared" ref="J337:J340" si="234">+A337-D337</f>
        <v>0</v>
      </c>
      <c r="K337" s="138">
        <f t="shared" ref="K337:K340" si="235">+((B337/A337)-(E337/D337))/(B337/A337)</f>
        <v>1.8225538226437177E-2</v>
      </c>
    </row>
    <row r="338" spans="1:11" ht="15" thickBot="1" x14ac:dyDescent="0.35">
      <c r="A338" s="175">
        <v>729</v>
      </c>
      <c r="B338" s="8">
        <v>36253.25</v>
      </c>
      <c r="C338" s="8" t="s">
        <v>6729</v>
      </c>
      <c r="D338" s="8">
        <f t="shared" si="233"/>
        <v>729</v>
      </c>
      <c r="E338" s="8">
        <f t="shared" si="233"/>
        <v>36319.5</v>
      </c>
      <c r="F338" s="8" t="s">
        <v>6730</v>
      </c>
      <c r="G338" s="8">
        <v>67091</v>
      </c>
      <c r="H338" s="311">
        <v>729</v>
      </c>
      <c r="I338" s="8">
        <v>36319.5</v>
      </c>
      <c r="J338" s="52">
        <f t="shared" si="234"/>
        <v>0</v>
      </c>
      <c r="K338" s="138">
        <f t="shared" si="235"/>
        <v>-1.8274223690289773E-3</v>
      </c>
    </row>
    <row r="339" spans="1:11" ht="15" thickBot="1" x14ac:dyDescent="0.35">
      <c r="A339" s="175">
        <v>222</v>
      </c>
      <c r="B339" s="8">
        <v>9264.25</v>
      </c>
      <c r="C339" s="8" t="s">
        <v>6731</v>
      </c>
      <c r="D339" s="8">
        <f t="shared" si="233"/>
        <v>222</v>
      </c>
      <c r="E339" s="8">
        <f t="shared" si="233"/>
        <v>9290.7999999999993</v>
      </c>
      <c r="F339" s="8" t="s">
        <v>6732</v>
      </c>
      <c r="G339" s="8">
        <v>67101</v>
      </c>
      <c r="H339" s="311">
        <v>222</v>
      </c>
      <c r="I339" s="8">
        <v>9290.7999999999993</v>
      </c>
      <c r="J339" s="52">
        <f t="shared" si="234"/>
        <v>0</v>
      </c>
      <c r="K339" s="138">
        <f t="shared" si="235"/>
        <v>-2.8658553039909904E-3</v>
      </c>
    </row>
    <row r="340" spans="1:11" x14ac:dyDescent="0.3">
      <c r="A340" s="871">
        <v>1540</v>
      </c>
      <c r="B340" s="873">
        <v>64975.75</v>
      </c>
      <c r="C340" s="873" t="s">
        <v>6733</v>
      </c>
      <c r="D340" s="873">
        <v>1540</v>
      </c>
      <c r="E340" s="873">
        <v>55097.3</v>
      </c>
      <c r="F340" s="666" t="s">
        <v>6734</v>
      </c>
      <c r="G340" s="666">
        <v>67161</v>
      </c>
      <c r="H340" s="685">
        <v>660</v>
      </c>
      <c r="I340" s="666">
        <v>27814.400000000001</v>
      </c>
      <c r="J340" s="877">
        <f t="shared" si="234"/>
        <v>0</v>
      </c>
      <c r="K340" s="879">
        <f t="shared" si="235"/>
        <v>0.15203287380291883</v>
      </c>
    </row>
    <row r="341" spans="1:11" ht="15" thickBot="1" x14ac:dyDescent="0.35">
      <c r="A341" s="872"/>
      <c r="B341" s="874"/>
      <c r="C341" s="874"/>
      <c r="D341" s="874"/>
      <c r="E341" s="874"/>
      <c r="F341" s="668" t="s">
        <v>6734</v>
      </c>
      <c r="G341" s="668">
        <v>67161</v>
      </c>
      <c r="H341" s="684">
        <v>660</v>
      </c>
      <c r="I341" s="668">
        <v>27282.899999999998</v>
      </c>
      <c r="J341" s="878"/>
      <c r="K341" s="880"/>
    </row>
    <row r="342" spans="1:11" x14ac:dyDescent="0.3">
      <c r="A342" s="871">
        <v>888</v>
      </c>
      <c r="B342" s="873">
        <v>38229.5</v>
      </c>
      <c r="C342" s="873" t="s">
        <v>6876</v>
      </c>
      <c r="D342" s="873">
        <f>+H342+H343+H344</f>
        <v>888</v>
      </c>
      <c r="E342" s="873">
        <f>+I342+I343+I344</f>
        <v>38690</v>
      </c>
      <c r="F342" s="691" t="s">
        <v>6877</v>
      </c>
      <c r="G342" s="691">
        <v>67171</v>
      </c>
      <c r="H342" s="728">
        <v>220</v>
      </c>
      <c r="I342" s="691">
        <v>9463.1</v>
      </c>
      <c r="J342" s="877">
        <f t="shared" ref="J342" si="236">+A342-D342</f>
        <v>0</v>
      </c>
      <c r="K342" s="879">
        <f>+((B342/A342)-(E342/D342))/(B342/A342)</f>
        <v>-1.2045671536378965E-2</v>
      </c>
    </row>
    <row r="343" spans="1:11" x14ac:dyDescent="0.3">
      <c r="A343" s="875"/>
      <c r="B343" s="881"/>
      <c r="C343" s="881"/>
      <c r="D343" s="881"/>
      <c r="E343" s="881"/>
      <c r="F343" s="692" t="s">
        <v>6877</v>
      </c>
      <c r="G343" s="692">
        <v>67171</v>
      </c>
      <c r="H343" s="729">
        <v>120</v>
      </c>
      <c r="I343" s="692">
        <v>5188.3</v>
      </c>
      <c r="J343" s="886"/>
      <c r="K343" s="885"/>
    </row>
    <row r="344" spans="1:11" ht="15" thickBot="1" x14ac:dyDescent="0.35">
      <c r="A344" s="872"/>
      <c r="B344" s="874"/>
      <c r="C344" s="874"/>
      <c r="D344" s="874"/>
      <c r="E344" s="874"/>
      <c r="F344" s="693" t="s">
        <v>6877</v>
      </c>
      <c r="G344" s="693">
        <v>67171</v>
      </c>
      <c r="H344" s="730">
        <v>548</v>
      </c>
      <c r="I344" s="693">
        <v>24038.6</v>
      </c>
      <c r="J344" s="878"/>
      <c r="K344" s="880"/>
    </row>
    <row r="345" spans="1:11" ht="15" thickBot="1" x14ac:dyDescent="0.35">
      <c r="A345" s="175">
        <v>247</v>
      </c>
      <c r="B345" s="8">
        <v>8792.7999999999993</v>
      </c>
      <c r="C345" s="8" t="s">
        <v>6878</v>
      </c>
      <c r="D345" s="8">
        <f>+H345</f>
        <v>247</v>
      </c>
      <c r="E345" s="8">
        <f>+I345</f>
        <v>8660.8000000000011</v>
      </c>
      <c r="F345" s="8" t="s">
        <v>6879</v>
      </c>
      <c r="G345" s="8">
        <v>67201</v>
      </c>
      <c r="H345" s="731">
        <v>247</v>
      </c>
      <c r="I345" s="8">
        <v>8660.8000000000011</v>
      </c>
      <c r="J345" s="52">
        <f t="shared" ref="J345:J347" si="237">+A345-D345</f>
        <v>0</v>
      </c>
      <c r="K345" s="138">
        <f t="shared" ref="K345:K346" si="238">+((B345/A345)-(E345/D345))/(B345/A345)</f>
        <v>1.5012282776817102E-2</v>
      </c>
    </row>
    <row r="346" spans="1:11" ht="15" thickBot="1" x14ac:dyDescent="0.35">
      <c r="A346" s="175">
        <v>324</v>
      </c>
      <c r="B346" s="8">
        <v>14399</v>
      </c>
      <c r="C346" s="8" t="s">
        <v>6880</v>
      </c>
      <c r="D346" s="8">
        <f>+H346</f>
        <v>324</v>
      </c>
      <c r="E346" s="8">
        <f>+I346</f>
        <v>14426.400000000001</v>
      </c>
      <c r="F346" s="8" t="s">
        <v>6881</v>
      </c>
      <c r="G346" s="8">
        <v>67231</v>
      </c>
      <c r="H346" s="731">
        <v>324</v>
      </c>
      <c r="I346" s="8">
        <v>14426.400000000001</v>
      </c>
      <c r="J346" s="52">
        <f t="shared" si="237"/>
        <v>0</v>
      </c>
      <c r="K346" s="138">
        <f t="shared" si="238"/>
        <v>-1.9029099243003738E-3</v>
      </c>
    </row>
    <row r="347" spans="1:11" x14ac:dyDescent="0.3">
      <c r="A347" s="871">
        <v>1781</v>
      </c>
      <c r="B347" s="873">
        <v>74615.5</v>
      </c>
      <c r="C347" s="873" t="s">
        <v>6882</v>
      </c>
      <c r="D347" s="873">
        <f>+H347+H348+H349+H350</f>
        <v>1780</v>
      </c>
      <c r="E347" s="873">
        <f>+I347+I348+I349+I350</f>
        <v>75034.60000000002</v>
      </c>
      <c r="F347" s="691" t="s">
        <v>6883</v>
      </c>
      <c r="G347" s="691">
        <v>67241</v>
      </c>
      <c r="H347" s="728">
        <v>895</v>
      </c>
      <c r="I347" s="691">
        <v>37660.000000000007</v>
      </c>
      <c r="J347" s="877">
        <f t="shared" si="237"/>
        <v>1</v>
      </c>
      <c r="K347" s="879">
        <f>+((B347/A347)-(E347/D347))/(B347/A347)</f>
        <v>-6.1817486938093779E-3</v>
      </c>
    </row>
    <row r="348" spans="1:11" x14ac:dyDescent="0.3">
      <c r="A348" s="875"/>
      <c r="B348" s="881"/>
      <c r="C348" s="881"/>
      <c r="D348" s="881"/>
      <c r="E348" s="881"/>
      <c r="F348" s="692" t="s">
        <v>6883</v>
      </c>
      <c r="G348" s="692">
        <v>67241</v>
      </c>
      <c r="H348" s="729">
        <v>440</v>
      </c>
      <c r="I348" s="692">
        <v>18513.2</v>
      </c>
      <c r="J348" s="886"/>
      <c r="K348" s="885"/>
    </row>
    <row r="349" spans="1:11" x14ac:dyDescent="0.3">
      <c r="A349" s="875"/>
      <c r="B349" s="881"/>
      <c r="C349" s="881"/>
      <c r="D349" s="881"/>
      <c r="E349" s="881"/>
      <c r="F349" s="692" t="s">
        <v>6883</v>
      </c>
      <c r="G349" s="692">
        <v>67241</v>
      </c>
      <c r="H349" s="729">
        <v>220</v>
      </c>
      <c r="I349" s="692">
        <v>9131.7999999999993</v>
      </c>
      <c r="J349" s="886"/>
      <c r="K349" s="885"/>
    </row>
    <row r="350" spans="1:11" ht="15" thickBot="1" x14ac:dyDescent="0.35">
      <c r="A350" s="872"/>
      <c r="B350" s="874"/>
      <c r="C350" s="874"/>
      <c r="D350" s="874"/>
      <c r="E350" s="874"/>
      <c r="F350" s="693" t="s">
        <v>6883</v>
      </c>
      <c r="G350" s="693">
        <v>67241</v>
      </c>
      <c r="H350" s="730">
        <v>225</v>
      </c>
      <c r="I350" s="693">
        <v>9729.6</v>
      </c>
      <c r="J350" s="878"/>
      <c r="K350" s="880"/>
    </row>
    <row r="351" spans="1:11" ht="15" thickBot="1" x14ac:dyDescent="0.35">
      <c r="A351" s="175">
        <v>1225</v>
      </c>
      <c r="B351" s="8">
        <v>51134.25</v>
      </c>
      <c r="C351" s="8" t="s">
        <v>6884</v>
      </c>
      <c r="D351" s="8">
        <v>1225</v>
      </c>
      <c r="E351" s="8">
        <v>51588.2</v>
      </c>
      <c r="F351" s="8" t="s">
        <v>6885</v>
      </c>
      <c r="G351" s="8">
        <v>67251</v>
      </c>
      <c r="H351" s="731">
        <v>660</v>
      </c>
      <c r="I351" s="8">
        <v>27722.899999999998</v>
      </c>
      <c r="J351" s="52">
        <f t="shared" ref="J351" si="239">+A351-D351</f>
        <v>0</v>
      </c>
      <c r="K351" s="138">
        <f t="shared" ref="K351" si="240">+((B351/A351)-(E351/D351))/(B351/A351)</f>
        <v>-8.8776113857151062E-3</v>
      </c>
    </row>
    <row r="352" spans="1:11" ht="15" thickBot="1" x14ac:dyDescent="0.35">
      <c r="A352" s="239">
        <v>1491</v>
      </c>
      <c r="B352" s="238">
        <v>63920.25</v>
      </c>
      <c r="C352" s="238" t="s">
        <v>7041</v>
      </c>
      <c r="D352" s="238">
        <v>1491</v>
      </c>
      <c r="E352" s="238">
        <v>63973.599999999999</v>
      </c>
      <c r="F352" s="238" t="s">
        <v>7042</v>
      </c>
      <c r="G352" s="238">
        <v>67261</v>
      </c>
      <c r="H352" s="854">
        <v>660</v>
      </c>
      <c r="I352" s="238">
        <v>27722.899999999998</v>
      </c>
      <c r="J352" s="852">
        <f t="shared" ref="J352" si="241">+A352-D352</f>
        <v>0</v>
      </c>
      <c r="K352" s="855">
        <f t="shared" ref="K352" si="242">+((B352/A352)-(E352/D352))/(B352/A352)</f>
        <v>-8.3463378193921356E-4</v>
      </c>
    </row>
    <row r="353" spans="1:11" ht="15" thickBot="1" x14ac:dyDescent="0.35">
      <c r="A353" s="175">
        <v>30</v>
      </c>
      <c r="B353" s="8">
        <v>1350</v>
      </c>
      <c r="C353" s="8" t="s">
        <v>7241</v>
      </c>
      <c r="D353" s="8">
        <f>+H353</f>
        <v>29</v>
      </c>
      <c r="E353" s="8">
        <f>+I353</f>
        <v>1260.7</v>
      </c>
      <c r="F353" s="8" t="s">
        <v>7242</v>
      </c>
      <c r="G353" s="8">
        <v>67341</v>
      </c>
      <c r="H353" s="8">
        <v>29</v>
      </c>
      <c r="I353" s="8">
        <v>1260.7</v>
      </c>
      <c r="J353" s="52">
        <f t="shared" ref="J353" si="243">+A353-D353</f>
        <v>1</v>
      </c>
      <c r="K353" s="138">
        <f t="shared" ref="K353" si="244">+((B353/A353)-(E353/D353))/(B353/A353)</f>
        <v>3.3946360153256687E-2</v>
      </c>
    </row>
    <row r="354" spans="1:11" x14ac:dyDescent="0.3">
      <c r="A354" s="871">
        <v>1324</v>
      </c>
      <c r="B354" s="873">
        <v>56874.25</v>
      </c>
      <c r="C354" s="873" t="s">
        <v>7243</v>
      </c>
      <c r="D354" s="873">
        <f>+H354+H355+H356+H357</f>
        <v>1324</v>
      </c>
      <c r="E354" s="873">
        <f>+I354+I355+I356+I357</f>
        <v>57793.8</v>
      </c>
      <c r="F354" s="809" t="s">
        <v>7244</v>
      </c>
      <c r="G354" s="809">
        <v>67561</v>
      </c>
      <c r="H354" s="809">
        <v>220</v>
      </c>
      <c r="I354" s="809">
        <v>9810.7999999999993</v>
      </c>
      <c r="J354" s="877">
        <f t="shared" ref="J354" si="245">+A354-D354</f>
        <v>0</v>
      </c>
      <c r="K354" s="879">
        <f>+((B354/A354)-(E354/D354))/(B354/A354)</f>
        <v>-1.6168125293959942E-2</v>
      </c>
    </row>
    <row r="355" spans="1:11" x14ac:dyDescent="0.3">
      <c r="A355" s="875"/>
      <c r="B355" s="881"/>
      <c r="C355" s="881"/>
      <c r="D355" s="881"/>
      <c r="E355" s="881"/>
      <c r="F355" s="810" t="s">
        <v>7244</v>
      </c>
      <c r="G355" s="810">
        <v>67561</v>
      </c>
      <c r="H355" s="810">
        <v>109</v>
      </c>
      <c r="I355" s="810">
        <v>4773.7</v>
      </c>
      <c r="J355" s="886"/>
      <c r="K355" s="885"/>
    </row>
    <row r="356" spans="1:11" x14ac:dyDescent="0.3">
      <c r="A356" s="875"/>
      <c r="B356" s="881"/>
      <c r="C356" s="881"/>
      <c r="D356" s="881"/>
      <c r="E356" s="881"/>
      <c r="F356" s="810" t="s">
        <v>7244</v>
      </c>
      <c r="G356" s="810">
        <v>67561</v>
      </c>
      <c r="H356" s="810">
        <v>555</v>
      </c>
      <c r="I356" s="810">
        <v>23562.5</v>
      </c>
      <c r="J356" s="886"/>
      <c r="K356" s="885"/>
    </row>
    <row r="357" spans="1:11" ht="15" thickBot="1" x14ac:dyDescent="0.35">
      <c r="A357" s="875"/>
      <c r="B357" s="881"/>
      <c r="C357" s="881"/>
      <c r="D357" s="881"/>
      <c r="E357" s="881"/>
      <c r="F357" s="810" t="s">
        <v>7244</v>
      </c>
      <c r="G357" s="810">
        <v>67561</v>
      </c>
      <c r="H357" s="810">
        <v>440</v>
      </c>
      <c r="I357" s="810">
        <v>19646.800000000003</v>
      </c>
      <c r="J357" s="878"/>
      <c r="K357" s="880"/>
    </row>
    <row r="358" spans="1:11" x14ac:dyDescent="0.3">
      <c r="A358" s="871">
        <v>883</v>
      </c>
      <c r="B358" s="873">
        <v>37837.75</v>
      </c>
      <c r="C358" s="873" t="s">
        <v>7245</v>
      </c>
      <c r="D358" s="873">
        <f>+H358+H359</f>
        <v>883</v>
      </c>
      <c r="E358" s="873">
        <f>+I358+I359</f>
        <v>38325.699999999997</v>
      </c>
      <c r="F358" s="809" t="s">
        <v>7246</v>
      </c>
      <c r="G358" s="809">
        <v>67571</v>
      </c>
      <c r="H358" s="809">
        <v>220</v>
      </c>
      <c r="I358" s="809">
        <v>9583.5</v>
      </c>
      <c r="J358" s="877">
        <f t="shared" ref="J358" si="246">+A358-D358</f>
        <v>0</v>
      </c>
      <c r="K358" s="879">
        <f t="shared" ref="K358" si="247">+((B358/A358)-(E358/D358))/(B358/A358)</f>
        <v>-1.2895851365369047E-2</v>
      </c>
    </row>
    <row r="359" spans="1:11" ht="15" thickBot="1" x14ac:dyDescent="0.35">
      <c r="A359" s="872"/>
      <c r="B359" s="874"/>
      <c r="C359" s="874"/>
      <c r="D359" s="874"/>
      <c r="E359" s="874"/>
      <c r="F359" s="812" t="s">
        <v>7246</v>
      </c>
      <c r="G359" s="812">
        <v>67571</v>
      </c>
      <c r="H359" s="812">
        <v>663</v>
      </c>
      <c r="I359" s="812">
        <v>28742.2</v>
      </c>
      <c r="J359" s="878"/>
      <c r="K359" s="880"/>
    </row>
    <row r="360" spans="1:11" ht="15" thickBot="1" x14ac:dyDescent="0.35">
      <c r="A360" s="811">
        <v>666</v>
      </c>
      <c r="B360" s="812">
        <v>28061.75</v>
      </c>
      <c r="C360" s="812" t="s">
        <v>7247</v>
      </c>
      <c r="D360" s="8">
        <f>+H360</f>
        <v>666</v>
      </c>
      <c r="E360" s="8">
        <f>+I360</f>
        <v>28415</v>
      </c>
      <c r="F360" s="812" t="s">
        <v>7248</v>
      </c>
      <c r="G360" s="812">
        <v>66671</v>
      </c>
      <c r="H360" s="812">
        <v>666</v>
      </c>
      <c r="I360" s="812">
        <v>28415</v>
      </c>
      <c r="J360" s="52">
        <f t="shared" ref="J360:J361" si="248">+A360-D360</f>
        <v>0</v>
      </c>
      <c r="K360" s="138">
        <f t="shared" ref="K360:K361" si="249">+((B360/A360)-(E360/D360))/(B360/A360)</f>
        <v>-1.2588309709836298E-2</v>
      </c>
    </row>
    <row r="361" spans="1:11" ht="15" thickBot="1" x14ac:dyDescent="0.35">
      <c r="A361" s="175">
        <v>1553</v>
      </c>
      <c r="B361" s="8">
        <v>64242.25</v>
      </c>
      <c r="C361" s="8" t="s">
        <v>7249</v>
      </c>
      <c r="D361" s="8">
        <v>1553</v>
      </c>
      <c r="E361" s="8">
        <v>64562.1</v>
      </c>
      <c r="F361" s="8" t="s">
        <v>7250</v>
      </c>
      <c r="G361" s="8">
        <v>68681</v>
      </c>
      <c r="H361" s="8">
        <v>440</v>
      </c>
      <c r="I361" s="8">
        <v>18305</v>
      </c>
      <c r="J361" s="52">
        <f t="shared" si="248"/>
        <v>0</v>
      </c>
      <c r="K361" s="138">
        <f t="shared" si="249"/>
        <v>-4.9788106736609597E-3</v>
      </c>
    </row>
    <row r="362" spans="1:11" ht="15" thickBot="1" x14ac:dyDescent="0.35">
      <c r="A362" s="19">
        <v>375</v>
      </c>
      <c r="B362" s="20">
        <v>16992.75</v>
      </c>
      <c r="C362" s="20" t="s">
        <v>7359</v>
      </c>
      <c r="D362" s="20">
        <f>+H362</f>
        <v>123</v>
      </c>
      <c r="E362" s="20">
        <f>+I362</f>
        <v>5653.6</v>
      </c>
      <c r="F362" s="20" t="s">
        <v>7360</v>
      </c>
      <c r="G362" s="20">
        <v>67721</v>
      </c>
      <c r="H362" s="20">
        <v>123</v>
      </c>
      <c r="I362" s="20">
        <v>5653.6</v>
      </c>
      <c r="J362" s="869">
        <f t="shared" ref="J362" si="250">+A362-D362</f>
        <v>252</v>
      </c>
      <c r="K362" s="1135">
        <f>+((B362/A362)-(E362/D362))/(B362/A362)</f>
        <v>-1.4349376401916115E-2</v>
      </c>
    </row>
    <row r="364" spans="1:11" x14ac:dyDescent="0.3">
      <c r="A364" s="196">
        <f>SUM(A5:A363)</f>
        <v>181961</v>
      </c>
      <c r="B364" s="196">
        <f>SUM(B5:B363)</f>
        <v>7840598.2430000007</v>
      </c>
      <c r="C364" s="196"/>
      <c r="D364" s="196">
        <f>SUM(D5:D363)</f>
        <v>181597</v>
      </c>
      <c r="E364" s="196">
        <f>SUM(E5:E363)</f>
        <v>7628973.9999999953</v>
      </c>
    </row>
  </sheetData>
  <mergeCells count="631">
    <mergeCell ref="J342:J344"/>
    <mergeCell ref="K342:K344"/>
    <mergeCell ref="J347:J350"/>
    <mergeCell ref="K347:K350"/>
    <mergeCell ref="A342:A344"/>
    <mergeCell ref="B342:B344"/>
    <mergeCell ref="C342:C344"/>
    <mergeCell ref="D342:D344"/>
    <mergeCell ref="E342:E344"/>
    <mergeCell ref="A347:A350"/>
    <mergeCell ref="B347:B350"/>
    <mergeCell ref="C347:C350"/>
    <mergeCell ref="D347:D350"/>
    <mergeCell ref="E347:E350"/>
    <mergeCell ref="A340:A341"/>
    <mergeCell ref="B340:B341"/>
    <mergeCell ref="C340:C341"/>
    <mergeCell ref="D340:D341"/>
    <mergeCell ref="E340:E341"/>
    <mergeCell ref="J324:J329"/>
    <mergeCell ref="K324:K329"/>
    <mergeCell ref="J333:J334"/>
    <mergeCell ref="K333:K334"/>
    <mergeCell ref="J335:J336"/>
    <mergeCell ref="K335:K336"/>
    <mergeCell ref="J340:J341"/>
    <mergeCell ref="K340:K341"/>
    <mergeCell ref="J330:J332"/>
    <mergeCell ref="K330:K332"/>
    <mergeCell ref="A333:A334"/>
    <mergeCell ref="B333:B334"/>
    <mergeCell ref="C333:C334"/>
    <mergeCell ref="D333:D334"/>
    <mergeCell ref="E333:E334"/>
    <mergeCell ref="A335:A336"/>
    <mergeCell ref="B335:B336"/>
    <mergeCell ref="C335:C336"/>
    <mergeCell ref="D335:D336"/>
    <mergeCell ref="E335:E336"/>
    <mergeCell ref="A324:A329"/>
    <mergeCell ref="B324:B329"/>
    <mergeCell ref="C324:C329"/>
    <mergeCell ref="D324:D329"/>
    <mergeCell ref="E324:E329"/>
    <mergeCell ref="A330:A332"/>
    <mergeCell ref="B330:B332"/>
    <mergeCell ref="C330:C332"/>
    <mergeCell ref="D330:D332"/>
    <mergeCell ref="E330:E332"/>
    <mergeCell ref="J314:J315"/>
    <mergeCell ref="K314:K315"/>
    <mergeCell ref="J316:J317"/>
    <mergeCell ref="K316:K317"/>
    <mergeCell ref="J318:J319"/>
    <mergeCell ref="K318:K319"/>
    <mergeCell ref="J321:J322"/>
    <mergeCell ref="K321:K322"/>
    <mergeCell ref="A318:A319"/>
    <mergeCell ref="B318:B319"/>
    <mergeCell ref="C318:C319"/>
    <mergeCell ref="D318:D319"/>
    <mergeCell ref="E318:E319"/>
    <mergeCell ref="A321:A322"/>
    <mergeCell ref="B321:B322"/>
    <mergeCell ref="C321:C322"/>
    <mergeCell ref="D321:D322"/>
    <mergeCell ref="E321:E322"/>
    <mergeCell ref="A314:A315"/>
    <mergeCell ref="B314:B315"/>
    <mergeCell ref="C314:C315"/>
    <mergeCell ref="D314:D315"/>
    <mergeCell ref="E314:E315"/>
    <mergeCell ref="A316:A317"/>
    <mergeCell ref="B316:B317"/>
    <mergeCell ref="C316:C317"/>
    <mergeCell ref="D316:D317"/>
    <mergeCell ref="E316:E317"/>
    <mergeCell ref="A303:A305"/>
    <mergeCell ref="B303:B305"/>
    <mergeCell ref="C303:C305"/>
    <mergeCell ref="D303:D305"/>
    <mergeCell ref="E303:E305"/>
    <mergeCell ref="J299:J300"/>
    <mergeCell ref="K299:K300"/>
    <mergeCell ref="J303:J305"/>
    <mergeCell ref="K303:K305"/>
    <mergeCell ref="A299:A300"/>
    <mergeCell ref="B299:B300"/>
    <mergeCell ref="C299:C300"/>
    <mergeCell ref="D299:D300"/>
    <mergeCell ref="E299:E300"/>
    <mergeCell ref="A293:A294"/>
    <mergeCell ref="B293:B294"/>
    <mergeCell ref="C293:C294"/>
    <mergeCell ref="D293:D294"/>
    <mergeCell ref="E293:E294"/>
    <mergeCell ref="D286:D287"/>
    <mergeCell ref="E286:E287"/>
    <mergeCell ref="A289:A290"/>
    <mergeCell ref="B289:B290"/>
    <mergeCell ref="C289:C290"/>
    <mergeCell ref="D289:D290"/>
    <mergeCell ref="E289:E290"/>
    <mergeCell ref="A281:A282"/>
    <mergeCell ref="B281:B282"/>
    <mergeCell ref="C281:C282"/>
    <mergeCell ref="D281:D282"/>
    <mergeCell ref="E281:E282"/>
    <mergeCell ref="A283:A284"/>
    <mergeCell ref="J234:J235"/>
    <mergeCell ref="K234:K235"/>
    <mergeCell ref="J230:J233"/>
    <mergeCell ref="K230:K233"/>
    <mergeCell ref="A230:A233"/>
    <mergeCell ref="B230:B233"/>
    <mergeCell ref="C230:C233"/>
    <mergeCell ref="D230:D233"/>
    <mergeCell ref="E230:E233"/>
    <mergeCell ref="A234:A235"/>
    <mergeCell ref="B234:B235"/>
    <mergeCell ref="C234:C235"/>
    <mergeCell ref="D234:D235"/>
    <mergeCell ref="E234:E235"/>
    <mergeCell ref="K237:K238"/>
    <mergeCell ref="J239:J240"/>
    <mergeCell ref="K239:K240"/>
    <mergeCell ref="J241:J243"/>
    <mergeCell ref="A227:A228"/>
    <mergeCell ref="B227:B228"/>
    <mergeCell ref="C227:C228"/>
    <mergeCell ref="D227:D228"/>
    <mergeCell ref="E227:E228"/>
    <mergeCell ref="J227:J228"/>
    <mergeCell ref="K227:K228"/>
    <mergeCell ref="B203:B205"/>
    <mergeCell ref="C203:C205"/>
    <mergeCell ref="D203:D205"/>
    <mergeCell ref="E203:E205"/>
    <mergeCell ref="A207:A209"/>
    <mergeCell ref="B207:B209"/>
    <mergeCell ref="C207:C209"/>
    <mergeCell ref="D207:D209"/>
    <mergeCell ref="E207:E209"/>
    <mergeCell ref="J207:J209"/>
    <mergeCell ref="K207:K209"/>
    <mergeCell ref="J203:J205"/>
    <mergeCell ref="K203:K205"/>
    <mergeCell ref="A203:A205"/>
    <mergeCell ref="J214:J215"/>
    <mergeCell ref="K214:K215"/>
    <mergeCell ref="J216:J217"/>
    <mergeCell ref="J162:J163"/>
    <mergeCell ref="K162:K163"/>
    <mergeCell ref="J164:J165"/>
    <mergeCell ref="K164:K165"/>
    <mergeCell ref="J166:J167"/>
    <mergeCell ref="K166:K167"/>
    <mergeCell ref="J168:J169"/>
    <mergeCell ref="K168:K169"/>
    <mergeCell ref="J174:J175"/>
    <mergeCell ref="K174:K175"/>
    <mergeCell ref="A168:A169"/>
    <mergeCell ref="B168:B169"/>
    <mergeCell ref="C168:C169"/>
    <mergeCell ref="D168:D169"/>
    <mergeCell ref="E168:E169"/>
    <mergeCell ref="A174:A175"/>
    <mergeCell ref="B174:B175"/>
    <mergeCell ref="C174:C175"/>
    <mergeCell ref="D174:D175"/>
    <mergeCell ref="E174:E175"/>
    <mergeCell ref="A162:A163"/>
    <mergeCell ref="B162:B163"/>
    <mergeCell ref="C162:C163"/>
    <mergeCell ref="D162:D163"/>
    <mergeCell ref="E162:E163"/>
    <mergeCell ref="C164:C165"/>
    <mergeCell ref="D164:D165"/>
    <mergeCell ref="E164:E165"/>
    <mergeCell ref="A166:A167"/>
    <mergeCell ref="B166:B167"/>
    <mergeCell ref="C166:C167"/>
    <mergeCell ref="D166:D167"/>
    <mergeCell ref="E166:E167"/>
    <mergeCell ref="A151:A152"/>
    <mergeCell ref="B151:B152"/>
    <mergeCell ref="C151:C152"/>
    <mergeCell ref="D151:D152"/>
    <mergeCell ref="E151:E152"/>
    <mergeCell ref="J151:J152"/>
    <mergeCell ref="K151:K152"/>
    <mergeCell ref="A157:A158"/>
    <mergeCell ref="B157:B158"/>
    <mergeCell ref="C157:C158"/>
    <mergeCell ref="D157:D158"/>
    <mergeCell ref="E157:E158"/>
    <mergeCell ref="J157:J158"/>
    <mergeCell ref="K157:K158"/>
    <mergeCell ref="A139:A140"/>
    <mergeCell ref="B139:B140"/>
    <mergeCell ref="C139:C140"/>
    <mergeCell ref="D139:D140"/>
    <mergeCell ref="E139:E140"/>
    <mergeCell ref="J139:J140"/>
    <mergeCell ref="K139:K140"/>
    <mergeCell ref="A129:A133"/>
    <mergeCell ref="B129:B133"/>
    <mergeCell ref="C129:C133"/>
    <mergeCell ref="D129:D133"/>
    <mergeCell ref="E129:E133"/>
    <mergeCell ref="J129:J133"/>
    <mergeCell ref="K129:K133"/>
    <mergeCell ref="J98:J100"/>
    <mergeCell ref="J106:J107"/>
    <mergeCell ref="K98:K100"/>
    <mergeCell ref="K106:K107"/>
    <mergeCell ref="A98:A100"/>
    <mergeCell ref="B98:B100"/>
    <mergeCell ref="C98:C100"/>
    <mergeCell ref="D98:D100"/>
    <mergeCell ref="E98:E100"/>
    <mergeCell ref="A106:A107"/>
    <mergeCell ref="B106:B107"/>
    <mergeCell ref="C106:C107"/>
    <mergeCell ref="D106:D107"/>
    <mergeCell ref="E106:E107"/>
    <mergeCell ref="J94:J95"/>
    <mergeCell ref="J96:J97"/>
    <mergeCell ref="K96:K97"/>
    <mergeCell ref="K94:K95"/>
    <mergeCell ref="A94:A95"/>
    <mergeCell ref="B94:B95"/>
    <mergeCell ref="C94:C95"/>
    <mergeCell ref="D94:D95"/>
    <mergeCell ref="E94:E95"/>
    <mergeCell ref="A96:A97"/>
    <mergeCell ref="B96:B97"/>
    <mergeCell ref="C96:C97"/>
    <mergeCell ref="D96:D97"/>
    <mergeCell ref="E96:E97"/>
    <mergeCell ref="A6:A8"/>
    <mergeCell ref="B6:B8"/>
    <mergeCell ref="C6:C8"/>
    <mergeCell ref="D6:D8"/>
    <mergeCell ref="E6:E8"/>
    <mergeCell ref="J6:J8"/>
    <mergeCell ref="K6:K8"/>
    <mergeCell ref="J63:J64"/>
    <mergeCell ref="J65:J67"/>
    <mergeCell ref="J52:J53"/>
    <mergeCell ref="J54:J55"/>
    <mergeCell ref="K52:K53"/>
    <mergeCell ref="K54:K55"/>
    <mergeCell ref="A54:A55"/>
    <mergeCell ref="B54:B55"/>
    <mergeCell ref="C54:C55"/>
    <mergeCell ref="D54:D55"/>
    <mergeCell ref="E54:E55"/>
    <mergeCell ref="A52:A53"/>
    <mergeCell ref="B52:B53"/>
    <mergeCell ref="C52:C53"/>
    <mergeCell ref="D52:D53"/>
    <mergeCell ref="E52:E53"/>
    <mergeCell ref="J39:J41"/>
    <mergeCell ref="J68:J70"/>
    <mergeCell ref="K63:K64"/>
    <mergeCell ref="K65:K67"/>
    <mergeCell ref="K68:K70"/>
    <mergeCell ref="A68:A70"/>
    <mergeCell ref="B68:B70"/>
    <mergeCell ref="C68:C70"/>
    <mergeCell ref="D68:D70"/>
    <mergeCell ref="E68:E70"/>
    <mergeCell ref="A65:A67"/>
    <mergeCell ref="B65:B67"/>
    <mergeCell ref="C65:C67"/>
    <mergeCell ref="D65:D67"/>
    <mergeCell ref="E65:E67"/>
    <mergeCell ref="A63:A64"/>
    <mergeCell ref="B63:B64"/>
    <mergeCell ref="C63:C64"/>
    <mergeCell ref="D63:D64"/>
    <mergeCell ref="E63:E64"/>
    <mergeCell ref="K39:K41"/>
    <mergeCell ref="A39:A41"/>
    <mergeCell ref="B39:B41"/>
    <mergeCell ref="C39:C41"/>
    <mergeCell ref="D39:D41"/>
    <mergeCell ref="E39:E41"/>
    <mergeCell ref="J35:J36"/>
    <mergeCell ref="K35:K36"/>
    <mergeCell ref="A35:A36"/>
    <mergeCell ref="B35:B36"/>
    <mergeCell ref="C35:C36"/>
    <mergeCell ref="D35:D36"/>
    <mergeCell ref="E35:E36"/>
    <mergeCell ref="D14:D16"/>
    <mergeCell ref="E14:E16"/>
    <mergeCell ref="J14:J16"/>
    <mergeCell ref="K14:K16"/>
    <mergeCell ref="A9:A11"/>
    <mergeCell ref="B9:B11"/>
    <mergeCell ref="C9:C11"/>
    <mergeCell ref="D9:D11"/>
    <mergeCell ref="E9:E11"/>
    <mergeCell ref="A3:C3"/>
    <mergeCell ref="D3:E3"/>
    <mergeCell ref="G3:G4"/>
    <mergeCell ref="J3:J4"/>
    <mergeCell ref="K3:K4"/>
    <mergeCell ref="J21:J23"/>
    <mergeCell ref="K21:K23"/>
    <mergeCell ref="J24:J25"/>
    <mergeCell ref="K24:K25"/>
    <mergeCell ref="A24:A25"/>
    <mergeCell ref="B24:B25"/>
    <mergeCell ref="C24:C25"/>
    <mergeCell ref="D24:D25"/>
    <mergeCell ref="E24:E25"/>
    <mergeCell ref="A21:A23"/>
    <mergeCell ref="B21:B23"/>
    <mergeCell ref="C21:C23"/>
    <mergeCell ref="D21:D23"/>
    <mergeCell ref="E21:E23"/>
    <mergeCell ref="J9:J11"/>
    <mergeCell ref="K9:K11"/>
    <mergeCell ref="A14:A16"/>
    <mergeCell ref="B14:B16"/>
    <mergeCell ref="C14:C16"/>
    <mergeCell ref="J26:J27"/>
    <mergeCell ref="J30:J31"/>
    <mergeCell ref="J33:J34"/>
    <mergeCell ref="K26:K27"/>
    <mergeCell ref="K30:K31"/>
    <mergeCell ref="K33:K34"/>
    <mergeCell ref="A26:A27"/>
    <mergeCell ref="B26:B27"/>
    <mergeCell ref="C26:C27"/>
    <mergeCell ref="D26:D27"/>
    <mergeCell ref="E26:E27"/>
    <mergeCell ref="C30:C31"/>
    <mergeCell ref="D30:D31"/>
    <mergeCell ref="E30:E31"/>
    <mergeCell ref="A33:A34"/>
    <mergeCell ref="B33:B34"/>
    <mergeCell ref="C33:C34"/>
    <mergeCell ref="D33:D34"/>
    <mergeCell ref="E33:E34"/>
    <mergeCell ref="J71:J72"/>
    <mergeCell ref="J75:J76"/>
    <mergeCell ref="K71:K72"/>
    <mergeCell ref="K75:K76"/>
    <mergeCell ref="A71:A72"/>
    <mergeCell ref="B71:B72"/>
    <mergeCell ref="C71:C72"/>
    <mergeCell ref="D71:D72"/>
    <mergeCell ref="E71:E72"/>
    <mergeCell ref="A75:A76"/>
    <mergeCell ref="B75:B76"/>
    <mergeCell ref="C75:C76"/>
    <mergeCell ref="D75:D76"/>
    <mergeCell ref="E75:E76"/>
    <mergeCell ref="A77:A78"/>
    <mergeCell ref="B77:B78"/>
    <mergeCell ref="C77:C78"/>
    <mergeCell ref="D77:D78"/>
    <mergeCell ref="E77:E78"/>
    <mergeCell ref="A79:A80"/>
    <mergeCell ref="B79:B80"/>
    <mergeCell ref="C79:C80"/>
    <mergeCell ref="D79:D80"/>
    <mergeCell ref="E79:E80"/>
    <mergeCell ref="A82:A83"/>
    <mergeCell ref="B82:B83"/>
    <mergeCell ref="C82:C83"/>
    <mergeCell ref="D82:D83"/>
    <mergeCell ref="E82:E83"/>
    <mergeCell ref="A84:A86"/>
    <mergeCell ref="B84:B86"/>
    <mergeCell ref="C84:C86"/>
    <mergeCell ref="D84:D86"/>
    <mergeCell ref="E84:E86"/>
    <mergeCell ref="A88:A89"/>
    <mergeCell ref="B88:B89"/>
    <mergeCell ref="C88:C89"/>
    <mergeCell ref="D88:D89"/>
    <mergeCell ref="E88:E89"/>
    <mergeCell ref="A90:A91"/>
    <mergeCell ref="B90:B91"/>
    <mergeCell ref="C90:C91"/>
    <mergeCell ref="D90:D91"/>
    <mergeCell ref="E90:E91"/>
    <mergeCell ref="J77:J78"/>
    <mergeCell ref="K77:K78"/>
    <mergeCell ref="J79:J80"/>
    <mergeCell ref="K79:K80"/>
    <mergeCell ref="J82:J83"/>
    <mergeCell ref="K82:K83"/>
    <mergeCell ref="J88:J89"/>
    <mergeCell ref="K88:K89"/>
    <mergeCell ref="J90:J91"/>
    <mergeCell ref="K90:K91"/>
    <mergeCell ref="J84:J86"/>
    <mergeCell ref="K84:K86"/>
    <mergeCell ref="J109:J110"/>
    <mergeCell ref="K109:K110"/>
    <mergeCell ref="J112:J113"/>
    <mergeCell ref="K112:K113"/>
    <mergeCell ref="J116:J117"/>
    <mergeCell ref="K116:K117"/>
    <mergeCell ref="A109:A110"/>
    <mergeCell ref="B109:B110"/>
    <mergeCell ref="C109:C110"/>
    <mergeCell ref="D109:D110"/>
    <mergeCell ref="E109:E110"/>
    <mergeCell ref="A112:A113"/>
    <mergeCell ref="B112:B113"/>
    <mergeCell ref="C112:C113"/>
    <mergeCell ref="D112:D113"/>
    <mergeCell ref="E112:E113"/>
    <mergeCell ref="A116:A117"/>
    <mergeCell ref="B116:B117"/>
    <mergeCell ref="C116:C117"/>
    <mergeCell ref="D116:D117"/>
    <mergeCell ref="E116:E117"/>
    <mergeCell ref="J120:J121"/>
    <mergeCell ref="K120:K121"/>
    <mergeCell ref="J122:J125"/>
    <mergeCell ref="K122:K125"/>
    <mergeCell ref="A120:A121"/>
    <mergeCell ref="B120:B121"/>
    <mergeCell ref="C120:C121"/>
    <mergeCell ref="D120:D121"/>
    <mergeCell ref="E120:E121"/>
    <mergeCell ref="A122:A125"/>
    <mergeCell ref="B122:B125"/>
    <mergeCell ref="C122:C125"/>
    <mergeCell ref="D122:D125"/>
    <mergeCell ref="E122:E125"/>
    <mergeCell ref="J143:J144"/>
    <mergeCell ref="K143:K144"/>
    <mergeCell ref="J147:J148"/>
    <mergeCell ref="K147:K148"/>
    <mergeCell ref="A143:A144"/>
    <mergeCell ref="B143:B144"/>
    <mergeCell ref="C143:C144"/>
    <mergeCell ref="D143:D144"/>
    <mergeCell ref="E143:E144"/>
    <mergeCell ref="A147:A148"/>
    <mergeCell ref="B147:B148"/>
    <mergeCell ref="C147:C148"/>
    <mergeCell ref="D147:D148"/>
    <mergeCell ref="E147:E148"/>
    <mergeCell ref="A188:A189"/>
    <mergeCell ref="B188:B189"/>
    <mergeCell ref="C188:C189"/>
    <mergeCell ref="D188:D189"/>
    <mergeCell ref="E188:E189"/>
    <mergeCell ref="J179:J180"/>
    <mergeCell ref="K179:K180"/>
    <mergeCell ref="J182:J183"/>
    <mergeCell ref="K182:K183"/>
    <mergeCell ref="J188:J189"/>
    <mergeCell ref="K188:K189"/>
    <mergeCell ref="A179:A180"/>
    <mergeCell ref="B179:B180"/>
    <mergeCell ref="C179:C180"/>
    <mergeCell ref="D179:D180"/>
    <mergeCell ref="E179:E180"/>
    <mergeCell ref="A182:A183"/>
    <mergeCell ref="B182:B183"/>
    <mergeCell ref="C182:C183"/>
    <mergeCell ref="D182:D183"/>
    <mergeCell ref="E182:E183"/>
    <mergeCell ref="A196:A198"/>
    <mergeCell ref="B196:B198"/>
    <mergeCell ref="C196:C198"/>
    <mergeCell ref="D196:D198"/>
    <mergeCell ref="E196:E198"/>
    <mergeCell ref="J196:J198"/>
    <mergeCell ref="K196:K198"/>
    <mergeCell ref="J200:J201"/>
    <mergeCell ref="K200:K201"/>
    <mergeCell ref="A200:A201"/>
    <mergeCell ref="B200:B201"/>
    <mergeCell ref="C200:C201"/>
    <mergeCell ref="D200:D201"/>
    <mergeCell ref="E200:E201"/>
    <mergeCell ref="K216:K217"/>
    <mergeCell ref="A214:A215"/>
    <mergeCell ref="B214:B215"/>
    <mergeCell ref="C214:C215"/>
    <mergeCell ref="D214:D215"/>
    <mergeCell ref="E214:E215"/>
    <mergeCell ref="A216:A217"/>
    <mergeCell ref="B216:B217"/>
    <mergeCell ref="C216:C217"/>
    <mergeCell ref="D216:D217"/>
    <mergeCell ref="E216:E217"/>
    <mergeCell ref="J218:J220"/>
    <mergeCell ref="K218:K220"/>
    <mergeCell ref="J221:J222"/>
    <mergeCell ref="K221:K222"/>
    <mergeCell ref="A218:A220"/>
    <mergeCell ref="B218:B220"/>
    <mergeCell ref="C218:C220"/>
    <mergeCell ref="D218:D220"/>
    <mergeCell ref="E218:E220"/>
    <mergeCell ref="A221:A222"/>
    <mergeCell ref="B221:B222"/>
    <mergeCell ref="C221:C222"/>
    <mergeCell ref="D221:D222"/>
    <mergeCell ref="E221:E222"/>
    <mergeCell ref="K241:K243"/>
    <mergeCell ref="A237:A238"/>
    <mergeCell ref="B237:B238"/>
    <mergeCell ref="C237:C238"/>
    <mergeCell ref="D237:D238"/>
    <mergeCell ref="E237:E238"/>
    <mergeCell ref="A239:A240"/>
    <mergeCell ref="B239:B240"/>
    <mergeCell ref="C239:C240"/>
    <mergeCell ref="D239:D240"/>
    <mergeCell ref="E239:E240"/>
    <mergeCell ref="A241:A243"/>
    <mergeCell ref="B241:B243"/>
    <mergeCell ref="C241:C243"/>
    <mergeCell ref="D241:D243"/>
    <mergeCell ref="E241:E243"/>
    <mergeCell ref="J237:J238"/>
    <mergeCell ref="A250:A251"/>
    <mergeCell ref="B250:B251"/>
    <mergeCell ref="C250:C251"/>
    <mergeCell ref="D250:D251"/>
    <mergeCell ref="E250:E251"/>
    <mergeCell ref="J250:J251"/>
    <mergeCell ref="K250:K251"/>
    <mergeCell ref="A248:A249"/>
    <mergeCell ref="B248:B249"/>
    <mergeCell ref="C248:C249"/>
    <mergeCell ref="D248:D249"/>
    <mergeCell ref="E248:E249"/>
    <mergeCell ref="J248:J249"/>
    <mergeCell ref="K248:K249"/>
    <mergeCell ref="J255:J256"/>
    <mergeCell ref="K255:K256"/>
    <mergeCell ref="J257:J258"/>
    <mergeCell ref="K257:K258"/>
    <mergeCell ref="A255:A256"/>
    <mergeCell ref="B255:B256"/>
    <mergeCell ref="C255:C256"/>
    <mergeCell ref="D255:D256"/>
    <mergeCell ref="E255:E256"/>
    <mergeCell ref="A257:A258"/>
    <mergeCell ref="B257:B258"/>
    <mergeCell ref="C257:C258"/>
    <mergeCell ref="D257:D258"/>
    <mergeCell ref="E257:E258"/>
    <mergeCell ref="A270:A273"/>
    <mergeCell ref="B270:B273"/>
    <mergeCell ref="C270:C273"/>
    <mergeCell ref="D270:D273"/>
    <mergeCell ref="E270:E273"/>
    <mergeCell ref="J261:J262"/>
    <mergeCell ref="K261:K262"/>
    <mergeCell ref="J264:J266"/>
    <mergeCell ref="K264:K266"/>
    <mergeCell ref="J270:J273"/>
    <mergeCell ref="K270:K273"/>
    <mergeCell ref="A261:A262"/>
    <mergeCell ref="B261:B262"/>
    <mergeCell ref="C261:C262"/>
    <mergeCell ref="D261:D262"/>
    <mergeCell ref="E261:E262"/>
    <mergeCell ref="A264:A266"/>
    <mergeCell ref="B264:B266"/>
    <mergeCell ref="C264:C266"/>
    <mergeCell ref="D264:D266"/>
    <mergeCell ref="E264:E266"/>
    <mergeCell ref="J293:J294"/>
    <mergeCell ref="K293:K294"/>
    <mergeCell ref="A278:A279"/>
    <mergeCell ref="B278:B279"/>
    <mergeCell ref="C278:C279"/>
    <mergeCell ref="D278:D279"/>
    <mergeCell ref="E278:E279"/>
    <mergeCell ref="J278:J279"/>
    <mergeCell ref="K278:K279"/>
    <mergeCell ref="B283:B284"/>
    <mergeCell ref="C283:C284"/>
    <mergeCell ref="D283:D284"/>
    <mergeCell ref="E283:E284"/>
    <mergeCell ref="J281:J282"/>
    <mergeCell ref="K281:K282"/>
    <mergeCell ref="J283:J284"/>
    <mergeCell ref="K283:K284"/>
    <mergeCell ref="J286:J287"/>
    <mergeCell ref="K286:K287"/>
    <mergeCell ref="J289:J290"/>
    <mergeCell ref="K289:K290"/>
    <mergeCell ref="A286:A287"/>
    <mergeCell ref="B286:B287"/>
    <mergeCell ref="C286:C287"/>
    <mergeCell ref="J310:J311"/>
    <mergeCell ref="K310:K311"/>
    <mergeCell ref="J312:J313"/>
    <mergeCell ref="K312:K313"/>
    <mergeCell ref="A310:A311"/>
    <mergeCell ref="B310:B311"/>
    <mergeCell ref="C310:C311"/>
    <mergeCell ref="D310:D311"/>
    <mergeCell ref="E310:E311"/>
    <mergeCell ref="A312:A313"/>
    <mergeCell ref="B312:B313"/>
    <mergeCell ref="C312:C313"/>
    <mergeCell ref="D312:D313"/>
    <mergeCell ref="E312:E313"/>
    <mergeCell ref="J354:J357"/>
    <mergeCell ref="K354:K357"/>
    <mergeCell ref="J358:J359"/>
    <mergeCell ref="K358:K359"/>
    <mergeCell ref="A354:A357"/>
    <mergeCell ref="B354:B357"/>
    <mergeCell ref="C354:C357"/>
    <mergeCell ref="D354:D357"/>
    <mergeCell ref="E354:E357"/>
    <mergeCell ref="A358:A359"/>
    <mergeCell ref="B358:B359"/>
    <mergeCell ref="C358:C359"/>
    <mergeCell ref="D358:D359"/>
    <mergeCell ref="E358:E359"/>
  </mergeCells>
  <phoneticPr fontId="15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K154"/>
  <sheetViews>
    <sheetView zoomScale="80" zoomScaleNormal="80" workbookViewId="0">
      <selection activeCell="F5" sqref="F5:F6"/>
    </sheetView>
  </sheetViews>
  <sheetFormatPr baseColWidth="10" defaultColWidth="8.88671875" defaultRowHeight="14.4" x14ac:dyDescent="0.3"/>
  <cols>
    <col min="1" max="1" width="10.5546875" customWidth="1"/>
    <col min="2" max="2" width="10.6640625" customWidth="1"/>
    <col min="3" max="3" width="10.109375" bestFit="1" customWidth="1"/>
    <col min="4" max="4" width="10.6640625" customWidth="1"/>
    <col min="5" max="5" width="12.33203125" bestFit="1" customWidth="1"/>
    <col min="8" max="9" width="0" hidden="1" customWidth="1"/>
    <col min="11" max="11" width="12" bestFit="1" customWidth="1"/>
  </cols>
  <sheetData>
    <row r="1" spans="1:11" ht="33.6" x14ac:dyDescent="0.65">
      <c r="A1" s="104" t="s">
        <v>1153</v>
      </c>
      <c r="D1" s="95"/>
      <c r="E1" s="95"/>
      <c r="F1" s="95"/>
      <c r="G1" s="95"/>
      <c r="H1" s="95"/>
      <c r="I1" s="95"/>
    </row>
    <row r="2" spans="1:11" ht="15" thickBot="1" x14ac:dyDescent="0.35">
      <c r="D2" s="50"/>
      <c r="E2" s="50"/>
      <c r="F2" s="50"/>
      <c r="G2" s="50"/>
    </row>
    <row r="3" spans="1:11" x14ac:dyDescent="0.3">
      <c r="A3" s="1021" t="s">
        <v>1</v>
      </c>
      <c r="B3" s="1022"/>
      <c r="C3" s="1023"/>
      <c r="D3" s="1021" t="s">
        <v>2</v>
      </c>
      <c r="E3" s="1023"/>
      <c r="F3" s="4"/>
      <c r="G3" s="1024" t="s">
        <v>3</v>
      </c>
      <c r="H3" s="5"/>
      <c r="I3" s="5"/>
      <c r="J3" s="915" t="s">
        <v>91</v>
      </c>
      <c r="K3" s="984" t="s">
        <v>92</v>
      </c>
    </row>
    <row r="4" spans="1:11" ht="15" thickBot="1" x14ac:dyDescent="0.35">
      <c r="A4" s="220" t="s">
        <v>5</v>
      </c>
      <c r="B4" s="221" t="s">
        <v>6</v>
      </c>
      <c r="C4" s="222" t="s">
        <v>4</v>
      </c>
      <c r="D4" s="221" t="s">
        <v>7</v>
      </c>
      <c r="E4" s="222" t="s">
        <v>6</v>
      </c>
      <c r="F4" s="17" t="s">
        <v>8</v>
      </c>
      <c r="G4" s="1097"/>
      <c r="H4" s="17" t="s">
        <v>5</v>
      </c>
      <c r="I4" s="17" t="s">
        <v>10</v>
      </c>
      <c r="J4" s="916"/>
      <c r="K4" s="985"/>
    </row>
    <row r="5" spans="1:11" x14ac:dyDescent="0.3">
      <c r="A5" s="871">
        <v>141</v>
      </c>
      <c r="B5" s="873">
        <v>6254</v>
      </c>
      <c r="C5" s="873" t="s">
        <v>1154</v>
      </c>
      <c r="D5" s="873">
        <f>+H5+H6</f>
        <v>139</v>
      </c>
      <c r="E5" s="873">
        <f>+I5+I6</f>
        <v>6069.6</v>
      </c>
      <c r="F5" s="12" t="s">
        <v>1155</v>
      </c>
      <c r="G5" s="12">
        <v>34691</v>
      </c>
      <c r="H5" s="12">
        <v>74</v>
      </c>
      <c r="I5" s="12">
        <v>3313.7</v>
      </c>
      <c r="J5" s="1045">
        <f>+A5-D5</f>
        <v>2</v>
      </c>
      <c r="K5" s="879">
        <f>+((B5/A5)-(E5/D5))/(B5/A5)</f>
        <v>1.5520886776347964E-2</v>
      </c>
    </row>
    <row r="6" spans="1:11" ht="15" thickBot="1" x14ac:dyDescent="0.35">
      <c r="A6" s="872"/>
      <c r="B6" s="874"/>
      <c r="C6" s="874"/>
      <c r="D6" s="874"/>
      <c r="E6" s="874"/>
      <c r="F6" s="10" t="s">
        <v>1156</v>
      </c>
      <c r="G6" s="10">
        <v>34921</v>
      </c>
      <c r="H6" s="10">
        <v>65</v>
      </c>
      <c r="I6" s="10">
        <v>2755.9</v>
      </c>
      <c r="J6" s="1046"/>
      <c r="K6" s="880"/>
    </row>
    <row r="7" spans="1:11" ht="15" thickBot="1" x14ac:dyDescent="0.35">
      <c r="A7" s="199">
        <v>235</v>
      </c>
      <c r="B7" s="10">
        <v>12979.5</v>
      </c>
      <c r="C7" s="10" t="s">
        <v>1157</v>
      </c>
      <c r="D7" s="10">
        <f t="shared" ref="D7:E9" si="0">+H7</f>
        <v>235</v>
      </c>
      <c r="E7" s="10">
        <f t="shared" si="0"/>
        <v>12337.5</v>
      </c>
      <c r="F7" s="10" t="s">
        <v>1158</v>
      </c>
      <c r="G7" s="10">
        <v>34461</v>
      </c>
      <c r="H7" s="10">
        <v>235</v>
      </c>
      <c r="I7" s="126">
        <v>12337.5</v>
      </c>
      <c r="J7" s="219">
        <f>+A7-D7</f>
        <v>0</v>
      </c>
      <c r="K7" s="33">
        <f>(+B7-E7)/B7</f>
        <v>4.9462614122269731E-2</v>
      </c>
    </row>
    <row r="8" spans="1:11" ht="15" thickBot="1" x14ac:dyDescent="0.35">
      <c r="A8" s="175">
        <v>280</v>
      </c>
      <c r="B8" s="8">
        <v>12930.5</v>
      </c>
      <c r="C8" s="8" t="s">
        <v>1159</v>
      </c>
      <c r="D8" s="8">
        <f t="shared" si="0"/>
        <v>280</v>
      </c>
      <c r="E8" s="8">
        <f t="shared" si="0"/>
        <v>12693.1</v>
      </c>
      <c r="F8" s="8" t="s">
        <v>1160</v>
      </c>
      <c r="G8" s="8">
        <v>60171</v>
      </c>
      <c r="H8" s="8">
        <v>280</v>
      </c>
      <c r="I8" s="161">
        <v>12693.1</v>
      </c>
      <c r="J8" s="219">
        <f t="shared" ref="J8:J28" si="1">+A8-D8</f>
        <v>0</v>
      </c>
      <c r="K8" s="33">
        <f>(+B8-E8)/B8</f>
        <v>1.8359692200610931E-2</v>
      </c>
    </row>
    <row r="9" spans="1:11" ht="15" thickBot="1" x14ac:dyDescent="0.35">
      <c r="A9" s="174">
        <v>300</v>
      </c>
      <c r="B9" s="12">
        <v>13984.25</v>
      </c>
      <c r="C9" s="12" t="s">
        <v>1161</v>
      </c>
      <c r="D9" s="12">
        <f t="shared" si="0"/>
        <v>300</v>
      </c>
      <c r="E9" s="12">
        <f t="shared" si="0"/>
        <v>13362.3</v>
      </c>
      <c r="F9" s="12" t="s">
        <v>1162</v>
      </c>
      <c r="G9" s="12">
        <v>60191</v>
      </c>
      <c r="H9" s="12">
        <v>300</v>
      </c>
      <c r="I9" s="191">
        <v>13362.3</v>
      </c>
      <c r="J9" s="219">
        <f t="shared" si="1"/>
        <v>0</v>
      </c>
      <c r="K9" s="33">
        <f>(+B9-E9)/B9</f>
        <v>4.4475034413715482E-2</v>
      </c>
    </row>
    <row r="10" spans="1:11" x14ac:dyDescent="0.3">
      <c r="A10" s="871">
        <v>350</v>
      </c>
      <c r="B10" s="873">
        <v>18790.5</v>
      </c>
      <c r="C10" s="873" t="s">
        <v>1163</v>
      </c>
      <c r="D10" s="873">
        <f>+H10+H11</f>
        <v>350</v>
      </c>
      <c r="E10" s="873">
        <f>+I10+I11</f>
        <v>17691.899999999998</v>
      </c>
      <c r="F10" s="12" t="s">
        <v>1164</v>
      </c>
      <c r="G10" s="12">
        <v>60221</v>
      </c>
      <c r="H10" s="12">
        <v>15</v>
      </c>
      <c r="I10" s="191">
        <v>779.1</v>
      </c>
      <c r="J10" s="1045">
        <f t="shared" si="1"/>
        <v>0</v>
      </c>
      <c r="K10" s="879">
        <f>(+B10-E10)/B10</f>
        <v>5.846571405763562E-2</v>
      </c>
    </row>
    <row r="11" spans="1:11" ht="15" thickBot="1" x14ac:dyDescent="0.35">
      <c r="A11" s="872"/>
      <c r="B11" s="874"/>
      <c r="C11" s="874"/>
      <c r="D11" s="874"/>
      <c r="E11" s="874"/>
      <c r="F11" s="10" t="s">
        <v>1164</v>
      </c>
      <c r="G11" s="10">
        <v>60221</v>
      </c>
      <c r="H11" s="10">
        <v>335</v>
      </c>
      <c r="I11" s="126">
        <v>16912.8</v>
      </c>
      <c r="J11" s="1046"/>
      <c r="K11" s="880" t="e">
        <f>(+B11-E11)/B11</f>
        <v>#DIV/0!</v>
      </c>
    </row>
    <row r="12" spans="1:11" ht="15" thickBot="1" x14ac:dyDescent="0.35">
      <c r="A12" s="175">
        <v>552</v>
      </c>
      <c r="B12" s="8">
        <v>24362.6</v>
      </c>
      <c r="C12" s="8" t="s">
        <v>1165</v>
      </c>
      <c r="D12" s="8">
        <f t="shared" ref="D12:E26" si="2">+H12</f>
        <v>543</v>
      </c>
      <c r="E12" s="8">
        <f t="shared" si="2"/>
        <v>23356.2</v>
      </c>
      <c r="F12" s="8" t="s">
        <v>1166</v>
      </c>
      <c r="G12" s="8">
        <v>60261</v>
      </c>
      <c r="H12" s="8">
        <v>543</v>
      </c>
      <c r="I12" s="161">
        <v>23356.2</v>
      </c>
      <c r="J12" s="219">
        <f t="shared" si="1"/>
        <v>9</v>
      </c>
      <c r="K12" s="138">
        <f>+((B12/A12)-(E12/D12))/(B12/A12)</f>
        <v>2.5419317436703122E-2</v>
      </c>
    </row>
    <row r="13" spans="1:11" ht="15" thickBot="1" x14ac:dyDescent="0.35">
      <c r="A13" s="175">
        <v>375</v>
      </c>
      <c r="B13" s="8">
        <v>16426.25</v>
      </c>
      <c r="C13" s="8" t="s">
        <v>1196</v>
      </c>
      <c r="D13" s="8">
        <f t="shared" si="2"/>
        <v>375</v>
      </c>
      <c r="E13" s="8">
        <f t="shared" si="2"/>
        <v>16005.7</v>
      </c>
      <c r="F13" s="8" t="s">
        <v>1197</v>
      </c>
      <c r="G13" s="8">
        <v>60281</v>
      </c>
      <c r="H13" s="8">
        <v>375</v>
      </c>
      <c r="I13" s="161">
        <v>16005.7</v>
      </c>
      <c r="J13" s="219">
        <f t="shared" si="1"/>
        <v>0</v>
      </c>
      <c r="K13" s="33">
        <f t="shared" ref="K13:K28" si="3">(+B13-E13)/B13</f>
        <v>2.5602313370367509E-2</v>
      </c>
    </row>
    <row r="14" spans="1:11" ht="15" thickBot="1" x14ac:dyDescent="0.35">
      <c r="A14" s="175">
        <v>123</v>
      </c>
      <c r="B14" s="8">
        <v>5610</v>
      </c>
      <c r="C14" s="8" t="s">
        <v>1198</v>
      </c>
      <c r="D14" s="8">
        <f t="shared" si="2"/>
        <v>123</v>
      </c>
      <c r="E14" s="8">
        <f t="shared" si="2"/>
        <v>5453.9</v>
      </c>
      <c r="F14" s="8" t="s">
        <v>1199</v>
      </c>
      <c r="G14" s="8">
        <v>60301</v>
      </c>
      <c r="H14" s="8">
        <v>123</v>
      </c>
      <c r="I14" s="161">
        <v>5453.9</v>
      </c>
      <c r="J14" s="219">
        <f t="shared" si="1"/>
        <v>0</v>
      </c>
      <c r="K14" s="33">
        <f t="shared" si="3"/>
        <v>2.7825311942959067E-2</v>
      </c>
    </row>
    <row r="15" spans="1:11" ht="15" thickBot="1" x14ac:dyDescent="0.35">
      <c r="A15" s="175">
        <v>298</v>
      </c>
      <c r="B15" s="8">
        <v>13440.75</v>
      </c>
      <c r="C15" s="8" t="s">
        <v>1200</v>
      </c>
      <c r="D15" s="8">
        <f t="shared" si="2"/>
        <v>298</v>
      </c>
      <c r="E15" s="8">
        <f t="shared" si="2"/>
        <v>12935.4</v>
      </c>
      <c r="F15" s="8" t="s">
        <v>1201</v>
      </c>
      <c r="G15" s="8">
        <v>60311</v>
      </c>
      <c r="H15" s="8">
        <v>298</v>
      </c>
      <c r="I15" s="161">
        <v>12935.4</v>
      </c>
      <c r="J15" s="219">
        <f t="shared" si="1"/>
        <v>0</v>
      </c>
      <c r="K15" s="33">
        <f t="shared" si="3"/>
        <v>3.7598348306456142E-2</v>
      </c>
    </row>
    <row r="16" spans="1:11" ht="15" thickBot="1" x14ac:dyDescent="0.35">
      <c r="A16" s="175">
        <v>193</v>
      </c>
      <c r="B16" s="8">
        <v>8428</v>
      </c>
      <c r="C16" s="8" t="s">
        <v>1202</v>
      </c>
      <c r="D16" s="8">
        <f t="shared" si="2"/>
        <v>192</v>
      </c>
      <c r="E16" s="8">
        <f t="shared" si="2"/>
        <v>8146.3</v>
      </c>
      <c r="F16" s="8" t="s">
        <v>1203</v>
      </c>
      <c r="G16" s="8">
        <v>60321</v>
      </c>
      <c r="H16" s="8">
        <v>192</v>
      </c>
      <c r="I16" s="161">
        <v>8146.3</v>
      </c>
      <c r="J16" s="219">
        <f t="shared" si="1"/>
        <v>1</v>
      </c>
      <c r="K16" s="138">
        <f>+((B16/A16)-(E16/D16))/(B16/A16)</f>
        <v>2.8390051514791917E-2</v>
      </c>
    </row>
    <row r="17" spans="1:11" ht="15" thickBot="1" x14ac:dyDescent="0.35">
      <c r="A17" s="175">
        <v>145</v>
      </c>
      <c r="B17" s="8">
        <v>6429.25</v>
      </c>
      <c r="C17" s="8" t="s">
        <v>1257</v>
      </c>
      <c r="D17" s="8">
        <f t="shared" si="2"/>
        <v>145</v>
      </c>
      <c r="E17" s="8">
        <f t="shared" si="2"/>
        <v>6223.2</v>
      </c>
      <c r="F17" s="8" t="s">
        <v>1258</v>
      </c>
      <c r="G17" s="8">
        <v>60331</v>
      </c>
      <c r="H17" s="8">
        <v>145</v>
      </c>
      <c r="I17" s="161">
        <v>6223.2</v>
      </c>
      <c r="J17" s="219">
        <f t="shared" si="1"/>
        <v>0</v>
      </c>
      <c r="K17" s="33">
        <f t="shared" si="3"/>
        <v>3.2048839289186171E-2</v>
      </c>
    </row>
    <row r="18" spans="1:11" ht="15" thickBot="1" x14ac:dyDescent="0.35">
      <c r="A18" s="175">
        <v>143</v>
      </c>
      <c r="B18" s="8">
        <v>6373.5</v>
      </c>
      <c r="C18" s="8" t="s">
        <v>1259</v>
      </c>
      <c r="D18" s="8">
        <f t="shared" si="2"/>
        <v>143</v>
      </c>
      <c r="E18" s="8">
        <f t="shared" si="2"/>
        <v>6221.2</v>
      </c>
      <c r="F18" s="8" t="s">
        <v>1260</v>
      </c>
      <c r="G18" s="8">
        <v>60341</v>
      </c>
      <c r="H18" s="8">
        <v>143</v>
      </c>
      <c r="I18" s="161">
        <v>6221.2</v>
      </c>
      <c r="J18" s="219">
        <f t="shared" si="1"/>
        <v>0</v>
      </c>
      <c r="K18" s="33">
        <f t="shared" si="3"/>
        <v>2.3895818623989987E-2</v>
      </c>
    </row>
    <row r="19" spans="1:11" ht="15" thickBot="1" x14ac:dyDescent="0.35">
      <c r="A19" s="175">
        <v>415</v>
      </c>
      <c r="B19" s="8">
        <v>18812.5</v>
      </c>
      <c r="C19" s="8" t="s">
        <v>1261</v>
      </c>
      <c r="D19" s="8">
        <f t="shared" si="2"/>
        <v>414</v>
      </c>
      <c r="E19" s="8">
        <f t="shared" si="2"/>
        <v>18274.8</v>
      </c>
      <c r="F19" s="8" t="s">
        <v>1262</v>
      </c>
      <c r="G19" s="8">
        <v>60381</v>
      </c>
      <c r="H19" s="8">
        <v>414</v>
      </c>
      <c r="I19" s="161">
        <v>18274.8</v>
      </c>
      <c r="J19" s="219">
        <f t="shared" si="1"/>
        <v>1</v>
      </c>
      <c r="K19" s="138">
        <f>+((B19/A19)-(E19/D19))/(B19/A19)</f>
        <v>2.623563965525548E-2</v>
      </c>
    </row>
    <row r="20" spans="1:11" ht="15" thickBot="1" x14ac:dyDescent="0.35">
      <c r="A20" s="175">
        <v>207</v>
      </c>
      <c r="B20" s="8">
        <v>10453.5</v>
      </c>
      <c r="C20" s="8" t="s">
        <v>1263</v>
      </c>
      <c r="D20" s="8">
        <f t="shared" si="2"/>
        <v>207</v>
      </c>
      <c r="E20" s="8">
        <f t="shared" si="2"/>
        <v>9934.6</v>
      </c>
      <c r="F20" s="8" t="s">
        <v>1264</v>
      </c>
      <c r="G20" s="8">
        <v>60401</v>
      </c>
      <c r="H20" s="8">
        <v>207</v>
      </c>
      <c r="I20" s="161">
        <v>9934.6</v>
      </c>
      <c r="J20" s="219">
        <f t="shared" si="1"/>
        <v>0</v>
      </c>
      <c r="K20" s="33">
        <f t="shared" si="3"/>
        <v>4.963887693117134E-2</v>
      </c>
    </row>
    <row r="21" spans="1:11" ht="15" thickBot="1" x14ac:dyDescent="0.35">
      <c r="A21" s="175">
        <v>304</v>
      </c>
      <c r="B21" s="8">
        <v>13532.75</v>
      </c>
      <c r="C21" s="8" t="s">
        <v>1387</v>
      </c>
      <c r="D21" s="8">
        <f>+H21</f>
        <v>304</v>
      </c>
      <c r="E21" s="8">
        <f>+I21</f>
        <v>13037.1</v>
      </c>
      <c r="F21" s="8" t="s">
        <v>1388</v>
      </c>
      <c r="G21" s="8">
        <v>60421</v>
      </c>
      <c r="H21" s="8">
        <v>304</v>
      </c>
      <c r="I21" s="161">
        <v>13037.1</v>
      </c>
      <c r="J21" s="219">
        <f t="shared" si="1"/>
        <v>0</v>
      </c>
      <c r="K21" s="33">
        <f t="shared" si="3"/>
        <v>3.6625962941752389E-2</v>
      </c>
    </row>
    <row r="22" spans="1:11" ht="15" thickBot="1" x14ac:dyDescent="0.35">
      <c r="A22" s="175">
        <v>790</v>
      </c>
      <c r="B22" s="8">
        <v>35046.5</v>
      </c>
      <c r="C22" s="8" t="s">
        <v>1265</v>
      </c>
      <c r="D22" s="8">
        <f t="shared" si="2"/>
        <v>790</v>
      </c>
      <c r="E22" s="8">
        <f t="shared" si="2"/>
        <v>33941</v>
      </c>
      <c r="F22" s="8" t="s">
        <v>1266</v>
      </c>
      <c r="G22" s="8">
        <v>60431</v>
      </c>
      <c r="H22" s="8">
        <v>790</v>
      </c>
      <c r="I22" s="161">
        <v>33941</v>
      </c>
      <c r="J22" s="219">
        <f t="shared" si="1"/>
        <v>0</v>
      </c>
      <c r="K22" s="33">
        <f t="shared" si="3"/>
        <v>3.1543806086199763E-2</v>
      </c>
    </row>
    <row r="23" spans="1:11" ht="15" thickBot="1" x14ac:dyDescent="0.35">
      <c r="A23" s="175">
        <v>871</v>
      </c>
      <c r="B23" s="8">
        <v>43211.5</v>
      </c>
      <c r="C23" s="8" t="s">
        <v>1350</v>
      </c>
      <c r="D23" s="8">
        <f t="shared" si="2"/>
        <v>871</v>
      </c>
      <c r="E23" s="8">
        <f t="shared" si="2"/>
        <v>40966.6</v>
      </c>
      <c r="F23" s="8" t="s">
        <v>1351</v>
      </c>
      <c r="G23" s="8">
        <v>60471</v>
      </c>
      <c r="H23" s="8">
        <v>871</v>
      </c>
      <c r="I23" s="161">
        <v>40966.6</v>
      </c>
      <c r="J23" s="219">
        <f t="shared" si="1"/>
        <v>0</v>
      </c>
      <c r="K23" s="33">
        <f t="shared" si="3"/>
        <v>5.1951448109878194E-2</v>
      </c>
    </row>
    <row r="24" spans="1:11" ht="15" thickBot="1" x14ac:dyDescent="0.35">
      <c r="A24" s="175">
        <v>326</v>
      </c>
      <c r="B24" s="8">
        <v>14713.25</v>
      </c>
      <c r="C24" s="8" t="s">
        <v>1352</v>
      </c>
      <c r="D24" s="8">
        <v>326</v>
      </c>
      <c r="E24" s="8">
        <v>14319.2</v>
      </c>
      <c r="F24" s="8" t="s">
        <v>1353</v>
      </c>
      <c r="G24" s="8">
        <v>60481</v>
      </c>
      <c r="H24" s="8">
        <v>126</v>
      </c>
      <c r="I24" s="161">
        <v>5613.8</v>
      </c>
      <c r="J24" s="219">
        <f t="shared" si="1"/>
        <v>0</v>
      </c>
      <c r="K24" s="138">
        <f>+((B24/A24)-(E24/D24))/(B24/A24)</f>
        <v>2.6781982226904276E-2</v>
      </c>
    </row>
    <row r="25" spans="1:11" ht="15" thickBot="1" x14ac:dyDescent="0.35">
      <c r="A25" s="175">
        <v>320</v>
      </c>
      <c r="B25" s="8">
        <v>14159.25</v>
      </c>
      <c r="C25" s="8" t="s">
        <v>1354</v>
      </c>
      <c r="D25" s="8">
        <f t="shared" si="2"/>
        <v>320</v>
      </c>
      <c r="E25" s="8">
        <f t="shared" si="2"/>
        <v>13736.2</v>
      </c>
      <c r="F25" s="8" t="s">
        <v>1355</v>
      </c>
      <c r="G25" s="8">
        <v>60531</v>
      </c>
      <c r="H25" s="8">
        <v>320</v>
      </c>
      <c r="I25" s="161">
        <v>13736.2</v>
      </c>
      <c r="J25" s="219">
        <f t="shared" si="1"/>
        <v>0</v>
      </c>
      <c r="K25" s="33">
        <f t="shared" si="3"/>
        <v>2.9877994950297457E-2</v>
      </c>
    </row>
    <row r="26" spans="1:11" ht="15" thickBot="1" x14ac:dyDescent="0.35">
      <c r="A26" s="175">
        <v>781</v>
      </c>
      <c r="B26" s="8">
        <v>34661</v>
      </c>
      <c r="C26" s="8" t="s">
        <v>1356</v>
      </c>
      <c r="D26" s="8">
        <f t="shared" si="2"/>
        <v>781</v>
      </c>
      <c r="E26" s="8">
        <f t="shared" si="2"/>
        <v>33826.799999999996</v>
      </c>
      <c r="F26" s="8" t="s">
        <v>1357</v>
      </c>
      <c r="G26" s="8">
        <v>60541</v>
      </c>
      <c r="H26" s="8">
        <v>781</v>
      </c>
      <c r="I26" s="161">
        <v>33826.799999999996</v>
      </c>
      <c r="J26" s="219">
        <f t="shared" si="1"/>
        <v>0</v>
      </c>
      <c r="K26" s="33">
        <f t="shared" si="3"/>
        <v>2.406739563197843E-2</v>
      </c>
    </row>
    <row r="27" spans="1:11" ht="15" thickBot="1" x14ac:dyDescent="0.35">
      <c r="A27" s="175">
        <v>310</v>
      </c>
      <c r="B27" s="8">
        <v>13814.5</v>
      </c>
      <c r="C27" s="8" t="s">
        <v>1370</v>
      </c>
      <c r="D27" s="8">
        <v>310</v>
      </c>
      <c r="E27" s="8">
        <v>13407.5</v>
      </c>
      <c r="F27" s="8" t="s">
        <v>1371</v>
      </c>
      <c r="G27" s="8">
        <v>60571</v>
      </c>
      <c r="H27" s="8">
        <f>+D27</f>
        <v>310</v>
      </c>
      <c r="I27" s="8">
        <f>+E27</f>
        <v>13407.5</v>
      </c>
      <c r="J27" s="219">
        <f t="shared" si="1"/>
        <v>0</v>
      </c>
      <c r="K27" s="33">
        <f t="shared" si="3"/>
        <v>2.9461797386803722E-2</v>
      </c>
    </row>
    <row r="28" spans="1:11" ht="15" thickBot="1" x14ac:dyDescent="0.35">
      <c r="A28" s="175">
        <v>314</v>
      </c>
      <c r="B28" s="8">
        <v>13753</v>
      </c>
      <c r="C28" s="8" t="s">
        <v>1372</v>
      </c>
      <c r="D28" s="8">
        <v>314</v>
      </c>
      <c r="E28" s="8">
        <v>13271</v>
      </c>
      <c r="F28" s="8" t="s">
        <v>1369</v>
      </c>
      <c r="G28" s="8">
        <v>60581</v>
      </c>
      <c r="H28" s="8">
        <f>+D28</f>
        <v>314</v>
      </c>
      <c r="I28" s="8">
        <f>+E28</f>
        <v>13271</v>
      </c>
      <c r="J28" s="219">
        <f t="shared" si="1"/>
        <v>0</v>
      </c>
      <c r="K28" s="33">
        <f t="shared" si="3"/>
        <v>3.5046898858430889E-2</v>
      </c>
    </row>
    <row r="29" spans="1:11" ht="15" thickBot="1" x14ac:dyDescent="0.35">
      <c r="A29" s="175">
        <v>561</v>
      </c>
      <c r="B29" s="8">
        <v>24568.25</v>
      </c>
      <c r="C29" s="8" t="s">
        <v>1464</v>
      </c>
      <c r="D29" s="8">
        <f>+H29</f>
        <v>562</v>
      </c>
      <c r="E29" s="8">
        <f>+I29</f>
        <v>23823.5</v>
      </c>
      <c r="F29" s="8" t="s">
        <v>1465</v>
      </c>
      <c r="G29" s="8">
        <v>60621</v>
      </c>
      <c r="H29" s="8">
        <v>562</v>
      </c>
      <c r="I29" s="8">
        <v>23823.5</v>
      </c>
      <c r="J29" s="219">
        <f t="shared" ref="J29:J36" si="4">+A29-D29</f>
        <v>-1</v>
      </c>
      <c r="K29" s="138">
        <f t="shared" ref="K29:K34" si="5">+((B29/A29)-(E29/D29))/(B29/A29)</f>
        <v>3.2038935186471169E-2</v>
      </c>
    </row>
    <row r="30" spans="1:11" ht="15" thickBot="1" x14ac:dyDescent="0.35">
      <c r="A30" s="175">
        <v>134</v>
      </c>
      <c r="B30" s="8">
        <v>6035.75</v>
      </c>
      <c r="C30" s="8" t="s">
        <v>1466</v>
      </c>
      <c r="D30" s="8">
        <f>+H30</f>
        <v>133</v>
      </c>
      <c r="E30" s="8">
        <f>+I30</f>
        <v>5783.7</v>
      </c>
      <c r="F30" s="8" t="s">
        <v>1467</v>
      </c>
      <c r="G30" s="8">
        <v>60631</v>
      </c>
      <c r="H30" s="8">
        <v>133</v>
      </c>
      <c r="I30" s="8">
        <v>5783.7</v>
      </c>
      <c r="J30" s="219">
        <f t="shared" si="4"/>
        <v>1</v>
      </c>
      <c r="K30" s="138">
        <f t="shared" si="5"/>
        <v>3.4554700548330659E-2</v>
      </c>
    </row>
    <row r="31" spans="1:11" x14ac:dyDescent="0.3">
      <c r="A31" s="871">
        <v>1155</v>
      </c>
      <c r="B31" s="873">
        <v>51902.5</v>
      </c>
      <c r="C31" s="873" t="s">
        <v>1760</v>
      </c>
      <c r="D31" s="873">
        <f>+H31+H32+H33</f>
        <v>1175</v>
      </c>
      <c r="E31" s="873">
        <f>+I31+I32+I33</f>
        <v>50797.4</v>
      </c>
      <c r="F31" s="12" t="s">
        <v>1761</v>
      </c>
      <c r="G31" s="12">
        <v>60681</v>
      </c>
      <c r="H31" s="12">
        <v>284</v>
      </c>
      <c r="I31" s="12">
        <v>12325.5</v>
      </c>
      <c r="J31" s="1045">
        <f>+A31-D31</f>
        <v>-20</v>
      </c>
      <c r="K31" s="879">
        <f t="shared" si="5"/>
        <v>3.7950707494719647E-2</v>
      </c>
    </row>
    <row r="32" spans="1:11" x14ac:dyDescent="0.3">
      <c r="A32" s="875"/>
      <c r="B32" s="881"/>
      <c r="C32" s="881"/>
      <c r="D32" s="881"/>
      <c r="E32" s="881"/>
      <c r="F32" s="15" t="s">
        <v>1761</v>
      </c>
      <c r="G32" s="15">
        <v>60681</v>
      </c>
      <c r="H32" s="15">
        <v>400</v>
      </c>
      <c r="I32" s="15">
        <v>17373.2</v>
      </c>
      <c r="J32" s="1047"/>
      <c r="K32" s="885"/>
    </row>
    <row r="33" spans="1:11" ht="15" thickBot="1" x14ac:dyDescent="0.35">
      <c r="A33" s="872"/>
      <c r="B33" s="874"/>
      <c r="C33" s="874"/>
      <c r="D33" s="874"/>
      <c r="E33" s="874"/>
      <c r="F33" s="10" t="s">
        <v>1761</v>
      </c>
      <c r="G33" s="10">
        <v>60681</v>
      </c>
      <c r="H33" s="10">
        <v>491</v>
      </c>
      <c r="I33" s="10">
        <v>21098.7</v>
      </c>
      <c r="J33" s="1046"/>
      <c r="K33" s="880"/>
    </row>
    <row r="34" spans="1:11" ht="15" thickBot="1" x14ac:dyDescent="0.35">
      <c r="A34" s="175">
        <v>300</v>
      </c>
      <c r="B34" s="8">
        <v>14572.5</v>
      </c>
      <c r="C34" s="8" t="s">
        <v>1553</v>
      </c>
      <c r="D34" s="8">
        <f t="shared" ref="D34:E36" si="6">+H34</f>
        <v>298</v>
      </c>
      <c r="E34" s="8">
        <f t="shared" si="6"/>
        <v>14227.7</v>
      </c>
      <c r="F34" s="8" t="s">
        <v>1554</v>
      </c>
      <c r="G34" s="8">
        <v>60751</v>
      </c>
      <c r="H34" s="8">
        <v>298</v>
      </c>
      <c r="I34" s="8">
        <v>14227.7</v>
      </c>
      <c r="J34" s="219">
        <f t="shared" si="4"/>
        <v>2</v>
      </c>
      <c r="K34" s="138">
        <f t="shared" si="5"/>
        <v>1.7108394615674254E-2</v>
      </c>
    </row>
    <row r="35" spans="1:11" ht="15" thickBot="1" x14ac:dyDescent="0.35">
      <c r="A35" s="175">
        <v>347</v>
      </c>
      <c r="B35" s="8">
        <v>19306.75</v>
      </c>
      <c r="C35" s="8" t="s">
        <v>1555</v>
      </c>
      <c r="D35" s="8">
        <f>+H35</f>
        <v>347</v>
      </c>
      <c r="E35" s="8">
        <f>+I35</f>
        <v>17693.400000000001</v>
      </c>
      <c r="F35" s="8" t="s">
        <v>1556</v>
      </c>
      <c r="G35" s="8">
        <v>60821</v>
      </c>
      <c r="H35" s="8">
        <v>347</v>
      </c>
      <c r="I35" s="8">
        <v>17693.400000000001</v>
      </c>
      <c r="J35" s="219">
        <f t="shared" si="4"/>
        <v>0</v>
      </c>
      <c r="K35" s="33">
        <f t="shared" ref="K35:K37" si="7">(+B35-E35)/B35</f>
        <v>8.3564038483949832E-2</v>
      </c>
    </row>
    <row r="36" spans="1:11" ht="15" thickBot="1" x14ac:dyDescent="0.35">
      <c r="A36" s="175">
        <v>343</v>
      </c>
      <c r="B36" s="8">
        <v>18710.75</v>
      </c>
      <c r="C36" s="8" t="s">
        <v>1557</v>
      </c>
      <c r="D36" s="8">
        <f t="shared" si="6"/>
        <v>343</v>
      </c>
      <c r="E36" s="8">
        <f t="shared" si="6"/>
        <v>17349.7</v>
      </c>
      <c r="F36" s="8" t="s">
        <v>1558</v>
      </c>
      <c r="G36" s="8">
        <v>60921</v>
      </c>
      <c r="H36" s="8">
        <v>343</v>
      </c>
      <c r="I36" s="8">
        <v>17349.7</v>
      </c>
      <c r="J36" s="219">
        <f t="shared" si="4"/>
        <v>0</v>
      </c>
      <c r="K36" s="33">
        <f t="shared" si="7"/>
        <v>7.274160576139381E-2</v>
      </c>
    </row>
    <row r="37" spans="1:11" ht="15" thickBot="1" x14ac:dyDescent="0.35">
      <c r="A37" s="175">
        <v>750</v>
      </c>
      <c r="B37" s="8">
        <v>32460.400000000001</v>
      </c>
      <c r="C37" s="8" t="s">
        <v>1743</v>
      </c>
      <c r="D37" s="8">
        <v>750</v>
      </c>
      <c r="E37" s="8">
        <v>30399.8</v>
      </c>
      <c r="F37" s="8" t="s">
        <v>1744</v>
      </c>
      <c r="G37" s="8">
        <v>60961</v>
      </c>
      <c r="H37" s="8">
        <v>600</v>
      </c>
      <c r="I37" s="8">
        <v>24554</v>
      </c>
      <c r="J37" s="219">
        <f t="shared" ref="J37" si="8">+A37-D37</f>
        <v>0</v>
      </c>
      <c r="K37" s="33">
        <f t="shared" si="7"/>
        <v>6.3480425379847508E-2</v>
      </c>
    </row>
    <row r="38" spans="1:11" x14ac:dyDescent="0.3">
      <c r="A38" s="871">
        <v>1620</v>
      </c>
      <c r="B38" s="873">
        <v>82277.25</v>
      </c>
      <c r="C38" s="873" t="s">
        <v>1846</v>
      </c>
      <c r="D38" s="873">
        <f>+H38+H39+H40</f>
        <v>1621</v>
      </c>
      <c r="E38" s="873">
        <f>+I38+I39+I40</f>
        <v>77519.400000000009</v>
      </c>
      <c r="F38" s="873" t="s">
        <v>1847</v>
      </c>
      <c r="G38" s="873">
        <v>61061</v>
      </c>
      <c r="H38" s="12">
        <v>400</v>
      </c>
      <c r="I38" s="12">
        <v>18765.2</v>
      </c>
      <c r="J38" s="1045">
        <f>+A38-D38</f>
        <v>-1</v>
      </c>
      <c r="K38" s="879">
        <f t="shared" ref="K38" si="9">+((B38/A38)-(E38/D38))/(B38/A38)</f>
        <v>5.84082715665874E-2</v>
      </c>
    </row>
    <row r="39" spans="1:11" x14ac:dyDescent="0.3">
      <c r="A39" s="875"/>
      <c r="B39" s="881"/>
      <c r="C39" s="881"/>
      <c r="D39" s="881"/>
      <c r="E39" s="881"/>
      <c r="F39" s="881"/>
      <c r="G39" s="881"/>
      <c r="H39" s="15">
        <v>200</v>
      </c>
      <c r="I39" s="15">
        <v>9715.7999999999993</v>
      </c>
      <c r="J39" s="1047"/>
      <c r="K39" s="885"/>
    </row>
    <row r="40" spans="1:11" ht="15" thickBot="1" x14ac:dyDescent="0.35">
      <c r="A40" s="872"/>
      <c r="B40" s="874"/>
      <c r="C40" s="874"/>
      <c r="D40" s="874"/>
      <c r="E40" s="874"/>
      <c r="F40" s="874"/>
      <c r="G40" s="874"/>
      <c r="H40" s="10">
        <v>1021</v>
      </c>
      <c r="I40" s="10">
        <v>49038.400000000009</v>
      </c>
      <c r="J40" s="1046"/>
      <c r="K40" s="880"/>
    </row>
    <row r="41" spans="1:11" x14ac:dyDescent="0.3">
      <c r="A41" s="871">
        <v>1104</v>
      </c>
      <c r="B41" s="873">
        <v>53441.75</v>
      </c>
      <c r="C41" s="873" t="s">
        <v>1896</v>
      </c>
      <c r="D41" s="873">
        <f>+H41+H42</f>
        <v>1104</v>
      </c>
      <c r="E41" s="873">
        <f>+I41+I42</f>
        <v>50350.1</v>
      </c>
      <c r="F41" s="12" t="s">
        <v>1897</v>
      </c>
      <c r="G41" s="12">
        <v>61181</v>
      </c>
      <c r="H41" s="12">
        <v>378</v>
      </c>
      <c r="I41" s="12">
        <v>17599</v>
      </c>
      <c r="J41" s="1045">
        <f t="shared" ref="J41:J44" si="10">+A41-D41</f>
        <v>0</v>
      </c>
      <c r="K41" s="879">
        <f>(+B41-E41)/B41</f>
        <v>5.7850837594203064E-2</v>
      </c>
    </row>
    <row r="42" spans="1:11" ht="15" thickBot="1" x14ac:dyDescent="0.35">
      <c r="A42" s="872"/>
      <c r="B42" s="874"/>
      <c r="C42" s="874"/>
      <c r="D42" s="874"/>
      <c r="E42" s="874"/>
      <c r="F42" s="10" t="s">
        <v>1897</v>
      </c>
      <c r="G42" s="10">
        <v>61181</v>
      </c>
      <c r="H42" s="10">
        <v>726</v>
      </c>
      <c r="I42" s="10">
        <v>32751.1</v>
      </c>
      <c r="J42" s="1046"/>
      <c r="K42" s="880" t="e">
        <f>(+B42-E42)/B42</f>
        <v>#DIV/0!</v>
      </c>
    </row>
    <row r="43" spans="1:11" ht="15" thickBot="1" x14ac:dyDescent="0.35">
      <c r="A43" s="175">
        <v>29</v>
      </c>
      <c r="B43" s="8">
        <v>959.3</v>
      </c>
      <c r="C43" s="8" t="s">
        <v>1987</v>
      </c>
      <c r="D43" s="8">
        <f>+H43</f>
        <v>29</v>
      </c>
      <c r="E43" s="8">
        <f>+I43</f>
        <v>964.3</v>
      </c>
      <c r="F43" s="8" t="s">
        <v>1988</v>
      </c>
      <c r="G43" s="8">
        <v>61221</v>
      </c>
      <c r="H43" s="8">
        <v>29</v>
      </c>
      <c r="I43" s="8">
        <v>964.3</v>
      </c>
      <c r="J43" s="219">
        <f t="shared" ref="J43" si="11">+A43-D43</f>
        <v>0</v>
      </c>
      <c r="K43" s="33">
        <f t="shared" ref="K43" si="12">(+B43-E43)/B43</f>
        <v>-5.2121338475972067E-3</v>
      </c>
    </row>
    <row r="44" spans="1:11" x14ac:dyDescent="0.3">
      <c r="A44" s="871">
        <v>1914</v>
      </c>
      <c r="B44" s="873">
        <v>83196.800000000003</v>
      </c>
      <c r="C44" s="873" t="s">
        <v>1941</v>
      </c>
      <c r="D44" s="873">
        <v>1914</v>
      </c>
      <c r="E44" s="873">
        <v>79219.899999999994</v>
      </c>
      <c r="F44" s="12" t="s">
        <v>1942</v>
      </c>
      <c r="G44" s="12">
        <v>61291</v>
      </c>
      <c r="H44" s="12">
        <v>1000</v>
      </c>
      <c r="I44" s="12">
        <v>41620.699999999997</v>
      </c>
      <c r="J44" s="1045">
        <f t="shared" si="10"/>
        <v>0</v>
      </c>
      <c r="K44" s="879">
        <f>(+B44-E44)/B44</f>
        <v>4.7801117350667437E-2</v>
      </c>
    </row>
    <row r="45" spans="1:11" ht="15" thickBot="1" x14ac:dyDescent="0.35">
      <c r="A45" s="872"/>
      <c r="B45" s="874"/>
      <c r="C45" s="874"/>
      <c r="D45" s="874"/>
      <c r="E45" s="874"/>
      <c r="F45" s="10" t="s">
        <v>1942</v>
      </c>
      <c r="G45" s="10">
        <v>61291</v>
      </c>
      <c r="H45" s="10">
        <v>400</v>
      </c>
      <c r="I45" s="10">
        <v>16621.800000000003</v>
      </c>
      <c r="J45" s="1046"/>
      <c r="K45" s="880" t="e">
        <f>(+B45-E45)/B45</f>
        <v>#DIV/0!</v>
      </c>
    </row>
    <row r="46" spans="1:11" ht="15" thickBot="1" x14ac:dyDescent="0.35">
      <c r="A46" s="175">
        <v>889</v>
      </c>
      <c r="B46" s="8">
        <v>41497.9</v>
      </c>
      <c r="C46" s="8" t="s">
        <v>1989</v>
      </c>
      <c r="D46" s="8">
        <v>889</v>
      </c>
      <c r="E46" s="8">
        <v>39898.9</v>
      </c>
      <c r="F46" s="8" t="s">
        <v>1990</v>
      </c>
      <c r="G46" s="8">
        <v>61321</v>
      </c>
      <c r="H46" s="8">
        <v>389</v>
      </c>
      <c r="I46" s="8">
        <v>17237.7</v>
      </c>
      <c r="J46" s="219">
        <f t="shared" ref="J46:J47" si="13">+A46-D46</f>
        <v>0</v>
      </c>
      <c r="K46" s="33">
        <f t="shared" ref="K46" si="14">(+B46-E46)/B46</f>
        <v>3.8532070297533125E-2</v>
      </c>
    </row>
    <row r="47" spans="1:11" ht="15" thickBot="1" x14ac:dyDescent="0.35">
      <c r="A47" s="175">
        <v>500</v>
      </c>
      <c r="B47" s="8">
        <v>21295.3</v>
      </c>
      <c r="C47" s="8" t="s">
        <v>2110</v>
      </c>
      <c r="D47" s="8">
        <f t="shared" ref="D47:E47" si="15">+H47</f>
        <v>513</v>
      </c>
      <c r="E47" s="8">
        <f t="shared" si="15"/>
        <v>20088.7</v>
      </c>
      <c r="F47" s="8" t="s">
        <v>2111</v>
      </c>
      <c r="G47" s="8">
        <v>61401</v>
      </c>
      <c r="H47" s="8">
        <v>513</v>
      </c>
      <c r="I47" s="8">
        <v>20088.7</v>
      </c>
      <c r="J47" s="219">
        <f t="shared" si="13"/>
        <v>-13</v>
      </c>
      <c r="K47" s="138">
        <f t="shared" ref="K47:K48" si="16">+((B47/A47)-(E47/D47))/(B47/A47)</f>
        <v>8.0565682116259071E-2</v>
      </c>
    </row>
    <row r="48" spans="1:11" x14ac:dyDescent="0.3">
      <c r="A48" s="871">
        <v>1000</v>
      </c>
      <c r="B48" s="873">
        <v>43127.4</v>
      </c>
      <c r="C48" s="873" t="s">
        <v>2112</v>
      </c>
      <c r="D48" s="873">
        <f>+H48+H50+H49</f>
        <v>997</v>
      </c>
      <c r="E48" s="873">
        <f>+I48+I50+I49</f>
        <v>40912.6</v>
      </c>
      <c r="F48" s="12" t="s">
        <v>2113</v>
      </c>
      <c r="G48" s="12">
        <v>61451</v>
      </c>
      <c r="H48" s="12">
        <v>597</v>
      </c>
      <c r="I48" s="12">
        <v>24464.1</v>
      </c>
      <c r="J48" s="1045">
        <f>+A48-D48</f>
        <v>3</v>
      </c>
      <c r="K48" s="879">
        <f t="shared" si="16"/>
        <v>4.8500324124243772E-2</v>
      </c>
    </row>
    <row r="49" spans="1:11" x14ac:dyDescent="0.3">
      <c r="A49" s="875"/>
      <c r="B49" s="881"/>
      <c r="C49" s="881"/>
      <c r="D49" s="881"/>
      <c r="E49" s="881"/>
      <c r="F49" s="15" t="s">
        <v>2113</v>
      </c>
      <c r="G49" s="15">
        <v>61451</v>
      </c>
      <c r="H49" s="15">
        <v>100</v>
      </c>
      <c r="I49" s="15">
        <v>4097.8999999999996</v>
      </c>
      <c r="J49" s="1047"/>
      <c r="K49" s="885"/>
    </row>
    <row r="50" spans="1:11" ht="15" thickBot="1" x14ac:dyDescent="0.35">
      <c r="A50" s="872"/>
      <c r="B50" s="874"/>
      <c r="C50" s="874"/>
      <c r="D50" s="874"/>
      <c r="E50" s="874"/>
      <c r="F50" s="10" t="s">
        <v>2113</v>
      </c>
      <c r="G50" s="10">
        <v>61451</v>
      </c>
      <c r="H50" s="10">
        <v>300</v>
      </c>
      <c r="I50" s="10">
        <v>12350.6</v>
      </c>
      <c r="J50" s="1046"/>
      <c r="K50" s="880"/>
    </row>
    <row r="51" spans="1:11" x14ac:dyDescent="0.3">
      <c r="A51" s="871">
        <v>914</v>
      </c>
      <c r="B51" s="873">
        <v>40550.1</v>
      </c>
      <c r="C51" s="873" t="s">
        <v>2114</v>
      </c>
      <c r="D51" s="873">
        <f>+H51+H52</f>
        <v>914</v>
      </c>
      <c r="E51" s="873">
        <f>+I51+I52</f>
        <v>38915.199999999997</v>
      </c>
      <c r="F51" s="12" t="s">
        <v>2115</v>
      </c>
      <c r="G51" s="12">
        <v>61501</v>
      </c>
      <c r="H51" s="12">
        <v>602</v>
      </c>
      <c r="I51" s="12">
        <v>25372.9</v>
      </c>
      <c r="J51" s="1045">
        <f t="shared" ref="J51:J53" si="17">+A51-D51</f>
        <v>0</v>
      </c>
      <c r="K51" s="879">
        <f>(+B51-E51)/B51</f>
        <v>4.0318026342721754E-2</v>
      </c>
    </row>
    <row r="52" spans="1:11" ht="15" thickBot="1" x14ac:dyDescent="0.35">
      <c r="A52" s="872"/>
      <c r="B52" s="874"/>
      <c r="C52" s="874"/>
      <c r="D52" s="874"/>
      <c r="E52" s="874"/>
      <c r="F52" s="10" t="s">
        <v>2115</v>
      </c>
      <c r="G52" s="10">
        <v>61501</v>
      </c>
      <c r="H52" s="10">
        <v>312</v>
      </c>
      <c r="I52" s="10">
        <v>13542.3</v>
      </c>
      <c r="J52" s="1046"/>
      <c r="K52" s="880" t="e">
        <f>(+B52-E52)/B52</f>
        <v>#DIV/0!</v>
      </c>
    </row>
    <row r="53" spans="1:11" x14ac:dyDescent="0.3">
      <c r="A53" s="935">
        <v>310</v>
      </c>
      <c r="B53" s="908">
        <v>13604.3</v>
      </c>
      <c r="C53" s="873" t="s">
        <v>2248</v>
      </c>
      <c r="D53" s="873">
        <f>+H53+H54</f>
        <v>310</v>
      </c>
      <c r="E53" s="873">
        <f>+I53+I54</f>
        <v>12952.900000000001</v>
      </c>
      <c r="F53" s="12" t="s">
        <v>2249</v>
      </c>
      <c r="G53" s="12">
        <v>61681</v>
      </c>
      <c r="H53" s="12">
        <v>251</v>
      </c>
      <c r="I53" s="12">
        <v>10463.700000000001</v>
      </c>
      <c r="J53" s="1045">
        <f t="shared" si="17"/>
        <v>0</v>
      </c>
      <c r="K53" s="879">
        <f>(+B53-E53)/B53</f>
        <v>4.7881919687157576E-2</v>
      </c>
    </row>
    <row r="54" spans="1:11" ht="15" thickBot="1" x14ac:dyDescent="0.35">
      <c r="A54" s="937"/>
      <c r="B54" s="910"/>
      <c r="C54" s="874"/>
      <c r="D54" s="874"/>
      <c r="E54" s="874"/>
      <c r="F54" s="10" t="s">
        <v>2249</v>
      </c>
      <c r="G54" s="10">
        <v>61681</v>
      </c>
      <c r="H54" s="10">
        <v>59</v>
      </c>
      <c r="I54" s="10">
        <v>2489.1999999999998</v>
      </c>
      <c r="J54" s="1046"/>
      <c r="K54" s="880" t="e">
        <f>(+B54-E54)/B54</f>
        <v>#DIV/0!</v>
      </c>
    </row>
    <row r="55" spans="1:11" ht="15" thickBot="1" x14ac:dyDescent="0.35">
      <c r="A55" s="174">
        <v>500</v>
      </c>
      <c r="B55" s="12">
        <v>22123.3</v>
      </c>
      <c r="C55" s="12" t="s">
        <v>2438</v>
      </c>
      <c r="D55" s="12">
        <f>+H55</f>
        <v>501</v>
      </c>
      <c r="E55" s="12">
        <f>+I55</f>
        <v>20825.399999999998</v>
      </c>
      <c r="F55" s="12" t="s">
        <v>2439</v>
      </c>
      <c r="G55" s="12">
        <v>61731</v>
      </c>
      <c r="H55" s="12">
        <v>501</v>
      </c>
      <c r="I55" s="12">
        <v>20825.399999999998</v>
      </c>
      <c r="J55" s="219">
        <f t="shared" ref="J55:J56" si="18">+A55-D55</f>
        <v>-1</v>
      </c>
      <c r="K55" s="138">
        <f t="shared" ref="K55" si="19">+((B55/A55)-(E55/D55))/(B55/A55)</f>
        <v>6.0545563486037825E-2</v>
      </c>
    </row>
    <row r="56" spans="1:11" x14ac:dyDescent="0.3">
      <c r="A56" s="871">
        <v>330</v>
      </c>
      <c r="B56" s="873">
        <v>15300.25</v>
      </c>
      <c r="C56" s="873" t="s">
        <v>2440</v>
      </c>
      <c r="D56" s="873">
        <f>+H56+H57</f>
        <v>330</v>
      </c>
      <c r="E56" s="873">
        <f>+I56+I57</f>
        <v>14325.4</v>
      </c>
      <c r="F56" s="12" t="s">
        <v>2441</v>
      </c>
      <c r="G56" s="12">
        <v>61861</v>
      </c>
      <c r="H56" s="12">
        <v>220</v>
      </c>
      <c r="I56" s="12">
        <v>9640.4</v>
      </c>
      <c r="J56" s="1045">
        <f t="shared" si="18"/>
        <v>0</v>
      </c>
      <c r="K56" s="879">
        <f>(+B56-E56)/B56</f>
        <v>6.3714645185536212E-2</v>
      </c>
    </row>
    <row r="57" spans="1:11" ht="15" thickBot="1" x14ac:dyDescent="0.35">
      <c r="A57" s="872"/>
      <c r="B57" s="874"/>
      <c r="C57" s="874"/>
      <c r="D57" s="874"/>
      <c r="E57" s="874"/>
      <c r="F57" s="10" t="s">
        <v>2441</v>
      </c>
      <c r="G57" s="10">
        <v>61861</v>
      </c>
      <c r="H57" s="10">
        <v>110</v>
      </c>
      <c r="I57" s="10">
        <v>4685</v>
      </c>
      <c r="J57" s="1046"/>
      <c r="K57" s="880" t="e">
        <f>(+B57-E57)/B57</f>
        <v>#DIV/0!</v>
      </c>
    </row>
    <row r="58" spans="1:11" x14ac:dyDescent="0.3">
      <c r="A58" s="871">
        <v>996</v>
      </c>
      <c r="B58" s="873">
        <v>45205</v>
      </c>
      <c r="C58" s="873" t="s">
        <v>2442</v>
      </c>
      <c r="D58" s="873">
        <f>+H58+H59</f>
        <v>996</v>
      </c>
      <c r="E58" s="873">
        <f>+I58+I59</f>
        <v>42882.5</v>
      </c>
      <c r="F58" s="12" t="s">
        <v>2443</v>
      </c>
      <c r="G58" s="13">
        <v>61901</v>
      </c>
      <c r="H58" s="12">
        <v>696</v>
      </c>
      <c r="I58" s="12">
        <v>29869.300000000003</v>
      </c>
      <c r="J58" s="1045">
        <f t="shared" ref="J58" si="20">+A58-D58</f>
        <v>0</v>
      </c>
      <c r="K58" s="879">
        <f>(+B58-E58)/B58</f>
        <v>5.1377060059727905E-2</v>
      </c>
    </row>
    <row r="59" spans="1:11" ht="15" thickBot="1" x14ac:dyDescent="0.35">
      <c r="A59" s="872"/>
      <c r="B59" s="874"/>
      <c r="C59" s="874"/>
      <c r="D59" s="874"/>
      <c r="E59" s="874"/>
      <c r="F59" s="10" t="s">
        <v>2443</v>
      </c>
      <c r="G59" s="11">
        <v>61901</v>
      </c>
      <c r="H59" s="10">
        <v>300</v>
      </c>
      <c r="I59" s="10">
        <v>13013.199999999999</v>
      </c>
      <c r="J59" s="1046"/>
      <c r="K59" s="880" t="e">
        <f>(+B59-E59)/B59</f>
        <v>#DIV/0!</v>
      </c>
    </row>
    <row r="60" spans="1:11" ht="15" thickBot="1" x14ac:dyDescent="0.35">
      <c r="A60" s="175">
        <f>590+70</f>
        <v>660</v>
      </c>
      <c r="B60" s="8">
        <v>28231.25</v>
      </c>
      <c r="C60" s="8" t="s">
        <v>2444</v>
      </c>
      <c r="D60" s="8">
        <f t="shared" ref="D60:E62" si="21">+H60</f>
        <v>660</v>
      </c>
      <c r="E60" s="8">
        <f t="shared" si="21"/>
        <v>28932.1</v>
      </c>
      <c r="F60" s="8" t="s">
        <v>2445</v>
      </c>
      <c r="G60" s="9">
        <v>61941</v>
      </c>
      <c r="H60" s="12">
        <v>660</v>
      </c>
      <c r="I60" s="12">
        <v>28932.1</v>
      </c>
      <c r="J60" s="219">
        <f t="shared" ref="J60:J65" si="22">+A60-D60</f>
        <v>0</v>
      </c>
      <c r="K60" s="33">
        <f t="shared" ref="K60:K62" si="23">(+B60-E60)/B60</f>
        <v>-2.4825326544166429E-2</v>
      </c>
    </row>
    <row r="61" spans="1:11" ht="15" thickBot="1" x14ac:dyDescent="0.35">
      <c r="A61" s="175">
        <f>499-70</f>
        <v>429</v>
      </c>
      <c r="B61" s="8">
        <v>21428.6</v>
      </c>
      <c r="C61" s="8" t="s">
        <v>2446</v>
      </c>
      <c r="D61" s="8">
        <f t="shared" si="21"/>
        <v>429</v>
      </c>
      <c r="E61" s="8">
        <f t="shared" si="21"/>
        <v>17600.300000000003</v>
      </c>
      <c r="F61" s="8" t="s">
        <v>2447</v>
      </c>
      <c r="G61" s="9">
        <v>61971</v>
      </c>
      <c r="H61" s="8">
        <v>429</v>
      </c>
      <c r="I61" s="8">
        <v>17600.300000000003</v>
      </c>
      <c r="J61" s="219">
        <f t="shared" si="22"/>
        <v>0</v>
      </c>
      <c r="K61" s="33">
        <f t="shared" si="23"/>
        <v>0.17865376179498407</v>
      </c>
    </row>
    <row r="62" spans="1:11" ht="15" thickBot="1" x14ac:dyDescent="0.35">
      <c r="A62" s="181">
        <v>343</v>
      </c>
      <c r="B62" s="15">
        <v>17089.75</v>
      </c>
      <c r="C62" s="15" t="s">
        <v>2448</v>
      </c>
      <c r="D62" s="15">
        <f t="shared" si="21"/>
        <v>343</v>
      </c>
      <c r="E62" s="15">
        <f t="shared" si="21"/>
        <v>15679.599999999999</v>
      </c>
      <c r="F62" s="15" t="s">
        <v>2449</v>
      </c>
      <c r="G62" s="15">
        <v>62051</v>
      </c>
      <c r="H62" s="12">
        <v>343</v>
      </c>
      <c r="I62" s="12">
        <v>15679.599999999999</v>
      </c>
      <c r="J62" s="219">
        <f t="shared" si="22"/>
        <v>0</v>
      </c>
      <c r="K62" s="33">
        <f t="shared" si="23"/>
        <v>8.2514372650272907E-2</v>
      </c>
    </row>
    <row r="63" spans="1:11" x14ac:dyDescent="0.3">
      <c r="A63" s="871">
        <f>722+52</f>
        <v>774</v>
      </c>
      <c r="B63" s="873">
        <v>35669</v>
      </c>
      <c r="C63" s="873" t="s">
        <v>2450</v>
      </c>
      <c r="D63" s="873">
        <f>+H63+H64</f>
        <v>774</v>
      </c>
      <c r="E63" s="873">
        <f>+I63+I64</f>
        <v>33090</v>
      </c>
      <c r="F63" s="12" t="s">
        <v>2451</v>
      </c>
      <c r="G63" s="12">
        <v>62061</v>
      </c>
      <c r="H63" s="12">
        <v>300</v>
      </c>
      <c r="I63" s="12">
        <v>13296.400000000001</v>
      </c>
      <c r="J63" s="1045">
        <f t="shared" si="22"/>
        <v>0</v>
      </c>
      <c r="K63" s="879">
        <f>(+B63-E63)/B63</f>
        <v>7.2303681067593703E-2</v>
      </c>
    </row>
    <row r="64" spans="1:11" ht="15" thickBot="1" x14ac:dyDescent="0.35">
      <c r="A64" s="872"/>
      <c r="B64" s="874"/>
      <c r="C64" s="874"/>
      <c r="D64" s="874"/>
      <c r="E64" s="874"/>
      <c r="F64" s="10" t="s">
        <v>2451</v>
      </c>
      <c r="G64" s="10">
        <v>62061</v>
      </c>
      <c r="H64" s="10">
        <v>474</v>
      </c>
      <c r="I64" s="10">
        <v>19793.599999999999</v>
      </c>
      <c r="J64" s="1046"/>
      <c r="K64" s="880" t="e">
        <f>(+B64-E64)/B64</f>
        <v>#DIV/0!</v>
      </c>
    </row>
    <row r="65" spans="1:11" ht="15" thickBot="1" x14ac:dyDescent="0.35">
      <c r="A65" s="174">
        <v>250</v>
      </c>
      <c r="B65" s="12">
        <v>10378.200000000001</v>
      </c>
      <c r="C65" s="12" t="s">
        <v>2562</v>
      </c>
      <c r="D65" s="12">
        <f>+H65</f>
        <v>250</v>
      </c>
      <c r="E65" s="12">
        <f>+I65</f>
        <v>9850.6</v>
      </c>
      <c r="F65" s="12" t="s">
        <v>2563</v>
      </c>
      <c r="G65" s="12">
        <v>62071</v>
      </c>
      <c r="H65" s="12">
        <v>250</v>
      </c>
      <c r="I65" s="12">
        <v>9850.6</v>
      </c>
      <c r="J65" s="219">
        <f t="shared" si="22"/>
        <v>0</v>
      </c>
      <c r="K65" s="33">
        <f t="shared" ref="K65" si="24">(+B65-E65)/B65</f>
        <v>5.0837332099978837E-2</v>
      </c>
    </row>
    <row r="66" spans="1:11" x14ac:dyDescent="0.3">
      <c r="A66" s="871">
        <v>850</v>
      </c>
      <c r="B66" s="873">
        <v>39190.75</v>
      </c>
      <c r="C66" s="873" t="s">
        <v>2564</v>
      </c>
      <c r="D66" s="873">
        <f>+H66+H67+H68</f>
        <v>850</v>
      </c>
      <c r="E66" s="873">
        <f>+I66+I67+I68</f>
        <v>36497.599999999991</v>
      </c>
      <c r="F66" s="12" t="s">
        <v>2565</v>
      </c>
      <c r="G66" s="12">
        <v>62081</v>
      </c>
      <c r="H66" s="12">
        <v>50</v>
      </c>
      <c r="I66" s="12">
        <v>2075.3000000000002</v>
      </c>
      <c r="J66" s="1045">
        <f>+A66-D66</f>
        <v>0</v>
      </c>
      <c r="K66" s="879">
        <f>(+B66-E66)/B66</f>
        <v>6.8719021707928749E-2</v>
      </c>
    </row>
    <row r="67" spans="1:11" x14ac:dyDescent="0.3">
      <c r="A67" s="875"/>
      <c r="B67" s="881"/>
      <c r="C67" s="881"/>
      <c r="D67" s="881"/>
      <c r="E67" s="881"/>
      <c r="F67" s="15" t="s">
        <v>2565</v>
      </c>
      <c r="G67" s="15">
        <v>62081</v>
      </c>
      <c r="H67" s="15">
        <v>383</v>
      </c>
      <c r="I67" s="15">
        <v>16650.599999999999</v>
      </c>
      <c r="J67" s="1047"/>
      <c r="K67" s="885"/>
    </row>
    <row r="68" spans="1:11" ht="15" thickBot="1" x14ac:dyDescent="0.35">
      <c r="A68" s="872"/>
      <c r="B68" s="874"/>
      <c r="C68" s="874"/>
      <c r="D68" s="874"/>
      <c r="E68" s="874"/>
      <c r="F68" s="10" t="s">
        <v>2565</v>
      </c>
      <c r="G68" s="10">
        <v>62081</v>
      </c>
      <c r="H68" s="10">
        <v>417</v>
      </c>
      <c r="I68" s="10">
        <v>17771.699999999997</v>
      </c>
      <c r="J68" s="1046"/>
      <c r="K68" s="880"/>
    </row>
    <row r="69" spans="1:11" ht="15" thickBot="1" x14ac:dyDescent="0.35">
      <c r="A69" s="175">
        <v>1309</v>
      </c>
      <c r="B69" s="8">
        <v>62966.25</v>
      </c>
      <c r="C69" s="8" t="s">
        <v>2566</v>
      </c>
      <c r="D69" s="8">
        <v>1310</v>
      </c>
      <c r="E69" s="8">
        <v>58910.8</v>
      </c>
      <c r="F69" s="8" t="s">
        <v>2567</v>
      </c>
      <c r="G69" s="8">
        <v>62191</v>
      </c>
      <c r="H69" s="8">
        <v>320</v>
      </c>
      <c r="I69" s="8">
        <v>14421.400000000001</v>
      </c>
      <c r="J69" s="219">
        <f t="shared" ref="J69:J70" si="25">+A69-D69</f>
        <v>-1</v>
      </c>
      <c r="K69" s="138">
        <f t="shared" ref="K69:K70" si="26">+((B69/A69)-(E69/D69))/(B69/A69)</f>
        <v>6.5120919164407598E-2</v>
      </c>
    </row>
    <row r="70" spans="1:11" x14ac:dyDescent="0.3">
      <c r="A70" s="871">
        <v>574</v>
      </c>
      <c r="B70" s="873">
        <v>27109.5</v>
      </c>
      <c r="C70" s="873" t="s">
        <v>2737</v>
      </c>
      <c r="D70" s="873">
        <f>+H70+H71</f>
        <v>573</v>
      </c>
      <c r="E70" s="873">
        <f>+I70+I71</f>
        <v>25316.799999999999</v>
      </c>
      <c r="F70" s="12" t="s">
        <v>2738</v>
      </c>
      <c r="G70" s="12">
        <v>62221</v>
      </c>
      <c r="H70" s="12">
        <v>359</v>
      </c>
      <c r="I70" s="12">
        <v>15909</v>
      </c>
      <c r="J70" s="1045">
        <f t="shared" si="25"/>
        <v>1</v>
      </c>
      <c r="K70" s="879">
        <f t="shared" si="26"/>
        <v>6.4498316197895325E-2</v>
      </c>
    </row>
    <row r="71" spans="1:11" ht="15" thickBot="1" x14ac:dyDescent="0.35">
      <c r="A71" s="872"/>
      <c r="B71" s="874"/>
      <c r="C71" s="874"/>
      <c r="D71" s="874"/>
      <c r="E71" s="874"/>
      <c r="F71" s="10" t="s">
        <v>2738</v>
      </c>
      <c r="G71" s="10">
        <v>62221</v>
      </c>
      <c r="H71" s="10">
        <v>214</v>
      </c>
      <c r="I71" s="10">
        <v>9407.7999999999993</v>
      </c>
      <c r="J71" s="1046"/>
      <c r="K71" s="880"/>
    </row>
    <row r="72" spans="1:11" x14ac:dyDescent="0.3">
      <c r="A72" s="871">
        <v>924</v>
      </c>
      <c r="B72" s="873">
        <v>44144</v>
      </c>
      <c r="C72" s="873" t="s">
        <v>2865</v>
      </c>
      <c r="D72" s="873">
        <f>+H72+H73</f>
        <v>922</v>
      </c>
      <c r="E72" s="873">
        <f>+I72+I73</f>
        <v>40995.699999999997</v>
      </c>
      <c r="F72" s="12" t="s">
        <v>2866</v>
      </c>
      <c r="G72" s="12">
        <v>92361</v>
      </c>
      <c r="H72" s="12">
        <v>602</v>
      </c>
      <c r="I72" s="12">
        <v>26805.5</v>
      </c>
      <c r="J72" s="1045">
        <f t="shared" ref="J72" si="27">+A72-D72</f>
        <v>2</v>
      </c>
      <c r="K72" s="879">
        <f t="shared" ref="K72" si="28">+((B72/A72)-(E72/D72))/(B72/A72)</f>
        <v>6.9304372831490726E-2</v>
      </c>
    </row>
    <row r="73" spans="1:11" ht="15" thickBot="1" x14ac:dyDescent="0.35">
      <c r="A73" s="872"/>
      <c r="B73" s="874"/>
      <c r="C73" s="874"/>
      <c r="D73" s="874"/>
      <c r="E73" s="874"/>
      <c r="F73" s="10" t="s">
        <v>2866</v>
      </c>
      <c r="G73" s="10">
        <v>92361</v>
      </c>
      <c r="H73" s="10">
        <v>320</v>
      </c>
      <c r="I73" s="10">
        <v>14190.2</v>
      </c>
      <c r="J73" s="1046"/>
      <c r="K73" s="880"/>
    </row>
    <row r="74" spans="1:11" ht="15" thickBot="1" x14ac:dyDescent="0.35">
      <c r="A74" s="175">
        <v>600</v>
      </c>
      <c r="B74" s="8">
        <v>27208.5</v>
      </c>
      <c r="C74" s="8" t="s">
        <v>2867</v>
      </c>
      <c r="D74" s="8">
        <f t="shared" ref="D74:E75" si="29">+H74</f>
        <v>600</v>
      </c>
      <c r="E74" s="8">
        <f t="shared" si="29"/>
        <v>25597.5</v>
      </c>
      <c r="F74" s="8" t="s">
        <v>2868</v>
      </c>
      <c r="G74" s="8">
        <v>62401</v>
      </c>
      <c r="H74" s="8">
        <v>600</v>
      </c>
      <c r="I74" s="8">
        <v>25597.5</v>
      </c>
      <c r="J74" s="219">
        <f t="shared" ref="J74:J80" si="30">+A74-D74</f>
        <v>0</v>
      </c>
      <c r="K74" s="33">
        <f t="shared" ref="K74:K77" si="31">(+B74-E74)/B74</f>
        <v>5.9209438227024645E-2</v>
      </c>
    </row>
    <row r="75" spans="1:11" ht="15" thickBot="1" x14ac:dyDescent="0.35">
      <c r="A75" s="175">
        <v>500</v>
      </c>
      <c r="B75" s="8">
        <v>21424.9</v>
      </c>
      <c r="C75" s="8" t="s">
        <v>2869</v>
      </c>
      <c r="D75" s="8">
        <f t="shared" si="29"/>
        <v>500</v>
      </c>
      <c r="E75" s="8">
        <f t="shared" si="29"/>
        <v>20614.7</v>
      </c>
      <c r="F75" s="8" t="s">
        <v>2870</v>
      </c>
      <c r="G75" s="8">
        <v>62441</v>
      </c>
      <c r="H75" s="8">
        <v>500</v>
      </c>
      <c r="I75" s="8">
        <v>20614.7</v>
      </c>
      <c r="J75" s="219">
        <f t="shared" si="30"/>
        <v>0</v>
      </c>
      <c r="K75" s="33">
        <f t="shared" si="31"/>
        <v>3.7815812442531849E-2</v>
      </c>
    </row>
    <row r="76" spans="1:11" ht="15" thickBot="1" x14ac:dyDescent="0.35">
      <c r="A76" s="175">
        <v>993</v>
      </c>
      <c r="B76" s="8">
        <v>44786.5</v>
      </c>
      <c r="C76" s="8" t="s">
        <v>2871</v>
      </c>
      <c r="D76" s="8">
        <v>994</v>
      </c>
      <c r="E76" s="8">
        <v>42803.9</v>
      </c>
      <c r="F76" s="8" t="s">
        <v>2872</v>
      </c>
      <c r="G76" s="8">
        <v>62571</v>
      </c>
      <c r="H76" s="8">
        <v>301</v>
      </c>
      <c r="I76" s="8">
        <v>12704.9</v>
      </c>
      <c r="J76" s="219">
        <f t="shared" si="30"/>
        <v>-1</v>
      </c>
      <c r="K76" s="138">
        <f t="shared" ref="K76:K80" si="32">+((B76/A76)-(E76/D76))/(B76/A76)</f>
        <v>4.5229305117431673E-2</v>
      </c>
    </row>
    <row r="77" spans="1:11" ht="15" thickBot="1" x14ac:dyDescent="0.35">
      <c r="A77" s="175">
        <v>1200</v>
      </c>
      <c r="B77" s="8">
        <v>55115</v>
      </c>
      <c r="C77" s="8" t="s">
        <v>2978</v>
      </c>
      <c r="D77" s="8">
        <f t="shared" ref="D77:E78" si="33">+H77</f>
        <v>1200</v>
      </c>
      <c r="E77" s="8">
        <f t="shared" si="33"/>
        <v>52772.900000000009</v>
      </c>
      <c r="F77" s="8" t="s">
        <v>2979</v>
      </c>
      <c r="G77" s="8">
        <v>62611</v>
      </c>
      <c r="H77" s="8">
        <v>1200</v>
      </c>
      <c r="I77" s="8">
        <v>52772.900000000009</v>
      </c>
      <c r="J77" s="219">
        <f t="shared" si="30"/>
        <v>0</v>
      </c>
      <c r="K77" s="33">
        <f t="shared" si="31"/>
        <v>4.2494783634219199E-2</v>
      </c>
    </row>
    <row r="78" spans="1:11" ht="15" thickBot="1" x14ac:dyDescent="0.35">
      <c r="A78" s="175">
        <v>500</v>
      </c>
      <c r="B78" s="8">
        <v>21329.599999999999</v>
      </c>
      <c r="C78" s="8" t="s">
        <v>2980</v>
      </c>
      <c r="D78" s="8">
        <f t="shared" si="33"/>
        <v>498</v>
      </c>
      <c r="E78" s="8">
        <f t="shared" si="33"/>
        <v>20367.099999999999</v>
      </c>
      <c r="F78" s="8" t="s">
        <v>2981</v>
      </c>
      <c r="G78" s="8">
        <v>62621</v>
      </c>
      <c r="H78" s="8">
        <v>498</v>
      </c>
      <c r="I78" s="8">
        <v>20367.099999999999</v>
      </c>
      <c r="J78" s="219">
        <f t="shared" si="30"/>
        <v>2</v>
      </c>
      <c r="K78" s="138">
        <f t="shared" si="32"/>
        <v>4.1290245371253177E-2</v>
      </c>
    </row>
    <row r="79" spans="1:11" ht="15" thickBot="1" x14ac:dyDescent="0.35">
      <c r="A79" s="175">
        <v>1319</v>
      </c>
      <c r="B79" s="8">
        <v>56382.7</v>
      </c>
      <c r="C79" s="8" t="s">
        <v>2982</v>
      </c>
      <c r="D79" s="8">
        <v>1323</v>
      </c>
      <c r="E79" s="8">
        <v>54035.6</v>
      </c>
      <c r="F79" s="8" t="s">
        <v>2983</v>
      </c>
      <c r="G79" s="8">
        <v>62661</v>
      </c>
      <c r="H79" s="8">
        <v>323</v>
      </c>
      <c r="I79" s="8">
        <v>13189.5</v>
      </c>
      <c r="J79" s="219">
        <f t="shared" si="30"/>
        <v>-4</v>
      </c>
      <c r="K79" s="138">
        <f t="shared" si="32"/>
        <v>4.4525589237252292E-2</v>
      </c>
    </row>
    <row r="80" spans="1:11" x14ac:dyDescent="0.3">
      <c r="A80" s="871">
        <v>584</v>
      </c>
      <c r="B80" s="873">
        <v>29919</v>
      </c>
      <c r="C80" s="873" t="s">
        <v>3290</v>
      </c>
      <c r="D80" s="873">
        <f>+H80+H81</f>
        <v>584</v>
      </c>
      <c r="E80" s="873">
        <f>+I80+I81</f>
        <v>28859.399999999998</v>
      </c>
      <c r="F80" s="12" t="s">
        <v>3291</v>
      </c>
      <c r="G80" s="12">
        <v>62861</v>
      </c>
      <c r="H80" s="12">
        <v>430</v>
      </c>
      <c r="I80" s="12">
        <v>20915.599999999999</v>
      </c>
      <c r="J80" s="1045">
        <f t="shared" si="30"/>
        <v>0</v>
      </c>
      <c r="K80" s="879">
        <f t="shared" si="32"/>
        <v>3.5415622179885711E-2</v>
      </c>
    </row>
    <row r="81" spans="1:11" ht="15" thickBot="1" x14ac:dyDescent="0.35">
      <c r="A81" s="872"/>
      <c r="B81" s="874"/>
      <c r="C81" s="874"/>
      <c r="D81" s="874"/>
      <c r="E81" s="874"/>
      <c r="F81" s="10" t="s">
        <v>3291</v>
      </c>
      <c r="G81" s="10">
        <v>62861</v>
      </c>
      <c r="H81" s="10">
        <v>154</v>
      </c>
      <c r="I81" s="10">
        <v>7943.8</v>
      </c>
      <c r="J81" s="1046"/>
      <c r="K81" s="880"/>
    </row>
    <row r="82" spans="1:11" x14ac:dyDescent="0.3">
      <c r="A82" s="871">
        <v>500</v>
      </c>
      <c r="B82" s="873">
        <v>21928</v>
      </c>
      <c r="C82" s="873" t="s">
        <v>3292</v>
      </c>
      <c r="D82" s="873">
        <f>+H82+H83</f>
        <v>501</v>
      </c>
      <c r="E82" s="873">
        <f>+I82+I83</f>
        <v>20815.399999999998</v>
      </c>
      <c r="F82" s="12" t="s">
        <v>3293</v>
      </c>
      <c r="G82" s="12">
        <v>62871</v>
      </c>
      <c r="H82" s="12">
        <v>200</v>
      </c>
      <c r="I82" s="12">
        <v>8162.8</v>
      </c>
      <c r="J82" s="1045">
        <f t="shared" ref="J82" si="34">+A82-D82</f>
        <v>-1</v>
      </c>
      <c r="K82" s="879">
        <f t="shared" ref="K82" si="35">+((B82/A82)-(E82/D82))/(B82/A82)</f>
        <v>5.2633514437742751E-2</v>
      </c>
    </row>
    <row r="83" spans="1:11" ht="15" thickBot="1" x14ac:dyDescent="0.35">
      <c r="A83" s="875"/>
      <c r="B83" s="881"/>
      <c r="C83" s="881"/>
      <c r="D83" s="881"/>
      <c r="E83" s="881"/>
      <c r="F83" s="15" t="s">
        <v>3293</v>
      </c>
      <c r="G83" s="15">
        <v>62871</v>
      </c>
      <c r="H83" s="15">
        <v>301</v>
      </c>
      <c r="I83" s="15">
        <v>12652.599999999999</v>
      </c>
      <c r="J83" s="1046"/>
      <c r="K83" s="880"/>
    </row>
    <row r="84" spans="1:11" x14ac:dyDescent="0.3">
      <c r="A84" s="871">
        <v>911</v>
      </c>
      <c r="B84" s="873">
        <v>38965</v>
      </c>
      <c r="C84" s="873" t="s">
        <v>3294</v>
      </c>
      <c r="D84" s="873">
        <v>909</v>
      </c>
      <c r="E84" s="873">
        <v>36591.599999999999</v>
      </c>
      <c r="F84" s="12" t="s">
        <v>3295</v>
      </c>
      <c r="G84" s="12">
        <v>62891</v>
      </c>
      <c r="H84" s="12">
        <v>110</v>
      </c>
      <c r="I84" s="12">
        <v>4778.3999999999996</v>
      </c>
      <c r="J84" s="1045">
        <f t="shared" ref="J84" si="36">+A84-D84</f>
        <v>2</v>
      </c>
      <c r="K84" s="879">
        <f t="shared" ref="K84" si="37">+((B84/A84)-(E84/D84))/(B84/A84)</f>
        <v>5.88448717834699E-2</v>
      </c>
    </row>
    <row r="85" spans="1:11" ht="15" thickBot="1" x14ac:dyDescent="0.35">
      <c r="A85" s="872"/>
      <c r="B85" s="874"/>
      <c r="C85" s="874"/>
      <c r="D85" s="874"/>
      <c r="E85" s="874"/>
      <c r="F85" s="10" t="s">
        <v>3295</v>
      </c>
      <c r="G85" s="10">
        <v>62891</v>
      </c>
      <c r="H85" s="10">
        <v>400</v>
      </c>
      <c r="I85" s="10">
        <v>16220.4</v>
      </c>
      <c r="J85" s="1046"/>
      <c r="K85" s="880"/>
    </row>
    <row r="86" spans="1:11" x14ac:dyDescent="0.3">
      <c r="A86" s="902">
        <v>369</v>
      </c>
      <c r="B86" s="905">
        <v>15733.5</v>
      </c>
      <c r="C86" s="905" t="s">
        <v>3529</v>
      </c>
      <c r="D86" s="873">
        <f>+H86+H87</f>
        <v>369</v>
      </c>
      <c r="E86" s="873">
        <f>+I86+I87</f>
        <v>14755.4</v>
      </c>
      <c r="F86" s="303" t="s">
        <v>3530</v>
      </c>
      <c r="G86" s="303">
        <v>62961</v>
      </c>
      <c r="H86" s="12">
        <v>220</v>
      </c>
      <c r="I86" s="12">
        <v>8683.2999999999993</v>
      </c>
      <c r="J86" s="1045">
        <f t="shared" ref="J86" si="38">+A86-D86</f>
        <v>0</v>
      </c>
      <c r="K86" s="879">
        <f t="shared" ref="K86" si="39">+((B86/A86)-(E86/D86))/(B86/A86)</f>
        <v>6.2166714335653225E-2</v>
      </c>
    </row>
    <row r="87" spans="1:11" ht="15" thickBot="1" x14ac:dyDescent="0.35">
      <c r="A87" s="904"/>
      <c r="B87" s="907"/>
      <c r="C87" s="907"/>
      <c r="D87" s="874"/>
      <c r="E87" s="874"/>
      <c r="F87" s="10" t="s">
        <v>3530</v>
      </c>
      <c r="G87" s="10">
        <v>62961</v>
      </c>
      <c r="H87" s="10">
        <v>149</v>
      </c>
      <c r="I87" s="10">
        <v>6072.1</v>
      </c>
      <c r="J87" s="1046"/>
      <c r="K87" s="880"/>
    </row>
    <row r="88" spans="1:11" ht="15" thickBot="1" x14ac:dyDescent="0.35">
      <c r="A88" s="313">
        <v>128</v>
      </c>
      <c r="B88" s="27">
        <v>5363.5</v>
      </c>
      <c r="C88" s="27" t="s">
        <v>3531</v>
      </c>
      <c r="D88" s="8">
        <f>+H88</f>
        <v>128</v>
      </c>
      <c r="E88" s="8">
        <f>+I88</f>
        <v>5099.1000000000004</v>
      </c>
      <c r="F88" s="8" t="s">
        <v>3532</v>
      </c>
      <c r="G88" s="8">
        <v>63051</v>
      </c>
      <c r="H88" s="8">
        <v>128</v>
      </c>
      <c r="I88" s="8">
        <v>5099.1000000000004</v>
      </c>
      <c r="J88" s="219">
        <f t="shared" ref="J88:J89" si="40">+A88-D88</f>
        <v>0</v>
      </c>
      <c r="K88" s="138">
        <f t="shared" ref="K88:K89" si="41">+((B88/A88)-(E88/D88))/(B88/A88)</f>
        <v>4.9296168546657901E-2</v>
      </c>
    </row>
    <row r="89" spans="1:11" ht="15" thickBot="1" x14ac:dyDescent="0.35">
      <c r="A89" s="313">
        <v>67</v>
      </c>
      <c r="B89" s="27">
        <v>2623</v>
      </c>
      <c r="C89" s="27" t="s">
        <v>3533</v>
      </c>
      <c r="D89" s="8">
        <f>+H89</f>
        <v>67</v>
      </c>
      <c r="E89" s="8">
        <f>+I89</f>
        <v>2445.8000000000002</v>
      </c>
      <c r="F89" s="8" t="s">
        <v>3534</v>
      </c>
      <c r="G89" s="8">
        <v>63151</v>
      </c>
      <c r="H89" s="8">
        <v>67</v>
      </c>
      <c r="I89" s="8">
        <v>2445.8000000000002</v>
      </c>
      <c r="J89" s="219">
        <f t="shared" si="40"/>
        <v>0</v>
      </c>
      <c r="K89" s="138">
        <f t="shared" si="41"/>
        <v>6.75562333206252E-2</v>
      </c>
    </row>
    <row r="90" spans="1:11" x14ac:dyDescent="0.3">
      <c r="A90" s="902">
        <v>557</v>
      </c>
      <c r="B90" s="905">
        <v>26555.5</v>
      </c>
      <c r="C90" s="905" t="s">
        <v>3535</v>
      </c>
      <c r="D90" s="873">
        <f>+H90+H91</f>
        <v>557</v>
      </c>
      <c r="E90" s="873">
        <f>+I90+I91</f>
        <v>25338.699999999997</v>
      </c>
      <c r="F90" s="12" t="s">
        <v>3536</v>
      </c>
      <c r="G90" s="12">
        <v>63201</v>
      </c>
      <c r="H90" s="12">
        <v>416</v>
      </c>
      <c r="I90" s="12">
        <v>18989.3</v>
      </c>
      <c r="J90" s="1045">
        <f t="shared" ref="J90" si="42">+A90-D90</f>
        <v>0</v>
      </c>
      <c r="K90" s="879">
        <f t="shared" ref="K90" si="43">+((B90/A90)-(E90/D90))/(B90/A90)</f>
        <v>4.5821016361959038E-2</v>
      </c>
    </row>
    <row r="91" spans="1:11" ht="15" thickBot="1" x14ac:dyDescent="0.35">
      <c r="A91" s="904"/>
      <c r="B91" s="907"/>
      <c r="C91" s="907"/>
      <c r="D91" s="874"/>
      <c r="E91" s="874"/>
      <c r="F91" s="10" t="s">
        <v>3536</v>
      </c>
      <c r="G91" s="10">
        <v>63201</v>
      </c>
      <c r="H91" s="10">
        <v>141</v>
      </c>
      <c r="I91" s="10">
        <v>6349.4</v>
      </c>
      <c r="J91" s="1046"/>
      <c r="K91" s="880"/>
    </row>
    <row r="92" spans="1:11" ht="15" thickBot="1" x14ac:dyDescent="0.35">
      <c r="A92" s="313">
        <v>385</v>
      </c>
      <c r="B92" s="27">
        <v>17374.25</v>
      </c>
      <c r="C92" s="27" t="s">
        <v>3656</v>
      </c>
      <c r="D92" s="8">
        <f t="shared" ref="D92:E95" si="44">+H92</f>
        <v>385</v>
      </c>
      <c r="E92" s="8">
        <f t="shared" si="44"/>
        <v>16298.3</v>
      </c>
      <c r="F92" s="8" t="s">
        <v>3657</v>
      </c>
      <c r="G92" s="8">
        <v>63251</v>
      </c>
      <c r="H92" s="8">
        <v>385</v>
      </c>
      <c r="I92" s="8">
        <v>16298.3</v>
      </c>
      <c r="J92" s="219">
        <f t="shared" ref="J92:J96" si="45">+A92-D92</f>
        <v>0</v>
      </c>
      <c r="K92" s="138">
        <f t="shared" ref="K92:K96" si="46">+((B92/A92)-(E92/D92))/(B92/A92)</f>
        <v>6.1927853000848958E-2</v>
      </c>
    </row>
    <row r="93" spans="1:11" ht="15" thickBot="1" x14ac:dyDescent="0.35">
      <c r="A93" s="175">
        <v>272</v>
      </c>
      <c r="B93" s="8">
        <v>11193.5</v>
      </c>
      <c r="C93" s="8" t="s">
        <v>3658</v>
      </c>
      <c r="D93" s="8">
        <f t="shared" si="44"/>
        <v>270</v>
      </c>
      <c r="E93" s="8">
        <f t="shared" si="44"/>
        <v>10631.8</v>
      </c>
      <c r="F93" s="8" t="s">
        <v>3659</v>
      </c>
      <c r="G93" s="8">
        <v>63361</v>
      </c>
      <c r="H93" s="8">
        <v>270</v>
      </c>
      <c r="I93" s="8">
        <v>10631.8</v>
      </c>
      <c r="J93" s="219">
        <f t="shared" si="45"/>
        <v>2</v>
      </c>
      <c r="K93" s="138">
        <f t="shared" si="46"/>
        <v>4.3145211589398089E-2</v>
      </c>
    </row>
    <row r="94" spans="1:11" ht="15" thickBot="1" x14ac:dyDescent="0.35">
      <c r="A94" s="175">
        <v>193</v>
      </c>
      <c r="B94" s="8">
        <v>7902.5</v>
      </c>
      <c r="C94" s="8" t="s">
        <v>3660</v>
      </c>
      <c r="D94" s="8">
        <f t="shared" si="44"/>
        <v>194</v>
      </c>
      <c r="E94" s="8">
        <f t="shared" si="44"/>
        <v>7543.7999999999993</v>
      </c>
      <c r="F94" s="8" t="s">
        <v>3661</v>
      </c>
      <c r="G94" s="8">
        <v>63441</v>
      </c>
      <c r="H94" s="8">
        <v>194</v>
      </c>
      <c r="I94" s="8">
        <v>7543.7999999999993</v>
      </c>
      <c r="J94" s="219">
        <f t="shared" si="45"/>
        <v>-1</v>
      </c>
      <c r="K94" s="138">
        <f t="shared" si="46"/>
        <v>5.0311365645088327E-2</v>
      </c>
    </row>
    <row r="95" spans="1:11" ht="15" thickBot="1" x14ac:dyDescent="0.35">
      <c r="A95" s="175">
        <v>660</v>
      </c>
      <c r="B95" s="8">
        <v>28482</v>
      </c>
      <c r="C95" s="8" t="s">
        <v>3662</v>
      </c>
      <c r="D95" s="8">
        <f t="shared" si="44"/>
        <v>660</v>
      </c>
      <c r="E95" s="8">
        <f t="shared" si="44"/>
        <v>26906.200000000004</v>
      </c>
      <c r="F95" s="8" t="s">
        <v>3663</v>
      </c>
      <c r="G95" s="8">
        <v>63511</v>
      </c>
      <c r="H95" s="8">
        <v>660</v>
      </c>
      <c r="I95" s="8">
        <v>26906.200000000004</v>
      </c>
      <c r="J95" s="219">
        <f t="shared" si="45"/>
        <v>0</v>
      </c>
      <c r="K95" s="138">
        <f t="shared" si="46"/>
        <v>5.5326170914963738E-2</v>
      </c>
    </row>
    <row r="96" spans="1:11" x14ac:dyDescent="0.3">
      <c r="A96" s="871">
        <v>809</v>
      </c>
      <c r="B96" s="873">
        <v>32549.5</v>
      </c>
      <c r="C96" s="873" t="s">
        <v>3858</v>
      </c>
      <c r="D96" s="873">
        <f>+H96+H97</f>
        <v>808</v>
      </c>
      <c r="E96" s="873">
        <f>+I96+I97</f>
        <v>31612.7</v>
      </c>
      <c r="F96" s="12" t="s">
        <v>3859</v>
      </c>
      <c r="G96" s="12">
        <v>63581</v>
      </c>
      <c r="H96" s="12">
        <v>457</v>
      </c>
      <c r="I96" s="12">
        <v>17819.2</v>
      </c>
      <c r="J96" s="1045">
        <f t="shared" si="45"/>
        <v>1</v>
      </c>
      <c r="K96" s="879">
        <f t="shared" si="46"/>
        <v>2.7578776057608591E-2</v>
      </c>
    </row>
    <row r="97" spans="1:11" ht="15" thickBot="1" x14ac:dyDescent="0.35">
      <c r="A97" s="872"/>
      <c r="B97" s="874"/>
      <c r="C97" s="874"/>
      <c r="D97" s="874"/>
      <c r="E97" s="874"/>
      <c r="F97" s="10" t="s">
        <v>3859</v>
      </c>
      <c r="G97" s="10">
        <v>63581</v>
      </c>
      <c r="H97" s="10">
        <v>351</v>
      </c>
      <c r="I97" s="10">
        <v>13793.5</v>
      </c>
      <c r="J97" s="1046"/>
      <c r="K97" s="880"/>
    </row>
    <row r="98" spans="1:11" ht="15" thickBot="1" x14ac:dyDescent="0.35">
      <c r="A98" s="175">
        <v>233</v>
      </c>
      <c r="B98" s="8">
        <v>9560.75</v>
      </c>
      <c r="C98" s="8" t="s">
        <v>3860</v>
      </c>
      <c r="D98" s="8">
        <f t="shared" ref="D98:E105" si="47">+H98</f>
        <v>233</v>
      </c>
      <c r="E98" s="8">
        <f t="shared" si="47"/>
        <v>9599</v>
      </c>
      <c r="F98" s="8" t="s">
        <v>3861</v>
      </c>
      <c r="G98" s="8">
        <v>63731</v>
      </c>
      <c r="H98" s="8">
        <v>233</v>
      </c>
      <c r="I98" s="8">
        <v>9599</v>
      </c>
      <c r="J98" s="219">
        <f t="shared" ref="J98:J102" si="48">+A98-D98</f>
        <v>0</v>
      </c>
      <c r="K98" s="138">
        <f t="shared" ref="K98:K102" si="49">+((B98/A98)-(E98/D98))/(B98/A98)</f>
        <v>-4.0007321601339902E-3</v>
      </c>
    </row>
    <row r="99" spans="1:11" ht="15" thickBot="1" x14ac:dyDescent="0.35">
      <c r="A99" s="199">
        <v>205</v>
      </c>
      <c r="B99" s="10">
        <v>8529.5</v>
      </c>
      <c r="C99" s="10" t="s">
        <v>3862</v>
      </c>
      <c r="D99" s="8">
        <f t="shared" si="47"/>
        <v>205</v>
      </c>
      <c r="E99" s="8">
        <f t="shared" si="47"/>
        <v>8414.2999999999993</v>
      </c>
      <c r="F99" s="10" t="s">
        <v>3863</v>
      </c>
      <c r="G99" s="10">
        <v>63781</v>
      </c>
      <c r="H99" s="10">
        <v>205</v>
      </c>
      <c r="I99" s="10">
        <v>8414.2999999999993</v>
      </c>
      <c r="J99" s="219">
        <f t="shared" si="48"/>
        <v>0</v>
      </c>
      <c r="K99" s="138">
        <f t="shared" si="49"/>
        <v>1.3506067178615576E-2</v>
      </c>
    </row>
    <row r="100" spans="1:11" ht="15" thickBot="1" x14ac:dyDescent="0.35">
      <c r="A100" s="181">
        <v>1067</v>
      </c>
      <c r="B100" s="15">
        <v>46836.25</v>
      </c>
      <c r="C100" s="15" t="s">
        <v>3864</v>
      </c>
      <c r="D100" s="8">
        <v>1067</v>
      </c>
      <c r="E100" s="8">
        <v>46445.7</v>
      </c>
      <c r="F100" s="15" t="s">
        <v>3865</v>
      </c>
      <c r="G100" s="15">
        <v>63811</v>
      </c>
      <c r="H100" s="15">
        <v>440</v>
      </c>
      <c r="I100" s="15">
        <v>18843.3</v>
      </c>
      <c r="J100" s="219">
        <f t="shared" si="48"/>
        <v>0</v>
      </c>
      <c r="K100" s="138">
        <f t="shared" si="49"/>
        <v>8.3386265979876976E-3</v>
      </c>
    </row>
    <row r="101" spans="1:11" ht="15" thickBot="1" x14ac:dyDescent="0.35">
      <c r="A101" s="175">
        <v>826</v>
      </c>
      <c r="B101" s="8">
        <v>42342.44</v>
      </c>
      <c r="C101" s="8" t="s">
        <v>3866</v>
      </c>
      <c r="D101" s="8">
        <f t="shared" si="47"/>
        <v>826</v>
      </c>
      <c r="E101" s="8">
        <f t="shared" si="47"/>
        <v>42033.399999999994</v>
      </c>
      <c r="F101" s="8" t="s">
        <v>3867</v>
      </c>
      <c r="G101" s="8">
        <v>63971</v>
      </c>
      <c r="H101" s="8">
        <v>826</v>
      </c>
      <c r="I101" s="8">
        <v>42033.399999999994</v>
      </c>
      <c r="J101" s="219">
        <f t="shared" si="48"/>
        <v>0</v>
      </c>
      <c r="K101" s="138">
        <f t="shared" si="49"/>
        <v>7.2985874219814798E-3</v>
      </c>
    </row>
    <row r="102" spans="1:11" x14ac:dyDescent="0.3">
      <c r="A102" s="871">
        <v>361</v>
      </c>
      <c r="B102" s="873">
        <v>16442.25</v>
      </c>
      <c r="C102" s="873" t="s">
        <v>4299</v>
      </c>
      <c r="D102" s="873">
        <f>+H102+H103</f>
        <v>385</v>
      </c>
      <c r="E102" s="873">
        <f>+I102+I103</f>
        <v>16208.1</v>
      </c>
      <c r="F102" s="12" t="s">
        <v>4300</v>
      </c>
      <c r="G102" s="12">
        <v>64041</v>
      </c>
      <c r="H102" s="12">
        <v>200</v>
      </c>
      <c r="I102" s="12">
        <v>8589.7000000000007</v>
      </c>
      <c r="J102" s="1045">
        <f t="shared" si="48"/>
        <v>-24</v>
      </c>
      <c r="K102" s="879">
        <f t="shared" si="49"/>
        <v>7.5690678887321602E-2</v>
      </c>
    </row>
    <row r="103" spans="1:11" ht="15" thickBot="1" x14ac:dyDescent="0.35">
      <c r="A103" s="872"/>
      <c r="B103" s="874"/>
      <c r="C103" s="874"/>
      <c r="D103" s="874"/>
      <c r="E103" s="874"/>
      <c r="F103" s="10" t="s">
        <v>4300</v>
      </c>
      <c r="G103" s="10">
        <v>64041</v>
      </c>
      <c r="H103" s="10">
        <v>185</v>
      </c>
      <c r="I103" s="10">
        <v>7618.4</v>
      </c>
      <c r="J103" s="1046"/>
      <c r="K103" s="880"/>
    </row>
    <row r="104" spans="1:11" ht="15" thickBot="1" x14ac:dyDescent="0.35">
      <c r="A104" s="175">
        <v>270</v>
      </c>
      <c r="B104" s="8">
        <v>12979.3</v>
      </c>
      <c r="C104" s="8" t="s">
        <v>4147</v>
      </c>
      <c r="D104" s="8">
        <f t="shared" si="47"/>
        <v>271</v>
      </c>
      <c r="E104" s="8">
        <f t="shared" si="47"/>
        <v>12643.800000000001</v>
      </c>
      <c r="F104" s="8" t="s">
        <v>4148</v>
      </c>
      <c r="G104" s="8">
        <v>64171</v>
      </c>
      <c r="H104" s="8">
        <v>271</v>
      </c>
      <c r="I104" s="8">
        <v>12643.800000000001</v>
      </c>
      <c r="J104" s="219">
        <f t="shared" ref="J104" si="50">+A104-D104</f>
        <v>-1</v>
      </c>
      <c r="K104" s="138">
        <f t="shared" ref="K104" si="51">+((B104/A104)-(E104/D104))/(B104/A104)</f>
        <v>2.9443505316995765E-2</v>
      </c>
    </row>
    <row r="105" spans="1:11" ht="15" thickBot="1" x14ac:dyDescent="0.35">
      <c r="A105" s="175">
        <v>269</v>
      </c>
      <c r="B105" s="317">
        <v>11628</v>
      </c>
      <c r="C105" s="8" t="s">
        <v>4301</v>
      </c>
      <c r="D105" s="8">
        <f t="shared" si="47"/>
        <v>269</v>
      </c>
      <c r="E105" s="8">
        <f t="shared" si="47"/>
        <v>11562.7</v>
      </c>
      <c r="F105" s="8" t="s">
        <v>4302</v>
      </c>
      <c r="G105" s="8">
        <v>64311</v>
      </c>
      <c r="H105" s="8">
        <v>269</v>
      </c>
      <c r="I105" s="8">
        <v>11562.7</v>
      </c>
      <c r="J105" s="219">
        <f t="shared" ref="J105:J106" si="52">+A105-D105</f>
        <v>0</v>
      </c>
      <c r="K105" s="138">
        <f t="shared" ref="K105:K106" si="53">+((B105/A105)-(E105/D105))/(B105/A105)</f>
        <v>5.6157550739593864E-3</v>
      </c>
    </row>
    <row r="106" spans="1:11" x14ac:dyDescent="0.3">
      <c r="A106" s="871">
        <v>750</v>
      </c>
      <c r="B106" s="1040">
        <v>36884</v>
      </c>
      <c r="C106" s="873" t="s">
        <v>4303</v>
      </c>
      <c r="D106" s="873">
        <f>+H106+H107</f>
        <v>750</v>
      </c>
      <c r="E106" s="873">
        <f>+I106+I107</f>
        <v>35862.199999999997</v>
      </c>
      <c r="F106" s="12" t="s">
        <v>4304</v>
      </c>
      <c r="G106" s="12">
        <v>64331</v>
      </c>
      <c r="H106" s="12">
        <v>250</v>
      </c>
      <c r="I106" s="12">
        <v>12226.7</v>
      </c>
      <c r="J106" s="1045">
        <f t="shared" si="52"/>
        <v>0</v>
      </c>
      <c r="K106" s="879">
        <f t="shared" si="53"/>
        <v>2.7703069081444549E-2</v>
      </c>
    </row>
    <row r="107" spans="1:11" ht="15" thickBot="1" x14ac:dyDescent="0.35">
      <c r="A107" s="872"/>
      <c r="B107" s="1101"/>
      <c r="C107" s="874"/>
      <c r="D107" s="874"/>
      <c r="E107" s="874"/>
      <c r="F107" s="10" t="s">
        <v>4304</v>
      </c>
      <c r="G107" s="10">
        <v>64331</v>
      </c>
      <c r="H107" s="10">
        <v>500</v>
      </c>
      <c r="I107" s="10">
        <v>23635.5</v>
      </c>
      <c r="J107" s="1046"/>
      <c r="K107" s="880"/>
    </row>
    <row r="108" spans="1:11" ht="15" thickBot="1" x14ac:dyDescent="0.35">
      <c r="A108" s="175">
        <v>250</v>
      </c>
      <c r="B108" s="8">
        <v>9661.5</v>
      </c>
      <c r="C108" s="8" t="s">
        <v>4525</v>
      </c>
      <c r="D108" s="8">
        <f>+H108</f>
        <v>250</v>
      </c>
      <c r="E108" s="8">
        <f>+I108</f>
        <v>9527.6</v>
      </c>
      <c r="F108" s="8" t="s">
        <v>4526</v>
      </c>
      <c r="G108" s="8">
        <v>64431</v>
      </c>
      <c r="H108" s="8">
        <v>250</v>
      </c>
      <c r="I108" s="8">
        <v>9527.6</v>
      </c>
      <c r="J108" s="219">
        <f t="shared" ref="J108" si="54">+A108-D108</f>
        <v>0</v>
      </c>
      <c r="K108" s="138">
        <f t="shared" ref="K108" si="55">+((B108/A108)-(E108/D108))/(B108/A108)</f>
        <v>1.3859131604823327E-2</v>
      </c>
    </row>
    <row r="109" spans="1:11" ht="15" thickBot="1" x14ac:dyDescent="0.35">
      <c r="A109" s="175">
        <v>396</v>
      </c>
      <c r="B109" s="8">
        <v>19872.5</v>
      </c>
      <c r="C109" s="8" t="s">
        <v>4395</v>
      </c>
      <c r="D109" s="8">
        <v>396</v>
      </c>
      <c r="E109" s="8">
        <v>19715.400000000001</v>
      </c>
      <c r="F109" s="8" t="s">
        <v>4396</v>
      </c>
      <c r="G109" s="8">
        <v>64441</v>
      </c>
      <c r="H109" s="8">
        <v>120</v>
      </c>
      <c r="I109" s="8">
        <v>5982.5</v>
      </c>
      <c r="J109" s="219">
        <f t="shared" ref="J109" si="56">+A109-D109</f>
        <v>0</v>
      </c>
      <c r="K109" s="138">
        <f t="shared" ref="K109" si="57">+((B109/A109)-(E109/D109))/(B109/A109)</f>
        <v>7.9053969052710876E-3</v>
      </c>
    </row>
    <row r="110" spans="1:11" ht="15" thickBot="1" x14ac:dyDescent="0.35">
      <c r="A110" s="175">
        <v>1240</v>
      </c>
      <c r="B110" s="8">
        <v>49153.5</v>
      </c>
      <c r="C110" s="8" t="s">
        <v>4573</v>
      </c>
      <c r="D110" s="8">
        <v>1241</v>
      </c>
      <c r="E110" s="8">
        <v>48768.2</v>
      </c>
      <c r="F110" s="8" t="s">
        <v>4574</v>
      </c>
      <c r="G110" s="8">
        <v>64481</v>
      </c>
      <c r="H110" s="8">
        <v>200</v>
      </c>
      <c r="I110" s="8">
        <v>7668.2</v>
      </c>
      <c r="J110" s="219">
        <f t="shared" ref="J110" si="58">+A110-D110</f>
        <v>-1</v>
      </c>
      <c r="K110" s="138">
        <f t="shared" ref="K110" si="59">+((B110/A110)-(E110/D110))/(B110/A110)</f>
        <v>8.6381946761574686E-3</v>
      </c>
    </row>
    <row r="111" spans="1:11" ht="15" thickBot="1" x14ac:dyDescent="0.35">
      <c r="A111" s="175">
        <v>250</v>
      </c>
      <c r="B111" s="8">
        <v>10460</v>
      </c>
      <c r="C111" s="8" t="s">
        <v>4674</v>
      </c>
      <c r="D111" s="8">
        <f>+H111</f>
        <v>250</v>
      </c>
      <c r="E111" s="8">
        <f>+I111</f>
        <v>10470.200000000001</v>
      </c>
      <c r="F111" s="8" t="s">
        <v>4675</v>
      </c>
      <c r="G111" s="9">
        <v>64781</v>
      </c>
      <c r="H111" s="15">
        <v>250</v>
      </c>
      <c r="I111" s="15">
        <v>10470.200000000001</v>
      </c>
      <c r="J111" s="219">
        <f t="shared" ref="J111" si="60">+A111-D111</f>
        <v>0</v>
      </c>
      <c r="K111" s="138">
        <f t="shared" ref="K111" si="61">+((B111/A111)-(E111/D111))/(B111/A111)</f>
        <v>-9.7514340344161761E-4</v>
      </c>
    </row>
    <row r="112" spans="1:11" ht="15" thickBot="1" x14ac:dyDescent="0.35">
      <c r="A112" s="199">
        <v>1246</v>
      </c>
      <c r="B112" s="10">
        <v>56224</v>
      </c>
      <c r="C112" s="10" t="s">
        <v>4825</v>
      </c>
      <c r="D112" s="8">
        <f>+H112+400+200+146</f>
        <v>1246</v>
      </c>
      <c r="E112" s="8">
        <f>+I112+17503.7+8704.2+6564.1</f>
        <v>55173.700000000004</v>
      </c>
      <c r="F112" s="10" t="s">
        <v>4826</v>
      </c>
      <c r="G112" s="10">
        <v>64831</v>
      </c>
      <c r="H112" s="10">
        <v>500</v>
      </c>
      <c r="I112" s="10">
        <v>22401.7</v>
      </c>
      <c r="J112" s="219">
        <f t="shared" ref="J112:J113" si="62">+A112-D112</f>
        <v>0</v>
      </c>
      <c r="K112" s="138">
        <f t="shared" ref="K112:K113" si="63">+((B112/A112)-(E112/D112))/(B112/A112)</f>
        <v>1.8680634604439247E-2</v>
      </c>
    </row>
    <row r="113" spans="1:11" x14ac:dyDescent="0.3">
      <c r="A113" s="882">
        <v>382</v>
      </c>
      <c r="B113" s="982">
        <v>17293.25</v>
      </c>
      <c r="C113" s="873" t="s">
        <v>5036</v>
      </c>
      <c r="D113" s="873">
        <v>382</v>
      </c>
      <c r="E113" s="873">
        <v>16809.900000000001</v>
      </c>
      <c r="F113" s="12" t="s">
        <v>5037</v>
      </c>
      <c r="G113" s="12">
        <v>64871</v>
      </c>
      <c r="H113" s="12">
        <v>62</v>
      </c>
      <c r="I113" s="12">
        <v>2678.2</v>
      </c>
      <c r="J113" s="1045">
        <f t="shared" si="62"/>
        <v>0</v>
      </c>
      <c r="K113" s="879">
        <f t="shared" si="63"/>
        <v>2.7950211787836264E-2</v>
      </c>
    </row>
    <row r="114" spans="1:11" ht="15" thickBot="1" x14ac:dyDescent="0.35">
      <c r="A114" s="884"/>
      <c r="B114" s="983"/>
      <c r="C114" s="874"/>
      <c r="D114" s="874"/>
      <c r="E114" s="874"/>
      <c r="F114" s="10" t="s">
        <v>5037</v>
      </c>
      <c r="G114" s="10">
        <v>64871</v>
      </c>
      <c r="H114" s="10">
        <v>100</v>
      </c>
      <c r="I114" s="10">
        <v>4494.7</v>
      </c>
      <c r="J114" s="1046"/>
      <c r="K114" s="880"/>
    </row>
    <row r="115" spans="1:11" ht="15" thickBot="1" x14ac:dyDescent="0.35">
      <c r="A115" s="451">
        <v>128</v>
      </c>
      <c r="B115" s="452">
        <v>5425.5</v>
      </c>
      <c r="C115" s="452" t="s">
        <v>5717</v>
      </c>
      <c r="D115" s="454">
        <f>+H115</f>
        <v>128</v>
      </c>
      <c r="E115" s="454">
        <f>+I115</f>
        <v>5531.4</v>
      </c>
      <c r="F115" s="452" t="s">
        <v>5718</v>
      </c>
      <c r="G115" s="452">
        <v>65001</v>
      </c>
      <c r="H115" s="452">
        <v>128</v>
      </c>
      <c r="I115" s="452">
        <v>5531.4</v>
      </c>
      <c r="J115" s="219">
        <f t="shared" ref="J115:J116" si="64">+A115-D115</f>
        <v>0</v>
      </c>
      <c r="K115" s="138">
        <f t="shared" ref="K115:K116" si="65">+((B115/A115)-(E115/D115))/(B115/A115)</f>
        <v>-1.9518938346696092E-2</v>
      </c>
    </row>
    <row r="116" spans="1:11" x14ac:dyDescent="0.3">
      <c r="A116" s="871">
        <v>355</v>
      </c>
      <c r="B116" s="873">
        <v>15189.5</v>
      </c>
      <c r="C116" s="873" t="s">
        <v>5719</v>
      </c>
      <c r="D116" s="873">
        <f>+H116+H117</f>
        <v>355</v>
      </c>
      <c r="E116" s="873">
        <f>+I116+I117</f>
        <v>15539.800000000001</v>
      </c>
      <c r="F116" s="452" t="s">
        <v>5720</v>
      </c>
      <c r="G116" s="452">
        <v>65051</v>
      </c>
      <c r="H116" s="452">
        <v>72</v>
      </c>
      <c r="I116" s="452">
        <v>3067.9</v>
      </c>
      <c r="J116" s="1045">
        <f t="shared" si="64"/>
        <v>0</v>
      </c>
      <c r="K116" s="879">
        <f t="shared" si="65"/>
        <v>-2.3061983607096957E-2</v>
      </c>
    </row>
    <row r="117" spans="1:11" ht="15" thickBot="1" x14ac:dyDescent="0.35">
      <c r="A117" s="872"/>
      <c r="B117" s="874"/>
      <c r="C117" s="874"/>
      <c r="D117" s="874"/>
      <c r="E117" s="874"/>
      <c r="F117" s="453" t="s">
        <v>5720</v>
      </c>
      <c r="G117" s="453">
        <v>65051</v>
      </c>
      <c r="H117" s="453">
        <v>283</v>
      </c>
      <c r="I117" s="453">
        <v>12471.900000000001</v>
      </c>
      <c r="J117" s="1046"/>
      <c r="K117" s="880"/>
    </row>
    <row r="118" spans="1:11" ht="15" thickBot="1" x14ac:dyDescent="0.35">
      <c r="A118" s="175">
        <v>434</v>
      </c>
      <c r="B118" s="8">
        <v>18746.5</v>
      </c>
      <c r="C118" s="8" t="s">
        <v>5483</v>
      </c>
      <c r="D118" s="8">
        <v>434</v>
      </c>
      <c r="E118" s="8">
        <v>18885</v>
      </c>
      <c r="F118" s="8" t="s">
        <v>5484</v>
      </c>
      <c r="G118" s="8">
        <v>65211</v>
      </c>
      <c r="H118" s="8">
        <v>200</v>
      </c>
      <c r="I118" s="8">
        <v>8504.5</v>
      </c>
      <c r="J118" s="219">
        <f t="shared" ref="J118" si="66">+A118-D118</f>
        <v>0</v>
      </c>
      <c r="K118" s="138">
        <f t="shared" ref="K118" si="67">+((B118/A118)-(E118/D118))/(B118/A118)</f>
        <v>-7.3880457685434157E-3</v>
      </c>
    </row>
    <row r="119" spans="1:11" ht="15" thickBot="1" x14ac:dyDescent="0.35">
      <c r="A119" s="175">
        <v>254</v>
      </c>
      <c r="B119" s="8">
        <v>12860</v>
      </c>
      <c r="C119" s="8" t="s">
        <v>5246</v>
      </c>
      <c r="D119" s="8">
        <f>+H119</f>
        <v>254</v>
      </c>
      <c r="E119" s="8">
        <f>+I119</f>
        <v>12737.599999999999</v>
      </c>
      <c r="F119" s="8" t="s">
        <v>5247</v>
      </c>
      <c r="G119" s="8">
        <v>65251</v>
      </c>
      <c r="H119" s="8">
        <v>254</v>
      </c>
      <c r="I119" s="8">
        <v>12737.599999999999</v>
      </c>
      <c r="J119" s="219">
        <f t="shared" ref="J119" si="68">+A119-D119</f>
        <v>0</v>
      </c>
      <c r="K119" s="138">
        <f t="shared" ref="K119" si="69">+((B119/A119)-(E119/D119))/(B119/A119)</f>
        <v>9.5178849144635907E-3</v>
      </c>
    </row>
    <row r="120" spans="1:11" ht="15" thickBot="1" x14ac:dyDescent="0.35">
      <c r="A120" s="175">
        <v>121</v>
      </c>
      <c r="B120" s="8">
        <v>4064.5</v>
      </c>
      <c r="C120" s="8" t="s">
        <v>5678</v>
      </c>
      <c r="D120" s="8">
        <f t="shared" ref="D120:E123" si="70">+H120</f>
        <v>121</v>
      </c>
      <c r="E120" s="8">
        <f t="shared" si="70"/>
        <v>4149.8999999999996</v>
      </c>
      <c r="F120" s="8" t="s">
        <v>5679</v>
      </c>
      <c r="G120" s="8">
        <v>65531</v>
      </c>
      <c r="H120" s="8">
        <v>121</v>
      </c>
      <c r="I120" s="8">
        <v>4149.8999999999996</v>
      </c>
      <c r="J120" s="219">
        <f t="shared" ref="J120:J121" si="71">+A120-D120</f>
        <v>0</v>
      </c>
      <c r="K120" s="138">
        <f t="shared" ref="K120:K121" si="72">+((B120/A120)-(E120/D120))/(B120/A120)</f>
        <v>-2.1011194488866753E-2</v>
      </c>
    </row>
    <row r="121" spans="1:11" ht="15" thickBot="1" x14ac:dyDescent="0.35">
      <c r="A121" s="175">
        <v>64</v>
      </c>
      <c r="B121" s="8">
        <v>2162.5</v>
      </c>
      <c r="C121" s="8" t="s">
        <v>5680</v>
      </c>
      <c r="D121" s="8">
        <f t="shared" si="70"/>
        <v>64</v>
      </c>
      <c r="E121" s="8">
        <f t="shared" si="70"/>
        <v>2185.3000000000002</v>
      </c>
      <c r="F121" s="8" t="s">
        <v>5681</v>
      </c>
      <c r="G121" s="8">
        <v>65541</v>
      </c>
      <c r="H121" s="8">
        <v>64</v>
      </c>
      <c r="I121" s="8">
        <v>2185.3000000000002</v>
      </c>
      <c r="J121" s="219">
        <f t="shared" si="71"/>
        <v>0</v>
      </c>
      <c r="K121" s="138">
        <f t="shared" si="72"/>
        <v>-1.0543352601156153E-2</v>
      </c>
    </row>
    <row r="122" spans="1:11" ht="15" thickBot="1" x14ac:dyDescent="0.35">
      <c r="A122" s="175">
        <v>420</v>
      </c>
      <c r="B122" s="8">
        <v>17208.5</v>
      </c>
      <c r="C122" s="8" t="s">
        <v>5804</v>
      </c>
      <c r="D122" s="8">
        <f t="shared" si="70"/>
        <v>420</v>
      </c>
      <c r="E122" s="8">
        <f t="shared" si="70"/>
        <v>17886.400000000001</v>
      </c>
      <c r="F122" s="8" t="s">
        <v>5805</v>
      </c>
      <c r="G122" s="8">
        <v>65681</v>
      </c>
      <c r="H122" s="8">
        <v>420</v>
      </c>
      <c r="I122" s="8">
        <v>17886.400000000001</v>
      </c>
      <c r="J122" s="219">
        <f t="shared" ref="J122" si="73">+A122-D122</f>
        <v>0</v>
      </c>
      <c r="K122" s="138">
        <f t="shared" ref="K122" si="74">+((B122/A122)-(E122/D122))/(B122/A122)</f>
        <v>-3.9393323067089085E-2</v>
      </c>
    </row>
    <row r="123" spans="1:11" ht="15" thickBot="1" x14ac:dyDescent="0.35">
      <c r="A123" s="175">
        <v>141</v>
      </c>
      <c r="B123" s="8">
        <v>5502.25</v>
      </c>
      <c r="C123" s="8" t="s">
        <v>5945</v>
      </c>
      <c r="D123" s="8">
        <f t="shared" si="70"/>
        <v>141</v>
      </c>
      <c r="E123" s="8">
        <f t="shared" si="70"/>
        <v>5563.1</v>
      </c>
      <c r="F123" s="8" t="s">
        <v>5946</v>
      </c>
      <c r="G123" s="8">
        <v>65711</v>
      </c>
      <c r="H123" s="8">
        <v>141</v>
      </c>
      <c r="I123" s="8">
        <v>5563.1</v>
      </c>
      <c r="J123" s="219">
        <f t="shared" ref="J123:J124" si="75">+A123-D123</f>
        <v>0</v>
      </c>
      <c r="K123" s="138">
        <f t="shared" ref="K123:K124" si="76">+((B123/A123)-(E123/D123))/(B123/A123)</f>
        <v>-1.1059112181380349E-2</v>
      </c>
    </row>
    <row r="124" spans="1:11" x14ac:dyDescent="0.3">
      <c r="A124" s="871">
        <v>466</v>
      </c>
      <c r="B124" s="873">
        <v>20932.8</v>
      </c>
      <c r="C124" s="873" t="s">
        <v>5947</v>
      </c>
      <c r="D124" s="873">
        <f>+H124+H125</f>
        <v>466</v>
      </c>
      <c r="E124" s="873">
        <f>+I124+I125</f>
        <v>20046.399999999998</v>
      </c>
      <c r="F124" s="480" t="s">
        <v>5948</v>
      </c>
      <c r="G124" s="480">
        <v>65801</v>
      </c>
      <c r="H124" s="480">
        <v>396</v>
      </c>
      <c r="I124" s="480">
        <v>16801.599999999999</v>
      </c>
      <c r="J124" s="1045">
        <f t="shared" si="75"/>
        <v>0</v>
      </c>
      <c r="K124" s="879">
        <f t="shared" si="76"/>
        <v>4.2345027898800014E-2</v>
      </c>
    </row>
    <row r="125" spans="1:11" ht="15" thickBot="1" x14ac:dyDescent="0.35">
      <c r="A125" s="872"/>
      <c r="B125" s="874"/>
      <c r="C125" s="874"/>
      <c r="D125" s="874"/>
      <c r="E125" s="874"/>
      <c r="F125" s="481" t="s">
        <v>5948</v>
      </c>
      <c r="G125" s="481">
        <v>65801</v>
      </c>
      <c r="H125" s="481">
        <v>70</v>
      </c>
      <c r="I125" s="481">
        <v>3244.8</v>
      </c>
      <c r="J125" s="1046"/>
      <c r="K125" s="880"/>
    </row>
    <row r="126" spans="1:11" ht="15" thickBot="1" x14ac:dyDescent="0.35">
      <c r="A126" s="175">
        <v>253</v>
      </c>
      <c r="B126" s="8">
        <v>12768.25</v>
      </c>
      <c r="C126" s="8" t="s">
        <v>5949</v>
      </c>
      <c r="D126" s="8">
        <f t="shared" ref="D126:E127" si="77">+H126</f>
        <v>249</v>
      </c>
      <c r="E126" s="8">
        <f t="shared" si="77"/>
        <v>12568</v>
      </c>
      <c r="F126" s="8" t="s">
        <v>5950</v>
      </c>
      <c r="G126" s="8">
        <v>65981</v>
      </c>
      <c r="H126" s="8">
        <v>249</v>
      </c>
      <c r="I126" s="8">
        <v>12568</v>
      </c>
      <c r="J126" s="219">
        <f t="shared" ref="J126" si="78">+A126-D126</f>
        <v>4</v>
      </c>
      <c r="K126" s="138">
        <f t="shared" ref="K126" si="79">+((B126/A126)-(E126/D126))/(B126/A126)</f>
        <v>-1.2888080428542613E-4</v>
      </c>
    </row>
    <row r="127" spans="1:11" ht="15" thickBot="1" x14ac:dyDescent="0.35">
      <c r="A127" s="175">
        <v>250</v>
      </c>
      <c r="B127" s="8">
        <v>10886.5</v>
      </c>
      <c r="C127" s="8" t="s">
        <v>6052</v>
      </c>
      <c r="D127" s="8">
        <f t="shared" si="77"/>
        <v>250</v>
      </c>
      <c r="E127" s="8">
        <f t="shared" si="77"/>
        <v>10572.9</v>
      </c>
      <c r="F127" s="8" t="s">
        <v>6053</v>
      </c>
      <c r="G127" s="8">
        <v>66011</v>
      </c>
      <c r="H127" s="8">
        <v>250</v>
      </c>
      <c r="I127" s="8">
        <v>10572.9</v>
      </c>
      <c r="J127" s="219">
        <f t="shared" ref="J127:J128" si="80">+A127-D127</f>
        <v>0</v>
      </c>
      <c r="K127" s="138">
        <f t="shared" ref="K127:K128" si="81">+((B127/A127)-(E127/D127))/(B127/A127)</f>
        <v>2.8806319753823636E-2</v>
      </c>
    </row>
    <row r="128" spans="1:11" x14ac:dyDescent="0.3">
      <c r="A128" s="871">
        <v>270</v>
      </c>
      <c r="B128" s="873">
        <v>13008.2</v>
      </c>
      <c r="C128" s="873" t="s">
        <v>6054</v>
      </c>
      <c r="D128" s="873">
        <f>+H128+H129</f>
        <v>270</v>
      </c>
      <c r="E128" s="873">
        <f>+I128+I129</f>
        <v>12787.5</v>
      </c>
      <c r="F128" s="495" t="s">
        <v>6055</v>
      </c>
      <c r="G128" s="495">
        <v>66081</v>
      </c>
      <c r="H128" s="495">
        <v>89</v>
      </c>
      <c r="I128" s="495">
        <v>4307.1000000000004</v>
      </c>
      <c r="J128" s="1045">
        <f t="shared" si="80"/>
        <v>0</v>
      </c>
      <c r="K128" s="879">
        <f t="shared" si="81"/>
        <v>1.6966221306560499E-2</v>
      </c>
    </row>
    <row r="129" spans="1:11" ht="15" thickBot="1" x14ac:dyDescent="0.35">
      <c r="A129" s="872"/>
      <c r="B129" s="874"/>
      <c r="C129" s="874"/>
      <c r="D129" s="874"/>
      <c r="E129" s="874"/>
      <c r="F129" s="497" t="s">
        <v>6055</v>
      </c>
      <c r="G129" s="497">
        <v>66081</v>
      </c>
      <c r="H129" s="497">
        <v>181</v>
      </c>
      <c r="I129" s="497">
        <v>8480.4</v>
      </c>
      <c r="J129" s="1046"/>
      <c r="K129" s="880"/>
    </row>
    <row r="130" spans="1:11" x14ac:dyDescent="0.3">
      <c r="A130" s="871">
        <v>270</v>
      </c>
      <c r="B130" s="873">
        <v>13129.3</v>
      </c>
      <c r="C130" s="873" t="s">
        <v>6056</v>
      </c>
      <c r="D130" s="873">
        <f>+H130+H131</f>
        <v>270</v>
      </c>
      <c r="E130" s="873">
        <f>+I130+I131</f>
        <v>12620</v>
      </c>
      <c r="F130" s="495" t="s">
        <v>6057</v>
      </c>
      <c r="G130" s="495">
        <v>66101</v>
      </c>
      <c r="H130" s="495">
        <v>200</v>
      </c>
      <c r="I130" s="495">
        <v>9347.2000000000007</v>
      </c>
      <c r="J130" s="1045">
        <f t="shared" ref="J130" si="82">+A130-D130</f>
        <v>0</v>
      </c>
      <c r="K130" s="879">
        <f t="shared" ref="K130" si="83">+((B130/A130)-(E130/D130))/(B130/A130)</f>
        <v>3.8791100820302633E-2</v>
      </c>
    </row>
    <row r="131" spans="1:11" ht="15" thickBot="1" x14ac:dyDescent="0.35">
      <c r="A131" s="875"/>
      <c r="B131" s="881"/>
      <c r="C131" s="881"/>
      <c r="D131" s="881"/>
      <c r="E131" s="881"/>
      <c r="F131" s="496" t="s">
        <v>6057</v>
      </c>
      <c r="G131" s="496">
        <v>66101</v>
      </c>
      <c r="H131" s="496">
        <v>70</v>
      </c>
      <c r="I131" s="496">
        <v>3272.8</v>
      </c>
      <c r="J131" s="1046"/>
      <c r="K131" s="880"/>
    </row>
    <row r="132" spans="1:11" ht="15" thickBot="1" x14ac:dyDescent="0.35">
      <c r="A132" s="175">
        <v>401</v>
      </c>
      <c r="B132" s="8">
        <v>19569.7</v>
      </c>
      <c r="C132" s="8" t="s">
        <v>6058</v>
      </c>
      <c r="D132" s="8">
        <v>406</v>
      </c>
      <c r="E132" s="8">
        <v>19263.3</v>
      </c>
      <c r="F132" s="8" t="s">
        <v>6059</v>
      </c>
      <c r="G132" s="8">
        <v>66251</v>
      </c>
      <c r="H132" s="8">
        <v>136</v>
      </c>
      <c r="I132" s="8">
        <v>6618.2</v>
      </c>
      <c r="J132" s="219">
        <f t="shared" ref="J132" si="84">+A132-D132</f>
        <v>-5</v>
      </c>
      <c r="K132" s="138">
        <f t="shared" ref="K132" si="85">+((B132/A132)-(E132/D132))/(B132/A132)</f>
        <v>2.7779309780972292E-2</v>
      </c>
    </row>
    <row r="133" spans="1:11" ht="15" thickBot="1" x14ac:dyDescent="0.35">
      <c r="A133" s="175">
        <v>50</v>
      </c>
      <c r="B133" s="8">
        <v>2147.5</v>
      </c>
      <c r="C133" s="8" t="s">
        <v>6163</v>
      </c>
      <c r="D133" s="8">
        <f t="shared" ref="D133:E134" si="86">+H133</f>
        <v>50</v>
      </c>
      <c r="E133" s="8">
        <f t="shared" si="86"/>
        <v>2217.6999999999998</v>
      </c>
      <c r="F133" s="8" t="s">
        <v>6164</v>
      </c>
      <c r="G133" s="8">
        <v>66281</v>
      </c>
      <c r="H133" s="8">
        <v>50</v>
      </c>
      <c r="I133" s="8">
        <v>2217.6999999999998</v>
      </c>
      <c r="J133" s="219">
        <f t="shared" ref="J133:J134" si="87">+A133-D133</f>
        <v>0</v>
      </c>
      <c r="K133" s="138">
        <f t="shared" ref="K133:K134" si="88">+((B133/A133)-(E133/D133))/(B133/A133)</f>
        <v>-3.2689173457508644E-2</v>
      </c>
    </row>
    <row r="134" spans="1:11" ht="15" thickBot="1" x14ac:dyDescent="0.35">
      <c r="A134" s="175">
        <v>574</v>
      </c>
      <c r="B134" s="8">
        <v>21507.599999999999</v>
      </c>
      <c r="C134" s="8" t="s">
        <v>6165</v>
      </c>
      <c r="D134" s="8">
        <f t="shared" si="86"/>
        <v>573</v>
      </c>
      <c r="E134" s="8">
        <f t="shared" si="86"/>
        <v>21686.800000000003</v>
      </c>
      <c r="F134" s="8" t="s">
        <v>6166</v>
      </c>
      <c r="G134" s="8">
        <v>66291</v>
      </c>
      <c r="H134" s="8">
        <v>573</v>
      </c>
      <c r="I134" s="8">
        <v>21686.800000000003</v>
      </c>
      <c r="J134" s="219">
        <f t="shared" si="87"/>
        <v>1</v>
      </c>
      <c r="K134" s="138">
        <f t="shared" si="88"/>
        <v>-1.0091680080489355E-2</v>
      </c>
    </row>
    <row r="135" spans="1:11" ht="15" thickBot="1" x14ac:dyDescent="0.35">
      <c r="A135" s="625">
        <v>1485</v>
      </c>
      <c r="B135" s="626">
        <v>78336.25</v>
      </c>
      <c r="C135" s="8" t="s">
        <v>6299</v>
      </c>
      <c r="D135" s="8">
        <v>1485</v>
      </c>
      <c r="E135" s="8">
        <v>77783.399999999994</v>
      </c>
      <c r="F135" s="8" t="s">
        <v>6300</v>
      </c>
      <c r="G135" s="8">
        <v>66511</v>
      </c>
      <c r="H135" s="582">
        <v>200</v>
      </c>
      <c r="I135" s="582">
        <v>11012.2</v>
      </c>
      <c r="J135" s="219">
        <f t="shared" ref="J135" si="89">+A135-D135</f>
        <v>0</v>
      </c>
      <c r="K135" s="138">
        <f t="shared" ref="K135" si="90">+((B135/A135)-(E135/D135))/(B135/A135)</f>
        <v>7.0573967990554308E-3</v>
      </c>
    </row>
    <row r="136" spans="1:11" ht="15" thickBot="1" x14ac:dyDescent="0.35">
      <c r="A136" s="625">
        <v>275</v>
      </c>
      <c r="B136" s="626">
        <v>13701.25</v>
      </c>
      <c r="C136" s="8" t="s">
        <v>7043</v>
      </c>
      <c r="D136" s="8">
        <v>275</v>
      </c>
      <c r="E136" s="8">
        <v>13747.8</v>
      </c>
      <c r="F136" s="8" t="s">
        <v>7044</v>
      </c>
      <c r="G136" s="8">
        <v>66551</v>
      </c>
      <c r="H136" s="582"/>
      <c r="I136" s="582"/>
      <c r="J136" s="219">
        <f t="shared" ref="J136" si="91">+A136-D136</f>
        <v>0</v>
      </c>
      <c r="K136" s="138">
        <f t="shared" ref="K136" si="92">+((B136/A136)-(E136/D136))/(B136/A136)</f>
        <v>-3.3975002280813701E-3</v>
      </c>
    </row>
    <row r="137" spans="1:11" ht="15" thickBot="1" x14ac:dyDescent="0.35">
      <c r="A137" s="175">
        <v>269</v>
      </c>
      <c r="B137" s="8">
        <v>14216.44</v>
      </c>
      <c r="C137" s="8" t="s">
        <v>6735</v>
      </c>
      <c r="D137" s="8">
        <f>+H137</f>
        <v>269</v>
      </c>
      <c r="E137" s="8">
        <f>+I137</f>
        <v>14280.7</v>
      </c>
      <c r="F137" s="8" t="s">
        <v>6736</v>
      </c>
      <c r="G137" s="8">
        <v>66991</v>
      </c>
      <c r="H137" s="311">
        <v>269</v>
      </c>
      <c r="I137" s="8">
        <v>14280.7</v>
      </c>
      <c r="J137" s="219">
        <f t="shared" ref="J137" si="93">+A137-D137</f>
        <v>0</v>
      </c>
      <c r="K137" s="138">
        <f t="shared" ref="K137" si="94">+((B137/A137)-(E137/D137))/(B137/A137)</f>
        <v>-4.5201189608650612E-3</v>
      </c>
    </row>
    <row r="138" spans="1:11" x14ac:dyDescent="0.3">
      <c r="A138" s="871">
        <v>597</v>
      </c>
      <c r="B138" s="873">
        <v>29318.75</v>
      </c>
      <c r="C138" s="873" t="s">
        <v>7045</v>
      </c>
      <c r="D138" s="873">
        <f>+H139+H140+H141+H138</f>
        <v>597</v>
      </c>
      <c r="E138" s="873">
        <f>+I139+I140+I141+I138</f>
        <v>29419.1</v>
      </c>
      <c r="F138" s="734" t="s">
        <v>7046</v>
      </c>
      <c r="G138" s="734">
        <v>67391</v>
      </c>
      <c r="H138" s="775">
        <v>227</v>
      </c>
      <c r="I138" s="734">
        <v>11298.4</v>
      </c>
      <c r="J138" s="1045">
        <f t="shared" ref="J138" si="95">+A138-D138</f>
        <v>0</v>
      </c>
      <c r="K138" s="879">
        <f t="shared" ref="K138" si="96">+((B138/A138)-(E138/D138))/(B138/A138)</f>
        <v>-3.4227243658068E-3</v>
      </c>
    </row>
    <row r="139" spans="1:11" x14ac:dyDescent="0.3">
      <c r="A139" s="875"/>
      <c r="B139" s="881"/>
      <c r="C139" s="881"/>
      <c r="D139" s="881"/>
      <c r="E139" s="881"/>
      <c r="F139" s="735" t="s">
        <v>7046</v>
      </c>
      <c r="G139" s="735">
        <v>67391</v>
      </c>
      <c r="H139" s="776">
        <v>180</v>
      </c>
      <c r="I139" s="735">
        <v>8894.1</v>
      </c>
      <c r="J139" s="1047"/>
      <c r="K139" s="885"/>
    </row>
    <row r="140" spans="1:11" x14ac:dyDescent="0.3">
      <c r="A140" s="875"/>
      <c r="B140" s="881"/>
      <c r="C140" s="881"/>
      <c r="D140" s="881"/>
      <c r="E140" s="881"/>
      <c r="F140" s="735" t="s">
        <v>7046</v>
      </c>
      <c r="G140" s="735">
        <v>67391</v>
      </c>
      <c r="H140" s="776">
        <v>90</v>
      </c>
      <c r="I140" s="735">
        <v>4420.2</v>
      </c>
      <c r="J140" s="1047"/>
      <c r="K140" s="885"/>
    </row>
    <row r="141" spans="1:11" ht="15" thickBot="1" x14ac:dyDescent="0.35">
      <c r="A141" s="872"/>
      <c r="B141" s="874"/>
      <c r="C141" s="874"/>
      <c r="D141" s="874"/>
      <c r="E141" s="874"/>
      <c r="F141" s="736" t="s">
        <v>7046</v>
      </c>
      <c r="G141" s="736">
        <v>67391</v>
      </c>
      <c r="H141" s="777">
        <v>100</v>
      </c>
      <c r="I141" s="736">
        <v>4806.3999999999996</v>
      </c>
      <c r="J141" s="1046"/>
      <c r="K141" s="880"/>
    </row>
    <row r="142" spans="1:11" ht="15" thickBot="1" x14ac:dyDescent="0.35">
      <c r="A142" s="739">
        <v>536</v>
      </c>
      <c r="B142" s="736">
        <v>27491</v>
      </c>
      <c r="C142" s="736" t="s">
        <v>7047</v>
      </c>
      <c r="D142" s="736">
        <v>536</v>
      </c>
      <c r="E142" s="736">
        <v>27620.799999999999</v>
      </c>
      <c r="F142" s="736" t="s">
        <v>7048</v>
      </c>
      <c r="G142" s="736">
        <v>67421</v>
      </c>
      <c r="H142" s="736">
        <v>275</v>
      </c>
      <c r="I142" s="736">
        <v>14306.6</v>
      </c>
      <c r="J142" s="219">
        <f t="shared" ref="J142" si="97">+A142-D142</f>
        <v>0</v>
      </c>
      <c r="K142" s="138">
        <f t="shared" ref="K142" si="98">+((B142/A142)-(E142/D142))/(B142/A142)</f>
        <v>-4.7215452329853434E-3</v>
      </c>
    </row>
    <row r="143" spans="1:11" ht="15" thickBot="1" x14ac:dyDescent="0.35">
      <c r="A143" s="175">
        <v>275</v>
      </c>
      <c r="B143" s="8">
        <v>14185.75</v>
      </c>
      <c r="C143" s="8" t="s">
        <v>7251</v>
      </c>
      <c r="D143" s="8">
        <f>+H143</f>
        <v>275</v>
      </c>
      <c r="E143" s="8">
        <f>+I143</f>
        <v>14042.5</v>
      </c>
      <c r="F143" s="8" t="s">
        <v>7252</v>
      </c>
      <c r="G143" s="8">
        <v>67441</v>
      </c>
      <c r="H143" s="8">
        <v>275</v>
      </c>
      <c r="I143" s="8">
        <v>14042.5</v>
      </c>
      <c r="J143" s="219">
        <f t="shared" ref="J143:J145" si="99">+A143-D143</f>
        <v>0</v>
      </c>
      <c r="K143" s="138">
        <f t="shared" ref="K143:K145" si="100">+((B143/A143)-(E143/D143))/(B143/A143)</f>
        <v>1.0098161887809995E-2</v>
      </c>
    </row>
    <row r="144" spans="1:11" ht="15" thickBot="1" x14ac:dyDescent="0.35">
      <c r="A144" s="808">
        <v>175</v>
      </c>
      <c r="B144" s="809">
        <v>8741.59</v>
      </c>
      <c r="C144" s="809" t="s">
        <v>7253</v>
      </c>
      <c r="D144" s="809">
        <f>+H144</f>
        <v>176</v>
      </c>
      <c r="E144" s="809">
        <f>+I144</f>
        <v>8702</v>
      </c>
      <c r="F144" s="809" t="s">
        <v>7254</v>
      </c>
      <c r="G144" s="809">
        <v>67451</v>
      </c>
      <c r="H144" s="809">
        <v>176</v>
      </c>
      <c r="I144" s="809">
        <v>8702</v>
      </c>
      <c r="J144" s="219">
        <f t="shared" si="99"/>
        <v>-1</v>
      </c>
      <c r="K144" s="138">
        <f t="shared" si="100"/>
        <v>1.0185010028859975E-2</v>
      </c>
    </row>
    <row r="145" spans="1:11" x14ac:dyDescent="0.3">
      <c r="A145" s="871">
        <v>1098</v>
      </c>
      <c r="B145" s="873">
        <v>57491.5</v>
      </c>
      <c r="C145" s="873" t="s">
        <v>7255</v>
      </c>
      <c r="D145" s="873">
        <v>1097</v>
      </c>
      <c r="E145" s="873">
        <v>57209.599999999999</v>
      </c>
      <c r="F145" s="809" t="s">
        <v>7256</v>
      </c>
      <c r="G145" s="809">
        <v>67541</v>
      </c>
      <c r="H145" s="809">
        <v>111</v>
      </c>
      <c r="I145" s="809">
        <v>5454.7</v>
      </c>
      <c r="J145" s="1045">
        <f t="shared" si="99"/>
        <v>1</v>
      </c>
      <c r="K145" s="879">
        <f t="shared" si="100"/>
        <v>3.9962262742165473E-3</v>
      </c>
    </row>
    <row r="146" spans="1:11" x14ac:dyDescent="0.3">
      <c r="A146" s="875"/>
      <c r="B146" s="881"/>
      <c r="C146" s="881"/>
      <c r="D146" s="881"/>
      <c r="E146" s="881"/>
      <c r="F146" s="810" t="s">
        <v>7256</v>
      </c>
      <c r="G146" s="810">
        <v>67541</v>
      </c>
      <c r="H146" s="810">
        <v>404</v>
      </c>
      <c r="I146" s="810">
        <v>20693.099999999999</v>
      </c>
      <c r="J146" s="1047"/>
      <c r="K146" s="885"/>
    </row>
    <row r="147" spans="1:11" x14ac:dyDescent="0.3">
      <c r="A147" s="875"/>
      <c r="B147" s="881"/>
      <c r="C147" s="881"/>
      <c r="D147" s="881"/>
      <c r="E147" s="881"/>
      <c r="F147" s="810" t="s">
        <v>7256</v>
      </c>
      <c r="G147" s="810">
        <v>67541</v>
      </c>
      <c r="H147" s="810">
        <v>206</v>
      </c>
      <c r="I147" s="810">
        <v>11243.099999999999</v>
      </c>
      <c r="J147" s="1047"/>
      <c r="K147" s="885"/>
    </row>
    <row r="148" spans="1:11" ht="15" thickBot="1" x14ac:dyDescent="0.35">
      <c r="A148" s="872"/>
      <c r="B148" s="874"/>
      <c r="C148" s="874"/>
      <c r="D148" s="874"/>
      <c r="E148" s="874"/>
      <c r="F148" s="812" t="s">
        <v>7256</v>
      </c>
      <c r="G148" s="812">
        <v>67541</v>
      </c>
      <c r="H148" s="812">
        <v>50</v>
      </c>
      <c r="I148" s="812">
        <v>2618.3000000000002</v>
      </c>
      <c r="J148" s="1046"/>
      <c r="K148" s="880"/>
    </row>
    <row r="149" spans="1:11" x14ac:dyDescent="0.3">
      <c r="A149" s="871">
        <v>278</v>
      </c>
      <c r="B149" s="873">
        <v>13511</v>
      </c>
      <c r="C149" s="873" t="s">
        <v>7361</v>
      </c>
      <c r="D149" s="873">
        <f>+H149+H150</f>
        <v>278</v>
      </c>
      <c r="E149" s="873">
        <f>+I149+I150</f>
        <v>13633.8</v>
      </c>
      <c r="F149" s="835" t="s">
        <v>7362</v>
      </c>
      <c r="G149" s="835">
        <v>67551</v>
      </c>
      <c r="H149" s="835">
        <v>200</v>
      </c>
      <c r="I149" s="835">
        <v>9581</v>
      </c>
      <c r="J149" s="1045">
        <f t="shared" ref="J149" si="101">+A149-D149</f>
        <v>0</v>
      </c>
      <c r="K149" s="879">
        <f t="shared" ref="K149" si="102">+((B149/A149)-(E149/D149))/(B149/A149)</f>
        <v>-9.0888905336391976E-3</v>
      </c>
    </row>
    <row r="150" spans="1:11" ht="15" thickBot="1" x14ac:dyDescent="0.35">
      <c r="A150" s="872"/>
      <c r="B150" s="874"/>
      <c r="C150" s="874"/>
      <c r="D150" s="874"/>
      <c r="E150" s="874"/>
      <c r="F150" s="834" t="s">
        <v>7362</v>
      </c>
      <c r="G150" s="834">
        <v>67551</v>
      </c>
      <c r="H150" s="834">
        <v>78</v>
      </c>
      <c r="I150" s="834">
        <v>4052.8</v>
      </c>
      <c r="J150" s="1046"/>
      <c r="K150" s="880"/>
    </row>
    <row r="151" spans="1:11" x14ac:dyDescent="0.3">
      <c r="A151" s="871">
        <v>714</v>
      </c>
      <c r="B151" s="873">
        <v>37313</v>
      </c>
      <c r="C151" s="873" t="s">
        <v>7363</v>
      </c>
      <c r="D151" s="873">
        <f>+H151+H152</f>
        <v>275</v>
      </c>
      <c r="E151" s="873">
        <f>+I151+I152</f>
        <v>14733.2</v>
      </c>
      <c r="F151" s="835" t="s">
        <v>7364</v>
      </c>
      <c r="G151" s="835">
        <v>67621</v>
      </c>
      <c r="H151" s="835">
        <v>89</v>
      </c>
      <c r="I151" s="835">
        <v>4710.2</v>
      </c>
      <c r="J151" s="1045">
        <f t="shared" ref="J151" si="103">+A151-D151</f>
        <v>439</v>
      </c>
      <c r="K151" s="879">
        <f t="shared" ref="K151" si="104">+((B151/A151)-(E151/D151))/(B151/A151)</f>
        <v>-2.5185450842138947E-2</v>
      </c>
    </row>
    <row r="152" spans="1:11" ht="15" thickBot="1" x14ac:dyDescent="0.35">
      <c r="A152" s="872"/>
      <c r="B152" s="874"/>
      <c r="C152" s="874"/>
      <c r="D152" s="874"/>
      <c r="E152" s="874"/>
      <c r="F152" s="834" t="s">
        <v>7364</v>
      </c>
      <c r="G152" s="834">
        <v>67621</v>
      </c>
      <c r="H152" s="834">
        <v>186</v>
      </c>
      <c r="I152" s="834">
        <v>10023</v>
      </c>
      <c r="J152" s="1046"/>
      <c r="K152" s="880"/>
    </row>
    <row r="153" spans="1:11" x14ac:dyDescent="0.3">
      <c r="A153" s="15"/>
      <c r="B153" s="15"/>
      <c r="C153" s="15"/>
      <c r="D153" s="15"/>
      <c r="E153" s="15"/>
      <c r="F153" s="15"/>
      <c r="G153" s="15"/>
      <c r="H153" s="15"/>
      <c r="I153" s="15"/>
    </row>
    <row r="154" spans="1:11" x14ac:dyDescent="0.3">
      <c r="A154" s="156">
        <f>SUM(A5:A92)</f>
        <v>36195</v>
      </c>
      <c r="B154" s="156">
        <f>SUM(B5:B92)</f>
        <v>1659218.6500000001</v>
      </c>
      <c r="C154" s="156"/>
      <c r="D154" s="156">
        <f>SUM(D5:D92)</f>
        <v>36212</v>
      </c>
      <c r="E154" s="156">
        <f>SUM(E5:E92)</f>
        <v>1577410.5000000002</v>
      </c>
    </row>
  </sheetData>
  <mergeCells count="231">
    <mergeCell ref="A102:A103"/>
    <mergeCell ref="B102:B103"/>
    <mergeCell ref="C102:C103"/>
    <mergeCell ref="D102:D103"/>
    <mergeCell ref="E102:E103"/>
    <mergeCell ref="J102:J103"/>
    <mergeCell ref="K102:K103"/>
    <mergeCell ref="A106:A107"/>
    <mergeCell ref="B106:B107"/>
    <mergeCell ref="C106:C107"/>
    <mergeCell ref="C66:C68"/>
    <mergeCell ref="D66:D68"/>
    <mergeCell ref="J56:J57"/>
    <mergeCell ref="J58:J59"/>
    <mergeCell ref="J63:J64"/>
    <mergeCell ref="K56:K57"/>
    <mergeCell ref="K58:K59"/>
    <mergeCell ref="K63:K64"/>
    <mergeCell ref="A56:A57"/>
    <mergeCell ref="B56:B57"/>
    <mergeCell ref="C56:C57"/>
    <mergeCell ref="D56:D57"/>
    <mergeCell ref="E56:E57"/>
    <mergeCell ref="A58:A59"/>
    <mergeCell ref="B58:B59"/>
    <mergeCell ref="C58:C59"/>
    <mergeCell ref="D58:D59"/>
    <mergeCell ref="E58:E59"/>
    <mergeCell ref="D5:D6"/>
    <mergeCell ref="E5:E6"/>
    <mergeCell ref="J5:J6"/>
    <mergeCell ref="J44:J45"/>
    <mergeCell ref="K44:K45"/>
    <mergeCell ref="B5:B6"/>
    <mergeCell ref="J41:J42"/>
    <mergeCell ref="K41:K42"/>
    <mergeCell ref="A41:A42"/>
    <mergeCell ref="B41:B42"/>
    <mergeCell ref="C41:C42"/>
    <mergeCell ref="D41:D42"/>
    <mergeCell ref="E41:E42"/>
    <mergeCell ref="J31:J33"/>
    <mergeCell ref="K31:K33"/>
    <mergeCell ref="A31:A33"/>
    <mergeCell ref="B31:B33"/>
    <mergeCell ref="C31:C33"/>
    <mergeCell ref="D31:D33"/>
    <mergeCell ref="E31:E33"/>
    <mergeCell ref="A44:A45"/>
    <mergeCell ref="B44:B45"/>
    <mergeCell ref="C44:C45"/>
    <mergeCell ref="D44:D45"/>
    <mergeCell ref="A3:C3"/>
    <mergeCell ref="D3:E3"/>
    <mergeCell ref="G3:G4"/>
    <mergeCell ref="J3:J4"/>
    <mergeCell ref="K3:K4"/>
    <mergeCell ref="F38:F40"/>
    <mergeCell ref="G38:G40"/>
    <mergeCell ref="J38:J40"/>
    <mergeCell ref="K38:K40"/>
    <mergeCell ref="A38:A40"/>
    <mergeCell ref="B38:B40"/>
    <mergeCell ref="C38:C40"/>
    <mergeCell ref="D38:D40"/>
    <mergeCell ref="E38:E40"/>
    <mergeCell ref="K10:K11"/>
    <mergeCell ref="K5:K6"/>
    <mergeCell ref="A10:A11"/>
    <mergeCell ref="B10:B11"/>
    <mergeCell ref="C10:C11"/>
    <mergeCell ref="D10:D11"/>
    <mergeCell ref="E10:E11"/>
    <mergeCell ref="J10:J11"/>
    <mergeCell ref="A5:A6"/>
    <mergeCell ref="C5:C6"/>
    <mergeCell ref="E44:E45"/>
    <mergeCell ref="J53:J54"/>
    <mergeCell ref="K53:K54"/>
    <mergeCell ref="A53:A54"/>
    <mergeCell ref="B53:B54"/>
    <mergeCell ref="C53:C54"/>
    <mergeCell ref="D53:D54"/>
    <mergeCell ref="E53:E54"/>
    <mergeCell ref="J48:J50"/>
    <mergeCell ref="J51:J52"/>
    <mergeCell ref="K48:K50"/>
    <mergeCell ref="K51:K52"/>
    <mergeCell ref="A51:A52"/>
    <mergeCell ref="B51:B52"/>
    <mergeCell ref="C51:C52"/>
    <mergeCell ref="D51:D52"/>
    <mergeCell ref="E51:E52"/>
    <mergeCell ref="A48:A50"/>
    <mergeCell ref="B48:B50"/>
    <mergeCell ref="C48:C50"/>
    <mergeCell ref="D48:D50"/>
    <mergeCell ref="E48:E50"/>
    <mergeCell ref="A72:A73"/>
    <mergeCell ref="B72:B73"/>
    <mergeCell ref="C72:C73"/>
    <mergeCell ref="D72:D73"/>
    <mergeCell ref="E72:E73"/>
    <mergeCell ref="J72:J73"/>
    <mergeCell ref="K72:K73"/>
    <mergeCell ref="A63:A64"/>
    <mergeCell ref="B63:B64"/>
    <mergeCell ref="C63:C64"/>
    <mergeCell ref="D63:D64"/>
    <mergeCell ref="E63:E64"/>
    <mergeCell ref="E66:E68"/>
    <mergeCell ref="J70:J71"/>
    <mergeCell ref="K70:K71"/>
    <mergeCell ref="A70:A71"/>
    <mergeCell ref="B70:B71"/>
    <mergeCell ref="C70:C71"/>
    <mergeCell ref="D70:D71"/>
    <mergeCell ref="E70:E71"/>
    <mergeCell ref="J66:J68"/>
    <mergeCell ref="K66:K68"/>
    <mergeCell ref="A66:A68"/>
    <mergeCell ref="B66:B68"/>
    <mergeCell ref="J80:J81"/>
    <mergeCell ref="K80:K81"/>
    <mergeCell ref="J82:J83"/>
    <mergeCell ref="K82:K83"/>
    <mergeCell ref="J84:J85"/>
    <mergeCell ref="K84:K85"/>
    <mergeCell ref="A80:A81"/>
    <mergeCell ref="B80:B81"/>
    <mergeCell ref="C80:C81"/>
    <mergeCell ref="D80:D81"/>
    <mergeCell ref="E80:E81"/>
    <mergeCell ref="A82:A83"/>
    <mergeCell ref="B82:B83"/>
    <mergeCell ref="C82:C83"/>
    <mergeCell ref="D82:D83"/>
    <mergeCell ref="E82:E83"/>
    <mergeCell ref="A96:A97"/>
    <mergeCell ref="B96:B97"/>
    <mergeCell ref="C96:C97"/>
    <mergeCell ref="D96:D97"/>
    <mergeCell ref="E96:E97"/>
    <mergeCell ref="J96:J97"/>
    <mergeCell ref="K96:K97"/>
    <mergeCell ref="A84:A85"/>
    <mergeCell ref="B84:B85"/>
    <mergeCell ref="C84:C85"/>
    <mergeCell ref="D84:D85"/>
    <mergeCell ref="E84:E85"/>
    <mergeCell ref="J86:J87"/>
    <mergeCell ref="K86:K87"/>
    <mergeCell ref="J90:J91"/>
    <mergeCell ref="K90:K91"/>
    <mergeCell ref="A86:A87"/>
    <mergeCell ref="B86:B87"/>
    <mergeCell ref="C86:C87"/>
    <mergeCell ref="D86:D87"/>
    <mergeCell ref="E86:E87"/>
    <mergeCell ref="A90:A91"/>
    <mergeCell ref="B90:B91"/>
    <mergeCell ref="C90:C91"/>
    <mergeCell ref="D90:D91"/>
    <mergeCell ref="E90:E91"/>
    <mergeCell ref="D106:D107"/>
    <mergeCell ref="E106:E107"/>
    <mergeCell ref="J106:J107"/>
    <mergeCell ref="K106:K107"/>
    <mergeCell ref="A128:A129"/>
    <mergeCell ref="B128:B129"/>
    <mergeCell ref="C128:C129"/>
    <mergeCell ref="D128:D129"/>
    <mergeCell ref="E128:E129"/>
    <mergeCell ref="A124:A125"/>
    <mergeCell ref="B124:B125"/>
    <mergeCell ref="C124:C125"/>
    <mergeCell ref="D124:D125"/>
    <mergeCell ref="E124:E125"/>
    <mergeCell ref="J124:J125"/>
    <mergeCell ref="K124:K125"/>
    <mergeCell ref="A116:A117"/>
    <mergeCell ref="B116:B117"/>
    <mergeCell ref="C116:C117"/>
    <mergeCell ref="D116:D117"/>
    <mergeCell ref="E116:E117"/>
    <mergeCell ref="J116:J117"/>
    <mergeCell ref="K116:K117"/>
    <mergeCell ref="A113:A114"/>
    <mergeCell ref="A130:A131"/>
    <mergeCell ref="B130:B131"/>
    <mergeCell ref="C130:C131"/>
    <mergeCell ref="D130:D131"/>
    <mergeCell ref="E130:E131"/>
    <mergeCell ref="J128:J129"/>
    <mergeCell ref="K128:K129"/>
    <mergeCell ref="J130:J131"/>
    <mergeCell ref="K130:K131"/>
    <mergeCell ref="B113:B114"/>
    <mergeCell ref="C113:C114"/>
    <mergeCell ref="D113:D114"/>
    <mergeCell ref="E113:E114"/>
    <mergeCell ref="J113:J114"/>
    <mergeCell ref="K113:K114"/>
    <mergeCell ref="A145:A148"/>
    <mergeCell ref="B145:B148"/>
    <mergeCell ref="C145:C148"/>
    <mergeCell ref="D145:D148"/>
    <mergeCell ref="E145:E148"/>
    <mergeCell ref="J145:J148"/>
    <mergeCell ref="K145:K148"/>
    <mergeCell ref="A138:A141"/>
    <mergeCell ref="B138:B141"/>
    <mergeCell ref="C138:C141"/>
    <mergeCell ref="D138:D141"/>
    <mergeCell ref="E138:E141"/>
    <mergeCell ref="J138:J141"/>
    <mergeCell ref="K138:K141"/>
    <mergeCell ref="J149:J150"/>
    <mergeCell ref="K149:K150"/>
    <mergeCell ref="J151:J152"/>
    <mergeCell ref="K151:K152"/>
    <mergeCell ref="A149:A150"/>
    <mergeCell ref="B149:B150"/>
    <mergeCell ref="C149:C150"/>
    <mergeCell ref="D149:D150"/>
    <mergeCell ref="E149:E150"/>
    <mergeCell ref="A151:A152"/>
    <mergeCell ref="B151:B152"/>
    <mergeCell ref="C151:C152"/>
    <mergeCell ref="D151:D152"/>
    <mergeCell ref="E151:E152"/>
  </mergeCells>
  <pageMargins left="0.7" right="0.7" top="0.75" bottom="0.75" header="0.3" footer="0.3"/>
  <pageSetup orientation="portrait" horizontalDpi="4294967293" verticalDpi="4294967293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K234"/>
  <sheetViews>
    <sheetView topLeftCell="A193" zoomScale="80" zoomScaleNormal="80" workbookViewId="0">
      <selection activeCell="A233" sqref="A233:K233"/>
    </sheetView>
  </sheetViews>
  <sheetFormatPr baseColWidth="10" defaultColWidth="8.88671875" defaultRowHeight="14.4" x14ac:dyDescent="0.3"/>
  <cols>
    <col min="1" max="1" width="11.33203125" bestFit="1" customWidth="1"/>
    <col min="2" max="2" width="13.88671875" bestFit="1" customWidth="1"/>
    <col min="3" max="3" width="11" customWidth="1"/>
    <col min="4" max="4" width="12.88671875" customWidth="1"/>
    <col min="5" max="5" width="13.88671875" bestFit="1" customWidth="1"/>
    <col min="8" max="9" width="0" hidden="1" customWidth="1"/>
    <col min="11" max="11" width="12" bestFit="1" customWidth="1"/>
  </cols>
  <sheetData>
    <row r="1" spans="1:11" ht="33.6" x14ac:dyDescent="0.65">
      <c r="A1" s="104" t="s">
        <v>1167</v>
      </c>
      <c r="D1" s="95"/>
      <c r="E1" s="95"/>
      <c r="F1" s="95"/>
      <c r="G1" s="95"/>
      <c r="H1" s="95"/>
      <c r="I1" s="95"/>
    </row>
    <row r="2" spans="1:11" ht="15" thickBot="1" x14ac:dyDescent="0.35">
      <c r="D2" s="50"/>
      <c r="E2" s="50"/>
      <c r="F2" s="50"/>
      <c r="G2" s="50"/>
    </row>
    <row r="3" spans="1:11" x14ac:dyDescent="0.3">
      <c r="A3" s="1021" t="s">
        <v>1</v>
      </c>
      <c r="B3" s="1022"/>
      <c r="C3" s="1023"/>
      <c r="D3" s="1021" t="s">
        <v>2</v>
      </c>
      <c r="E3" s="1023"/>
      <c r="F3" s="4"/>
      <c r="G3" s="1024" t="s">
        <v>3</v>
      </c>
      <c r="H3" s="5"/>
      <c r="I3" s="5"/>
      <c r="J3" s="915" t="s">
        <v>91</v>
      </c>
      <c r="K3" s="984" t="s">
        <v>92</v>
      </c>
    </row>
    <row r="4" spans="1:11" ht="15" thickBot="1" x14ac:dyDescent="0.35">
      <c r="A4" s="220" t="s">
        <v>5</v>
      </c>
      <c r="B4" s="221" t="s">
        <v>6</v>
      </c>
      <c r="C4" s="222" t="s">
        <v>4</v>
      </c>
      <c r="D4" s="221" t="s">
        <v>7</v>
      </c>
      <c r="E4" s="222" t="s">
        <v>6</v>
      </c>
      <c r="F4" s="17" t="s">
        <v>8</v>
      </c>
      <c r="G4" s="1097"/>
      <c r="H4" s="17" t="s">
        <v>5</v>
      </c>
      <c r="I4" s="17" t="s">
        <v>10</v>
      </c>
      <c r="J4" s="916"/>
      <c r="K4" s="985"/>
    </row>
    <row r="5" spans="1:11" ht="15" thickBot="1" x14ac:dyDescent="0.35">
      <c r="A5" s="175">
        <v>128</v>
      </c>
      <c r="B5" s="8">
        <v>5629.5</v>
      </c>
      <c r="C5" s="8" t="s">
        <v>1168</v>
      </c>
      <c r="D5" s="8">
        <f t="shared" ref="D5:E6" si="0">+H5</f>
        <v>128</v>
      </c>
      <c r="E5" s="8">
        <f t="shared" si="0"/>
        <v>5526.4</v>
      </c>
      <c r="F5" s="8" t="s">
        <v>1169</v>
      </c>
      <c r="G5" s="8">
        <v>60021</v>
      </c>
      <c r="H5" s="8">
        <v>128</v>
      </c>
      <c r="I5" s="8">
        <v>5526.4</v>
      </c>
      <c r="J5" s="219">
        <f>+A5-D5</f>
        <v>0</v>
      </c>
      <c r="K5" s="33">
        <f>(+B5-E5)/B5</f>
        <v>1.8314237498889843E-2</v>
      </c>
    </row>
    <row r="6" spans="1:11" ht="15" thickBot="1" x14ac:dyDescent="0.35">
      <c r="A6" s="190">
        <f>100-100+100</f>
        <v>100</v>
      </c>
      <c r="B6" s="161">
        <f>4726.25-4726.25+4726.25</f>
        <v>4726.25</v>
      </c>
      <c r="C6" s="161" t="s">
        <v>1170</v>
      </c>
      <c r="D6" s="8">
        <f t="shared" si="0"/>
        <v>100</v>
      </c>
      <c r="E6" s="8">
        <f t="shared" si="0"/>
        <v>3810</v>
      </c>
      <c r="F6" s="8" t="s">
        <v>1171</v>
      </c>
      <c r="G6" s="8">
        <v>60041</v>
      </c>
      <c r="H6" s="8">
        <v>100</v>
      </c>
      <c r="I6" s="8">
        <v>3810</v>
      </c>
      <c r="J6" s="219">
        <f t="shared" ref="J6:J15" si="1">+A6-D6</f>
        <v>0</v>
      </c>
      <c r="K6" s="33">
        <f>(+B6-E6)/B6</f>
        <v>0.19386405712774399</v>
      </c>
    </row>
    <row r="7" spans="1:11" ht="15" thickBot="1" x14ac:dyDescent="0.35">
      <c r="A7" s="175">
        <v>300</v>
      </c>
      <c r="B7" s="8">
        <v>12836.4</v>
      </c>
      <c r="C7" s="8" t="s">
        <v>1172</v>
      </c>
      <c r="D7" s="8">
        <f>+H7</f>
        <v>300</v>
      </c>
      <c r="E7" s="8">
        <f>+I7</f>
        <v>12350.9</v>
      </c>
      <c r="F7" s="8" t="s">
        <v>1173</v>
      </c>
      <c r="G7" s="8">
        <v>34991</v>
      </c>
      <c r="H7" s="8">
        <v>300</v>
      </c>
      <c r="I7" s="161">
        <v>12350.9</v>
      </c>
      <c r="J7" s="219">
        <f t="shared" si="1"/>
        <v>0</v>
      </c>
      <c r="K7" s="33">
        <f>(+B7-E7)/B7</f>
        <v>3.7822130815493439E-2</v>
      </c>
    </row>
    <row r="8" spans="1:11" x14ac:dyDescent="0.3">
      <c r="A8" s="871">
        <v>490</v>
      </c>
      <c r="B8" s="873">
        <v>19282.25</v>
      </c>
      <c r="C8" s="873" t="s">
        <v>1174</v>
      </c>
      <c r="D8" s="873">
        <f>+H8+H9</f>
        <v>464</v>
      </c>
      <c r="E8" s="873">
        <f>+I8+I9</f>
        <v>17446.800000000003</v>
      </c>
      <c r="F8" s="12" t="s">
        <v>1175</v>
      </c>
      <c r="G8" s="12">
        <v>60141</v>
      </c>
      <c r="H8" s="12">
        <v>215</v>
      </c>
      <c r="I8" s="191">
        <v>8044.6</v>
      </c>
      <c r="J8" s="1045">
        <f t="shared" si="1"/>
        <v>26</v>
      </c>
      <c r="K8" s="879">
        <f>+((B8/A8)-(E8/D8))/(B8/A8)</f>
        <v>4.4487940266664597E-2</v>
      </c>
    </row>
    <row r="9" spans="1:11" ht="15" thickBot="1" x14ac:dyDescent="0.35">
      <c r="A9" s="872"/>
      <c r="B9" s="874"/>
      <c r="C9" s="874"/>
      <c r="D9" s="874"/>
      <c r="E9" s="874"/>
      <c r="F9" s="10" t="s">
        <v>1175</v>
      </c>
      <c r="G9" s="10">
        <v>60141</v>
      </c>
      <c r="H9" s="10">
        <v>249</v>
      </c>
      <c r="I9" s="126">
        <v>9402.2000000000007</v>
      </c>
      <c r="J9" s="1046"/>
      <c r="K9" s="880" t="e">
        <f>+((B9/A9)-(E9/D9))/(B9/A9)</f>
        <v>#DIV/0!</v>
      </c>
    </row>
    <row r="10" spans="1:11" ht="15" thickBot="1" x14ac:dyDescent="0.35">
      <c r="A10" s="181">
        <v>1195</v>
      </c>
      <c r="B10" s="15">
        <v>50836.4</v>
      </c>
      <c r="C10" s="15" t="s">
        <v>1267</v>
      </c>
      <c r="D10" s="15">
        <v>1194</v>
      </c>
      <c r="E10" s="15">
        <v>48660.6</v>
      </c>
      <c r="F10" s="15" t="s">
        <v>1268</v>
      </c>
      <c r="G10" s="15">
        <v>60441</v>
      </c>
      <c r="H10" s="15">
        <v>250</v>
      </c>
      <c r="I10" s="15">
        <v>9918.1</v>
      </c>
      <c r="J10" s="219">
        <f t="shared" si="1"/>
        <v>1</v>
      </c>
      <c r="K10" s="173">
        <f>+((B10/A10)-(E10/D10))/(B10/A10)</f>
        <v>4.1998365907956074E-2</v>
      </c>
    </row>
    <row r="11" spans="1:11" ht="15" thickBot="1" x14ac:dyDescent="0.35">
      <c r="A11" s="175">
        <f>+D11</f>
        <v>23</v>
      </c>
      <c r="B11" s="8">
        <f>+E11*1.04</f>
        <v>1100.008</v>
      </c>
      <c r="C11" s="8" t="s">
        <v>1269</v>
      </c>
      <c r="D11" s="8">
        <f t="shared" ref="D11:E12" si="2">+H11</f>
        <v>23</v>
      </c>
      <c r="E11" s="8">
        <f t="shared" si="2"/>
        <v>1057.7</v>
      </c>
      <c r="F11" s="8" t="s">
        <v>1270</v>
      </c>
      <c r="G11" s="8">
        <v>35151</v>
      </c>
      <c r="H11" s="8">
        <v>23</v>
      </c>
      <c r="I11" s="8">
        <v>1057.7</v>
      </c>
      <c r="J11" s="219">
        <f t="shared" si="1"/>
        <v>0</v>
      </c>
      <c r="K11" s="33">
        <f t="shared" ref="K11:K12" si="3">(+B11-E11)/B11</f>
        <v>3.8461538461538457E-2</v>
      </c>
    </row>
    <row r="12" spans="1:11" ht="15" thickBot="1" x14ac:dyDescent="0.35">
      <c r="A12" s="175">
        <f>+D12</f>
        <v>31</v>
      </c>
      <c r="B12" s="8">
        <f>+E12*1.04</f>
        <v>1398.6960000000001</v>
      </c>
      <c r="C12" s="8" t="s">
        <v>1235</v>
      </c>
      <c r="D12" s="8">
        <f t="shared" si="2"/>
        <v>31</v>
      </c>
      <c r="E12" s="8">
        <f t="shared" si="2"/>
        <v>1344.9</v>
      </c>
      <c r="F12" s="8" t="s">
        <v>1236</v>
      </c>
      <c r="G12" s="8">
        <v>90691</v>
      </c>
      <c r="H12" s="8">
        <v>31</v>
      </c>
      <c r="I12" s="8">
        <v>1344.9</v>
      </c>
      <c r="J12" s="219">
        <f t="shared" si="1"/>
        <v>0</v>
      </c>
      <c r="K12" s="33">
        <f t="shared" si="3"/>
        <v>3.8461538461538491E-2</v>
      </c>
    </row>
    <row r="13" spans="1:11" ht="15" thickBot="1" x14ac:dyDescent="0.35">
      <c r="A13" s="175">
        <v>500</v>
      </c>
      <c r="B13" s="8">
        <v>21836.7</v>
      </c>
      <c r="C13" s="8" t="s">
        <v>1991</v>
      </c>
      <c r="D13" s="8">
        <f>+H13</f>
        <v>501</v>
      </c>
      <c r="E13" s="8">
        <f>+I13</f>
        <v>20928.8</v>
      </c>
      <c r="F13" s="8" t="s">
        <v>1992</v>
      </c>
      <c r="G13" s="8">
        <v>60451</v>
      </c>
      <c r="H13" s="8">
        <v>501</v>
      </c>
      <c r="I13" s="8">
        <v>20928.8</v>
      </c>
      <c r="J13" s="219">
        <f t="shared" si="1"/>
        <v>-1</v>
      </c>
      <c r="K13" s="173">
        <f t="shared" ref="K13:K15" si="4">+((B13/A13)-(E13/D13))/(B13/A13)</f>
        <v>4.3489815397757439E-2</v>
      </c>
    </row>
    <row r="14" spans="1:11" ht="15" thickBot="1" x14ac:dyDescent="0.35">
      <c r="A14" s="175">
        <v>1234</v>
      </c>
      <c r="B14" s="8">
        <v>60397</v>
      </c>
      <c r="C14" s="8" t="s">
        <v>1993</v>
      </c>
      <c r="D14" s="8">
        <v>1237</v>
      </c>
      <c r="E14" s="8">
        <v>57058</v>
      </c>
      <c r="F14" s="8" t="s">
        <v>1994</v>
      </c>
      <c r="G14" s="9">
        <v>61411</v>
      </c>
      <c r="H14" s="15">
        <v>627</v>
      </c>
      <c r="I14" s="15">
        <v>28543.8</v>
      </c>
      <c r="J14" s="219">
        <f t="shared" si="1"/>
        <v>-3</v>
      </c>
      <c r="K14" s="53">
        <f t="shared" si="4"/>
        <v>5.7575348687528734E-2</v>
      </c>
    </row>
    <row r="15" spans="1:11" x14ac:dyDescent="0.3">
      <c r="A15" s="871">
        <v>1121</v>
      </c>
      <c r="B15" s="873">
        <v>52793</v>
      </c>
      <c r="C15" s="873" t="s">
        <v>2452</v>
      </c>
      <c r="D15" s="873">
        <f>+H15+H16+H17+H18</f>
        <v>1118</v>
      </c>
      <c r="E15" s="873">
        <f>+I15+I16+I17+I18</f>
        <v>49348.100000000006</v>
      </c>
      <c r="F15" s="12" t="s">
        <v>2453</v>
      </c>
      <c r="G15" s="12">
        <v>61471</v>
      </c>
      <c r="H15" s="12">
        <v>220</v>
      </c>
      <c r="I15" s="12">
        <v>9690.2000000000007</v>
      </c>
      <c r="J15" s="1045">
        <f t="shared" si="1"/>
        <v>3</v>
      </c>
      <c r="K15" s="879">
        <f t="shared" si="4"/>
        <v>6.2744703407885863E-2</v>
      </c>
    </row>
    <row r="16" spans="1:11" x14ac:dyDescent="0.3">
      <c r="A16" s="875"/>
      <c r="B16" s="881"/>
      <c r="C16" s="881"/>
      <c r="D16" s="881"/>
      <c r="E16" s="881"/>
      <c r="F16" s="15" t="s">
        <v>2453</v>
      </c>
      <c r="G16" s="15">
        <v>61471</v>
      </c>
      <c r="H16" s="15">
        <v>399</v>
      </c>
      <c r="I16" s="15">
        <v>17396</v>
      </c>
      <c r="J16" s="1047"/>
      <c r="K16" s="885"/>
    </row>
    <row r="17" spans="1:11" x14ac:dyDescent="0.3">
      <c r="A17" s="875"/>
      <c r="B17" s="881"/>
      <c r="C17" s="881"/>
      <c r="D17" s="881"/>
      <c r="E17" s="881"/>
      <c r="F17" s="15" t="s">
        <v>2453</v>
      </c>
      <c r="G17" s="15">
        <v>61471</v>
      </c>
      <c r="H17" s="15">
        <v>209</v>
      </c>
      <c r="I17" s="15">
        <v>9580.6</v>
      </c>
      <c r="J17" s="1047"/>
      <c r="K17" s="885"/>
    </row>
    <row r="18" spans="1:11" ht="15" thickBot="1" x14ac:dyDescent="0.35">
      <c r="A18" s="872"/>
      <c r="B18" s="874"/>
      <c r="C18" s="874"/>
      <c r="D18" s="874"/>
      <c r="E18" s="874"/>
      <c r="F18" s="10" t="s">
        <v>2453</v>
      </c>
      <c r="G18" s="10">
        <v>61471</v>
      </c>
      <c r="H18" s="10">
        <v>290</v>
      </c>
      <c r="I18" s="10">
        <v>12681.3</v>
      </c>
      <c r="J18" s="1046"/>
      <c r="K18" s="880"/>
    </row>
    <row r="19" spans="1:11" x14ac:dyDescent="0.3">
      <c r="A19" s="871">
        <v>1256</v>
      </c>
      <c r="B19" s="873">
        <v>55491.5</v>
      </c>
      <c r="C19" s="873" t="s">
        <v>2454</v>
      </c>
      <c r="D19" s="873">
        <v>1253</v>
      </c>
      <c r="E19" s="873">
        <v>52470.400000000001</v>
      </c>
      <c r="F19" s="12" t="s">
        <v>2455</v>
      </c>
      <c r="G19" s="12">
        <v>61511</v>
      </c>
      <c r="H19" s="12">
        <v>418</v>
      </c>
      <c r="I19" s="12">
        <v>17552.400000000001</v>
      </c>
      <c r="J19" s="1045">
        <f t="shared" ref="J19" si="5">+A19-D19</f>
        <v>3</v>
      </c>
      <c r="K19" s="879">
        <f t="shared" ref="K19" si="6">+((B19/A19)-(E19/D19))/(B19/A19)</f>
        <v>5.2178667830025637E-2</v>
      </c>
    </row>
    <row r="20" spans="1:11" x14ac:dyDescent="0.3">
      <c r="A20" s="875"/>
      <c r="B20" s="881"/>
      <c r="C20" s="881"/>
      <c r="D20" s="881"/>
      <c r="E20" s="881"/>
      <c r="F20" s="15" t="s">
        <v>2455</v>
      </c>
      <c r="G20" s="15">
        <v>61511</v>
      </c>
      <c r="H20" s="15">
        <v>400</v>
      </c>
      <c r="I20" s="15">
        <v>16599.099999999999</v>
      </c>
      <c r="J20" s="1047"/>
      <c r="K20" s="885"/>
    </row>
    <row r="21" spans="1:11" ht="15" thickBot="1" x14ac:dyDescent="0.35">
      <c r="A21" s="872"/>
      <c r="B21" s="874"/>
      <c r="C21" s="874"/>
      <c r="D21" s="874"/>
      <c r="E21" s="874"/>
      <c r="F21" s="10" t="s">
        <v>2455</v>
      </c>
      <c r="G21" s="10">
        <v>61511</v>
      </c>
      <c r="H21" s="10">
        <v>124</v>
      </c>
      <c r="I21" s="10">
        <v>5211.5</v>
      </c>
      <c r="J21" s="1046"/>
      <c r="K21" s="880"/>
    </row>
    <row r="22" spans="1:11" ht="15" thickBot="1" x14ac:dyDescent="0.35">
      <c r="A22" s="174">
        <v>157</v>
      </c>
      <c r="B22" s="12">
        <v>6920.25</v>
      </c>
      <c r="C22" s="12" t="s">
        <v>2568</v>
      </c>
      <c r="D22" s="12">
        <f>+H22</f>
        <v>157</v>
      </c>
      <c r="E22" s="12">
        <f>+I22</f>
        <v>6588.2</v>
      </c>
      <c r="F22" s="12" t="s">
        <v>2569</v>
      </c>
      <c r="G22" s="12">
        <v>62091</v>
      </c>
      <c r="H22" s="12">
        <v>157</v>
      </c>
      <c r="I22" s="12">
        <v>6588.2</v>
      </c>
      <c r="J22" s="219">
        <f t="shared" ref="J22:J23" si="7">+A22-D22</f>
        <v>0</v>
      </c>
      <c r="K22" s="33">
        <f t="shared" ref="K22" si="8">(+B22-E22)/B22</f>
        <v>4.79823705790976E-2</v>
      </c>
    </row>
    <row r="23" spans="1:11" x14ac:dyDescent="0.3">
      <c r="A23" s="871">
        <v>858</v>
      </c>
      <c r="B23" s="873">
        <v>40306.800000000003</v>
      </c>
      <c r="C23" s="873" t="s">
        <v>2570</v>
      </c>
      <c r="D23" s="873">
        <f>+H23+H26+H24+H25</f>
        <v>854</v>
      </c>
      <c r="E23" s="873">
        <f>+I23+I26+I24+I25</f>
        <v>37300.25</v>
      </c>
      <c r="F23" s="12" t="s">
        <v>2571</v>
      </c>
      <c r="G23" s="12">
        <v>62171</v>
      </c>
      <c r="H23" s="12">
        <v>43</v>
      </c>
      <c r="I23" s="12">
        <v>1906.8</v>
      </c>
      <c r="J23" s="1045">
        <f t="shared" si="7"/>
        <v>4</v>
      </c>
      <c r="K23" s="879">
        <f>+((B23/A23)-(E23/D23))/(B23/A23)</f>
        <v>7.0257166758131553E-2</v>
      </c>
    </row>
    <row r="24" spans="1:11" x14ac:dyDescent="0.3">
      <c r="A24" s="875"/>
      <c r="B24" s="881"/>
      <c r="C24" s="881"/>
      <c r="D24" s="881"/>
      <c r="E24" s="881"/>
      <c r="F24" s="15" t="s">
        <v>2571</v>
      </c>
      <c r="G24" s="15">
        <v>62172</v>
      </c>
      <c r="H24" s="15">
        <v>295</v>
      </c>
      <c r="I24" s="15">
        <v>12413.9</v>
      </c>
      <c r="J24" s="1047"/>
      <c r="K24" s="885"/>
    </row>
    <row r="25" spans="1:11" x14ac:dyDescent="0.3">
      <c r="A25" s="875"/>
      <c r="B25" s="881"/>
      <c r="C25" s="881"/>
      <c r="D25" s="881"/>
      <c r="E25" s="881"/>
      <c r="F25" s="15" t="s">
        <v>2571</v>
      </c>
      <c r="G25" s="15">
        <v>62173</v>
      </c>
      <c r="H25" s="15">
        <v>258</v>
      </c>
      <c r="I25" s="15">
        <v>11416.9</v>
      </c>
      <c r="J25" s="1047"/>
      <c r="K25" s="885"/>
    </row>
    <row r="26" spans="1:11" ht="15" thickBot="1" x14ac:dyDescent="0.35">
      <c r="A26" s="872"/>
      <c r="B26" s="874"/>
      <c r="C26" s="874"/>
      <c r="D26" s="874"/>
      <c r="E26" s="874"/>
      <c r="F26" s="10" t="s">
        <v>2571</v>
      </c>
      <c r="G26" s="10">
        <v>62171</v>
      </c>
      <c r="H26" s="10">
        <v>258</v>
      </c>
      <c r="I26" s="10">
        <v>11562.65</v>
      </c>
      <c r="J26" s="1046"/>
      <c r="K26" s="880" t="e">
        <f>+((B26/A26)-(E26/D26))/(B26/A26)</f>
        <v>#DIV/0!</v>
      </c>
    </row>
    <row r="27" spans="1:11" ht="15" thickBot="1" x14ac:dyDescent="0.35">
      <c r="A27" s="175">
        <v>300</v>
      </c>
      <c r="B27" s="8">
        <v>13187.5</v>
      </c>
      <c r="C27" s="8" t="s">
        <v>2739</v>
      </c>
      <c r="D27" s="8">
        <f>+H27</f>
        <v>300</v>
      </c>
      <c r="E27" s="8">
        <f>+I27</f>
        <v>12605.3</v>
      </c>
      <c r="F27" s="8" t="s">
        <v>2740</v>
      </c>
      <c r="G27" s="8">
        <v>62231</v>
      </c>
      <c r="H27" s="8">
        <v>300</v>
      </c>
      <c r="I27" s="8">
        <v>12605.3</v>
      </c>
      <c r="J27" s="219">
        <f t="shared" ref="J27:J31" si="9">+A27-D27</f>
        <v>0</v>
      </c>
      <c r="K27" s="33">
        <f t="shared" ref="K27:K30" si="10">(+B27-E27)/B27</f>
        <v>4.4147867298578253E-2</v>
      </c>
    </row>
    <row r="28" spans="1:11" ht="15" thickBot="1" x14ac:dyDescent="0.35">
      <c r="A28" s="175">
        <v>310</v>
      </c>
      <c r="B28" s="8">
        <v>13040.75</v>
      </c>
      <c r="C28" s="8" t="s">
        <v>2741</v>
      </c>
      <c r="D28" s="8">
        <f t="shared" ref="D28:E30" si="11">+H28</f>
        <v>310</v>
      </c>
      <c r="E28" s="8">
        <f t="shared" si="11"/>
        <v>12567.1</v>
      </c>
      <c r="F28" s="8" t="s">
        <v>2742</v>
      </c>
      <c r="G28" s="8">
        <v>62261</v>
      </c>
      <c r="H28" s="8">
        <v>310</v>
      </c>
      <c r="I28" s="8">
        <v>12567.1</v>
      </c>
      <c r="J28" s="219">
        <f t="shared" si="9"/>
        <v>0</v>
      </c>
      <c r="K28" s="33">
        <f t="shared" si="10"/>
        <v>3.6320763759753051E-2</v>
      </c>
    </row>
    <row r="29" spans="1:11" ht="15" thickBot="1" x14ac:dyDescent="0.35">
      <c r="A29" s="175">
        <v>300</v>
      </c>
      <c r="B29" s="8">
        <v>13714.25</v>
      </c>
      <c r="C29" s="8" t="s">
        <v>2743</v>
      </c>
      <c r="D29" s="8">
        <f t="shared" si="11"/>
        <v>300</v>
      </c>
      <c r="E29" s="8">
        <f t="shared" si="11"/>
        <v>13111.1</v>
      </c>
      <c r="F29" s="8" t="s">
        <v>2744</v>
      </c>
      <c r="G29" s="8">
        <v>62301</v>
      </c>
      <c r="H29" s="8">
        <v>300</v>
      </c>
      <c r="I29" s="8">
        <v>13111.1</v>
      </c>
      <c r="J29" s="219">
        <f t="shared" si="9"/>
        <v>0</v>
      </c>
      <c r="K29" s="33">
        <f t="shared" si="10"/>
        <v>4.3979802030734427E-2</v>
      </c>
    </row>
    <row r="30" spans="1:11" ht="15" thickBot="1" x14ac:dyDescent="0.35">
      <c r="A30" s="174">
        <v>362</v>
      </c>
      <c r="B30" s="12">
        <v>15756.25</v>
      </c>
      <c r="C30" s="12" t="s">
        <v>2745</v>
      </c>
      <c r="D30" s="12">
        <f t="shared" si="11"/>
        <v>362</v>
      </c>
      <c r="E30" s="12">
        <f t="shared" si="11"/>
        <v>14994.6</v>
      </c>
      <c r="F30" s="12" t="s">
        <v>2746</v>
      </c>
      <c r="G30" s="12">
        <v>62321</v>
      </c>
      <c r="H30" s="12">
        <v>362</v>
      </c>
      <c r="I30" s="12">
        <v>14994.6</v>
      </c>
      <c r="J30" s="219">
        <f t="shared" si="9"/>
        <v>0</v>
      </c>
      <c r="K30" s="33">
        <f t="shared" si="10"/>
        <v>4.8339547798492637E-2</v>
      </c>
    </row>
    <row r="31" spans="1:11" x14ac:dyDescent="0.3">
      <c r="A31" s="871">
        <v>416</v>
      </c>
      <c r="B31" s="873">
        <v>19012.25</v>
      </c>
      <c r="C31" s="873" t="s">
        <v>2747</v>
      </c>
      <c r="D31" s="873">
        <f>+H31+H32</f>
        <v>417</v>
      </c>
      <c r="E31" s="873">
        <f>+I31+I32</f>
        <v>18033.900000000001</v>
      </c>
      <c r="F31" s="12" t="s">
        <v>2748</v>
      </c>
      <c r="G31" s="12">
        <v>62371</v>
      </c>
      <c r="H31" s="12">
        <v>116</v>
      </c>
      <c r="I31" s="12">
        <v>5011.1000000000004</v>
      </c>
      <c r="J31" s="1045">
        <f t="shared" si="9"/>
        <v>-1</v>
      </c>
      <c r="K31" s="879">
        <f>+((B31/A31)-(E31/D31))/(B31/A31)</f>
        <v>5.3733606626776287E-2</v>
      </c>
    </row>
    <row r="32" spans="1:11" ht="15" thickBot="1" x14ac:dyDescent="0.35">
      <c r="A32" s="872"/>
      <c r="B32" s="874"/>
      <c r="C32" s="874"/>
      <c r="D32" s="874"/>
      <c r="E32" s="874"/>
      <c r="F32" s="10" t="s">
        <v>2748</v>
      </c>
      <c r="G32" s="10">
        <v>62371</v>
      </c>
      <c r="H32" s="10">
        <v>301</v>
      </c>
      <c r="I32" s="10">
        <v>13022.8</v>
      </c>
      <c r="J32" s="1046"/>
      <c r="K32" s="880" t="e">
        <f>+((B32/A32)-(E32/D32))/(B32/A32)</f>
        <v>#DIV/0!</v>
      </c>
    </row>
    <row r="33" spans="1:11" x14ac:dyDescent="0.3">
      <c r="A33" s="871">
        <v>116</v>
      </c>
      <c r="B33" s="873">
        <v>4821.75</v>
      </c>
      <c r="C33" s="873" t="s">
        <v>2873</v>
      </c>
      <c r="D33" s="873">
        <f>+H33+H34</f>
        <v>117</v>
      </c>
      <c r="E33" s="873">
        <f>+I33+I34</f>
        <v>4733</v>
      </c>
      <c r="F33" s="12" t="s">
        <v>2874</v>
      </c>
      <c r="G33" s="12">
        <v>62411</v>
      </c>
      <c r="H33" s="12">
        <v>90</v>
      </c>
      <c r="I33" s="12">
        <v>3785.8</v>
      </c>
      <c r="J33" s="1045">
        <f t="shared" ref="J33:J35" si="12">+A33-D33</f>
        <v>-1</v>
      </c>
      <c r="K33" s="879">
        <f>+((B33/A33)-(E33/D33))/(B33/A33)</f>
        <v>2.6795871095140009E-2</v>
      </c>
    </row>
    <row r="34" spans="1:11" ht="15" thickBot="1" x14ac:dyDescent="0.35">
      <c r="A34" s="872"/>
      <c r="B34" s="874"/>
      <c r="C34" s="874"/>
      <c r="D34" s="874"/>
      <c r="E34" s="874"/>
      <c r="F34" s="10" t="s">
        <v>2875</v>
      </c>
      <c r="G34" s="10">
        <v>63411</v>
      </c>
      <c r="H34" s="10">
        <v>27</v>
      </c>
      <c r="I34" s="10">
        <v>947.2</v>
      </c>
      <c r="J34" s="1046"/>
      <c r="K34" s="880" t="e">
        <f>+((B34/A34)-(E34/D34))/(B34/A34)</f>
        <v>#DIV/0!</v>
      </c>
    </row>
    <row r="35" spans="1:11" x14ac:dyDescent="0.3">
      <c r="A35" s="871">
        <v>579</v>
      </c>
      <c r="B35" s="873">
        <v>25474.25</v>
      </c>
      <c r="C35" s="873" t="s">
        <v>2876</v>
      </c>
      <c r="D35" s="873">
        <f>+H35+H36</f>
        <v>579</v>
      </c>
      <c r="E35" s="873">
        <f>+I35+I36</f>
        <v>24683.200000000001</v>
      </c>
      <c r="F35" s="12" t="s">
        <v>2877</v>
      </c>
      <c r="G35" s="12">
        <v>62521</v>
      </c>
      <c r="H35" s="12">
        <v>289</v>
      </c>
      <c r="I35" s="12">
        <v>12205</v>
      </c>
      <c r="J35" s="1045">
        <f t="shared" si="12"/>
        <v>0</v>
      </c>
      <c r="K35" s="879">
        <f t="shared" ref="K35:K37" si="13">(+B35-E35)/B35</f>
        <v>3.105292599389577E-2</v>
      </c>
    </row>
    <row r="36" spans="1:11" ht="15" thickBot="1" x14ac:dyDescent="0.35">
      <c r="A36" s="872"/>
      <c r="B36" s="874"/>
      <c r="C36" s="874"/>
      <c r="D36" s="874"/>
      <c r="E36" s="874"/>
      <c r="F36" s="10" t="s">
        <v>2877</v>
      </c>
      <c r="G36" s="10">
        <v>62521</v>
      </c>
      <c r="H36" s="10">
        <v>290</v>
      </c>
      <c r="I36" s="10">
        <v>12478.2</v>
      </c>
      <c r="J36" s="1046"/>
      <c r="K36" s="880"/>
    </row>
    <row r="37" spans="1:11" ht="15" thickBot="1" x14ac:dyDescent="0.35">
      <c r="A37" s="175">
        <v>305</v>
      </c>
      <c r="B37" s="8">
        <v>13246.75</v>
      </c>
      <c r="C37" s="8" t="s">
        <v>2878</v>
      </c>
      <c r="D37" s="8">
        <f>+H37</f>
        <v>305</v>
      </c>
      <c r="E37" s="8">
        <f>+I37</f>
        <v>13065</v>
      </c>
      <c r="F37" s="8" t="s">
        <v>2879</v>
      </c>
      <c r="G37" s="8">
        <v>62581</v>
      </c>
      <c r="H37" s="8">
        <v>305</v>
      </c>
      <c r="I37" s="8">
        <v>13065</v>
      </c>
      <c r="J37" s="219">
        <f t="shared" ref="J37:J38" si="14">+A37-D37</f>
        <v>0</v>
      </c>
      <c r="K37" s="33">
        <f t="shared" si="13"/>
        <v>1.3720346500084926E-2</v>
      </c>
    </row>
    <row r="38" spans="1:11" x14ac:dyDescent="0.3">
      <c r="A38" s="871">
        <v>1298</v>
      </c>
      <c r="B38" s="873">
        <v>57590.25</v>
      </c>
      <c r="C38" s="873" t="s">
        <v>2984</v>
      </c>
      <c r="D38" s="873">
        <v>1298</v>
      </c>
      <c r="E38" s="873">
        <v>56158.3</v>
      </c>
      <c r="F38" s="12" t="s">
        <v>2985</v>
      </c>
      <c r="G38" s="12">
        <v>62601</v>
      </c>
      <c r="H38" s="12">
        <v>200</v>
      </c>
      <c r="I38" s="12">
        <v>8623.2000000000007</v>
      </c>
      <c r="J38" s="1045">
        <f t="shared" si="14"/>
        <v>0</v>
      </c>
      <c r="K38" s="879">
        <f>+((B38/A38)-(E38/D38))/(B38/A38)</f>
        <v>2.4864451882045977E-2</v>
      </c>
    </row>
    <row r="39" spans="1:11" ht="15" thickBot="1" x14ac:dyDescent="0.35">
      <c r="A39" s="872"/>
      <c r="B39" s="874"/>
      <c r="C39" s="874"/>
      <c r="D39" s="874"/>
      <c r="E39" s="874"/>
      <c r="F39" s="10" t="s">
        <v>2985</v>
      </c>
      <c r="G39" s="10">
        <v>62601</v>
      </c>
      <c r="H39" s="10">
        <v>519</v>
      </c>
      <c r="I39" s="10">
        <v>22539.600000000002</v>
      </c>
      <c r="J39" s="1046"/>
      <c r="K39" s="880" t="e">
        <f>+((B39/A39)-(E39/D39))/(B39/A39)</f>
        <v>#DIV/0!</v>
      </c>
    </row>
    <row r="40" spans="1:11" ht="15" thickBot="1" x14ac:dyDescent="0.35">
      <c r="A40" s="175">
        <v>226</v>
      </c>
      <c r="B40" s="8">
        <v>10123.25</v>
      </c>
      <c r="C40" s="8" t="s">
        <v>3143</v>
      </c>
      <c r="D40" s="8">
        <f t="shared" ref="D40:E42" si="15">+H40</f>
        <v>226</v>
      </c>
      <c r="E40" s="8">
        <f t="shared" si="15"/>
        <v>9944.1</v>
      </c>
      <c r="F40" s="8" t="s">
        <v>3144</v>
      </c>
      <c r="G40" s="8">
        <v>62671</v>
      </c>
      <c r="H40" s="8">
        <v>226</v>
      </c>
      <c r="I40" s="8">
        <v>9944.1</v>
      </c>
      <c r="J40" s="219">
        <f t="shared" ref="J40:J44" si="16">+A40-D40</f>
        <v>0</v>
      </c>
      <c r="K40" s="173">
        <f t="shared" ref="K40:K44" si="17">+((B40/A40)-(E40/D40))/(B40/A40)</f>
        <v>1.769688588151044E-2</v>
      </c>
    </row>
    <row r="41" spans="1:11" ht="15" thickBot="1" x14ac:dyDescent="0.35">
      <c r="A41" s="175">
        <v>89</v>
      </c>
      <c r="B41" s="8">
        <v>4121.25</v>
      </c>
      <c r="C41" s="8" t="s">
        <v>3145</v>
      </c>
      <c r="D41" s="8">
        <f t="shared" si="15"/>
        <v>89</v>
      </c>
      <c r="E41" s="8">
        <f t="shared" si="15"/>
        <v>4003.9</v>
      </c>
      <c r="F41" s="8" t="s">
        <v>3146</v>
      </c>
      <c r="G41" s="8">
        <v>62811</v>
      </c>
      <c r="H41" s="8">
        <v>89</v>
      </c>
      <c r="I41" s="8">
        <v>4003.9</v>
      </c>
      <c r="J41" s="219">
        <f t="shared" si="16"/>
        <v>0</v>
      </c>
      <c r="K41" s="173">
        <f t="shared" si="17"/>
        <v>2.8474370639975655E-2</v>
      </c>
    </row>
    <row r="42" spans="1:11" ht="15" thickBot="1" x14ac:dyDescent="0.35">
      <c r="A42" s="181">
        <v>146</v>
      </c>
      <c r="B42" s="15">
        <v>6221.5</v>
      </c>
      <c r="C42" s="15" t="s">
        <v>3147</v>
      </c>
      <c r="D42" s="12">
        <f t="shared" si="15"/>
        <v>146</v>
      </c>
      <c r="E42" s="12">
        <f t="shared" si="15"/>
        <v>6115.7999999999993</v>
      </c>
      <c r="F42" s="15" t="s">
        <v>3148</v>
      </c>
      <c r="G42" s="15">
        <v>62821</v>
      </c>
      <c r="H42" s="15">
        <v>146</v>
      </c>
      <c r="I42" s="15">
        <v>6115.7999999999993</v>
      </c>
      <c r="J42" s="219">
        <f t="shared" si="16"/>
        <v>0</v>
      </c>
      <c r="K42" s="173">
        <f t="shared" si="17"/>
        <v>1.6989471992284871E-2</v>
      </c>
    </row>
    <row r="43" spans="1:11" ht="15" thickBot="1" x14ac:dyDescent="0.35">
      <c r="A43" s="175">
        <v>537</v>
      </c>
      <c r="B43" s="8">
        <v>23819.75</v>
      </c>
      <c r="C43" s="8" t="s">
        <v>3149</v>
      </c>
      <c r="D43" s="8">
        <v>534</v>
      </c>
      <c r="E43" s="8">
        <v>23018</v>
      </c>
      <c r="F43" s="8" t="s">
        <v>3150</v>
      </c>
      <c r="G43" s="8">
        <v>62831</v>
      </c>
      <c r="H43" s="8">
        <v>100</v>
      </c>
      <c r="I43" s="8">
        <v>4333.2</v>
      </c>
      <c r="J43" s="219">
        <f t="shared" si="16"/>
        <v>3</v>
      </c>
      <c r="K43" s="173">
        <f t="shared" si="17"/>
        <v>2.8230161662419886E-2</v>
      </c>
    </row>
    <row r="44" spans="1:11" x14ac:dyDescent="0.3">
      <c r="A44" s="871">
        <v>901</v>
      </c>
      <c r="B44" s="873">
        <v>38565.5</v>
      </c>
      <c r="C44" s="873" t="s">
        <v>3296</v>
      </c>
      <c r="D44" s="873">
        <f>+H44+H45+H46</f>
        <v>901</v>
      </c>
      <c r="E44" s="873">
        <f>+I44+I45+I46</f>
        <v>37164.699999999997</v>
      </c>
      <c r="F44" s="12" t="s">
        <v>3297</v>
      </c>
      <c r="G44" s="12">
        <v>62841</v>
      </c>
      <c r="H44" s="12">
        <v>401</v>
      </c>
      <c r="I44" s="12">
        <v>16624.599999999999</v>
      </c>
      <c r="J44" s="1045">
        <f t="shared" si="16"/>
        <v>0</v>
      </c>
      <c r="K44" s="879">
        <f t="shared" si="17"/>
        <v>3.6322619958252977E-2</v>
      </c>
    </row>
    <row r="45" spans="1:11" x14ac:dyDescent="0.3">
      <c r="A45" s="875"/>
      <c r="B45" s="881"/>
      <c r="C45" s="881"/>
      <c r="D45" s="881"/>
      <c r="E45" s="881"/>
      <c r="F45" s="15" t="s">
        <v>3297</v>
      </c>
      <c r="G45" s="15">
        <v>62841</v>
      </c>
      <c r="H45" s="15">
        <v>200</v>
      </c>
      <c r="I45" s="15">
        <v>8329</v>
      </c>
      <c r="J45" s="1047"/>
      <c r="K45" s="885"/>
    </row>
    <row r="46" spans="1:11" ht="15" thickBot="1" x14ac:dyDescent="0.35">
      <c r="A46" s="872"/>
      <c r="B46" s="874"/>
      <c r="C46" s="874"/>
      <c r="D46" s="874"/>
      <c r="E46" s="874"/>
      <c r="F46" s="10" t="s">
        <v>3297</v>
      </c>
      <c r="G46" s="10">
        <v>62841</v>
      </c>
      <c r="H46" s="10">
        <v>300</v>
      </c>
      <c r="I46" s="10">
        <v>12211.1</v>
      </c>
      <c r="J46" s="1046"/>
      <c r="K46" s="880"/>
    </row>
    <row r="47" spans="1:11" ht="15" thickBot="1" x14ac:dyDescent="0.35">
      <c r="A47" s="175">
        <v>220</v>
      </c>
      <c r="B47" s="8">
        <v>9298.25</v>
      </c>
      <c r="C47" s="8" t="s">
        <v>3298</v>
      </c>
      <c r="D47" s="8">
        <f>+H47</f>
        <v>119</v>
      </c>
      <c r="E47" s="8">
        <f>+I47</f>
        <v>4797.8</v>
      </c>
      <c r="F47" s="8" t="s">
        <v>3299</v>
      </c>
      <c r="G47" s="8">
        <v>62881</v>
      </c>
      <c r="H47" s="8">
        <v>119</v>
      </c>
      <c r="I47" s="8">
        <v>4797.8</v>
      </c>
      <c r="J47" s="219">
        <f t="shared" ref="J47:J49" si="18">+A47-D47</f>
        <v>101</v>
      </c>
      <c r="K47" s="173">
        <f t="shared" ref="K47:K48" si="19">+((B47/A47)-(E47/D47))/(B47/A47)</f>
        <v>4.6069706348917612E-2</v>
      </c>
    </row>
    <row r="48" spans="1:11" ht="15" thickBot="1" x14ac:dyDescent="0.35">
      <c r="A48" s="175">
        <v>300</v>
      </c>
      <c r="B48" s="8">
        <v>12806.75</v>
      </c>
      <c r="C48" s="8" t="s">
        <v>3300</v>
      </c>
      <c r="D48" s="8">
        <f>+H48</f>
        <v>400</v>
      </c>
      <c r="E48" s="8">
        <f>+I48</f>
        <v>16280.5</v>
      </c>
      <c r="F48" s="8" t="s">
        <v>3301</v>
      </c>
      <c r="G48" s="8">
        <v>62901</v>
      </c>
      <c r="H48" s="8">
        <v>400</v>
      </c>
      <c r="I48" s="8">
        <v>16280.5</v>
      </c>
      <c r="J48" s="219">
        <f t="shared" si="18"/>
        <v>-100</v>
      </c>
      <c r="K48" s="173">
        <f t="shared" si="19"/>
        <v>4.6567239932067003E-2</v>
      </c>
    </row>
    <row r="49" spans="1:11" x14ac:dyDescent="0.3">
      <c r="A49" s="871">
        <v>431</v>
      </c>
      <c r="B49" s="873">
        <v>19247.75</v>
      </c>
      <c r="C49" s="873" t="s">
        <v>3389</v>
      </c>
      <c r="D49" s="873">
        <f>+H49+H50</f>
        <v>431</v>
      </c>
      <c r="E49" s="873">
        <f>+I49+I50</f>
        <v>18494.800000000003</v>
      </c>
      <c r="F49" s="12" t="s">
        <v>3390</v>
      </c>
      <c r="G49" s="12">
        <v>62971</v>
      </c>
      <c r="H49" s="12">
        <v>300</v>
      </c>
      <c r="I49" s="12">
        <v>12921.300000000001</v>
      </c>
      <c r="J49" s="1045">
        <f t="shared" si="18"/>
        <v>0</v>
      </c>
      <c r="K49" s="879">
        <f>+((B49/A49)-(E49/D49))/(B49/A49)</f>
        <v>3.9118858048343252E-2</v>
      </c>
    </row>
    <row r="50" spans="1:11" ht="15" thickBot="1" x14ac:dyDescent="0.35">
      <c r="A50" s="872"/>
      <c r="B50" s="874"/>
      <c r="C50" s="874"/>
      <c r="D50" s="874"/>
      <c r="E50" s="874"/>
      <c r="F50" s="10" t="s">
        <v>3390</v>
      </c>
      <c r="G50" s="10">
        <v>62971</v>
      </c>
      <c r="H50" s="10">
        <v>131</v>
      </c>
      <c r="I50" s="10">
        <v>5573.5</v>
      </c>
      <c r="J50" s="1046"/>
      <c r="K50" s="880" t="e">
        <f>+((B50/A50)-(E50/D50))/(B50/A50)</f>
        <v>#DIV/0!</v>
      </c>
    </row>
    <row r="51" spans="1:11" ht="15" thickBot="1" x14ac:dyDescent="0.35">
      <c r="A51" s="174">
        <v>121</v>
      </c>
      <c r="B51" s="12">
        <v>5206</v>
      </c>
      <c r="C51" s="12" t="s">
        <v>3391</v>
      </c>
      <c r="D51" s="12">
        <f>+H51</f>
        <v>121</v>
      </c>
      <c r="E51" s="12">
        <f>+I51</f>
        <v>4929.8</v>
      </c>
      <c r="F51" s="12" t="s">
        <v>3392</v>
      </c>
      <c r="G51" s="12">
        <v>62981</v>
      </c>
      <c r="H51" s="12">
        <v>121</v>
      </c>
      <c r="I51" s="12">
        <v>4929.8</v>
      </c>
      <c r="J51" s="219">
        <f t="shared" ref="J51" si="20">+A51-D51</f>
        <v>0</v>
      </c>
      <c r="K51" s="173">
        <f t="shared" ref="K51" si="21">+((B51/A51)-(E51/D51))/(B51/A51)</f>
        <v>5.3054168267383718E-2</v>
      </c>
    </row>
    <row r="52" spans="1:11" x14ac:dyDescent="0.3">
      <c r="A52" s="871">
        <v>600</v>
      </c>
      <c r="B52" s="873">
        <v>21580.25</v>
      </c>
      <c r="C52" s="873" t="s">
        <v>3393</v>
      </c>
      <c r="D52" s="873">
        <f>+H52+H53</f>
        <v>600</v>
      </c>
      <c r="E52" s="873">
        <f>+I52+I53</f>
        <v>20727.8</v>
      </c>
      <c r="F52" s="12" t="s">
        <v>3394</v>
      </c>
      <c r="G52" s="12">
        <v>63061</v>
      </c>
      <c r="H52" s="12">
        <v>300</v>
      </c>
      <c r="I52" s="12">
        <v>11114.9</v>
      </c>
      <c r="J52" s="1045">
        <f t="shared" ref="J52" si="22">+A52-D52</f>
        <v>0</v>
      </c>
      <c r="K52" s="879">
        <f>+((B52/A52)-(E52/D52))/(B52/A52)</f>
        <v>3.9501395952317657E-2</v>
      </c>
    </row>
    <row r="53" spans="1:11" ht="15" thickBot="1" x14ac:dyDescent="0.35">
      <c r="A53" s="872"/>
      <c r="B53" s="874"/>
      <c r="C53" s="874"/>
      <c r="D53" s="874"/>
      <c r="E53" s="874"/>
      <c r="F53" s="10" t="s">
        <v>3394</v>
      </c>
      <c r="G53" s="10">
        <v>63061</v>
      </c>
      <c r="H53" s="10">
        <v>300</v>
      </c>
      <c r="I53" s="10">
        <v>9612.9</v>
      </c>
      <c r="J53" s="1046"/>
      <c r="K53" s="880" t="e">
        <f>+((B53/A53)-(E53/D53))/(B53/A53)</f>
        <v>#DIV/0!</v>
      </c>
    </row>
    <row r="54" spans="1:11" x14ac:dyDescent="0.3">
      <c r="A54" s="871">
        <v>704</v>
      </c>
      <c r="B54" s="873">
        <v>31747.75</v>
      </c>
      <c r="C54" s="873" t="s">
        <v>3395</v>
      </c>
      <c r="D54" s="873">
        <f>+H54+H55</f>
        <v>701</v>
      </c>
      <c r="E54" s="873">
        <f>+I54+I55</f>
        <v>29830.3</v>
      </c>
      <c r="F54" s="12" t="s">
        <v>3396</v>
      </c>
      <c r="G54" s="12">
        <v>63071</v>
      </c>
      <c r="H54" s="12">
        <v>300</v>
      </c>
      <c r="I54" s="12">
        <v>12899</v>
      </c>
      <c r="J54" s="1045">
        <f t="shared" ref="J54" si="23">+A54-D54</f>
        <v>3</v>
      </c>
      <c r="K54" s="879">
        <f>+((B54/A54)-(E54/D54))/(B54/A54)</f>
        <v>5.6375277967680631E-2</v>
      </c>
    </row>
    <row r="55" spans="1:11" ht="15" thickBot="1" x14ac:dyDescent="0.35">
      <c r="A55" s="872"/>
      <c r="B55" s="874"/>
      <c r="C55" s="874"/>
      <c r="D55" s="874"/>
      <c r="E55" s="874"/>
      <c r="F55" s="10" t="s">
        <v>3396</v>
      </c>
      <c r="G55" s="10">
        <v>63071</v>
      </c>
      <c r="H55" s="10">
        <v>401</v>
      </c>
      <c r="I55" s="10">
        <v>16931.3</v>
      </c>
      <c r="J55" s="1046"/>
      <c r="K55" s="880" t="e">
        <f>+((B55/A55)-(E55/D55))/(B55/A55)</f>
        <v>#DIV/0!</v>
      </c>
    </row>
    <row r="56" spans="1:11" ht="15" thickBot="1" x14ac:dyDescent="0.35">
      <c r="A56" s="175">
        <v>250</v>
      </c>
      <c r="B56" s="8">
        <v>10744.25</v>
      </c>
      <c r="C56" s="8" t="s">
        <v>3397</v>
      </c>
      <c r="D56" s="8">
        <f>+H56</f>
        <v>250</v>
      </c>
      <c r="E56" s="8">
        <f>+I56</f>
        <v>10070.6</v>
      </c>
      <c r="F56" s="8" t="s">
        <v>3398</v>
      </c>
      <c r="G56" s="8">
        <v>63111</v>
      </c>
      <c r="H56" s="8">
        <v>250</v>
      </c>
      <c r="I56" s="8">
        <v>10070.6</v>
      </c>
      <c r="J56" s="219">
        <f t="shared" ref="J56:J57" si="24">+A56-D56</f>
        <v>0</v>
      </c>
      <c r="K56" s="173">
        <f t="shared" ref="K56:K57" si="25">+((B56/A56)-(E56/D56))/(B56/A56)</f>
        <v>6.2698652767759364E-2</v>
      </c>
    </row>
    <row r="57" spans="1:11" ht="15" thickBot="1" x14ac:dyDescent="0.35">
      <c r="A57" s="175">
        <v>481</v>
      </c>
      <c r="B57" s="8">
        <v>21348.5</v>
      </c>
      <c r="C57" s="8" t="s">
        <v>3399</v>
      </c>
      <c r="D57" s="8">
        <f>+H57+231</f>
        <v>481</v>
      </c>
      <c r="E57" s="8">
        <f>+I57+9420.6</f>
        <v>19677.099999999999</v>
      </c>
      <c r="F57" s="8" t="s">
        <v>3400</v>
      </c>
      <c r="G57" s="8">
        <v>63121</v>
      </c>
      <c r="H57" s="8">
        <v>250</v>
      </c>
      <c r="I57" s="8">
        <v>10256.5</v>
      </c>
      <c r="J57" s="219">
        <f t="shared" si="24"/>
        <v>0</v>
      </c>
      <c r="K57" s="53">
        <f t="shared" si="25"/>
        <v>7.829121483945016E-2</v>
      </c>
    </row>
    <row r="58" spans="1:11" ht="15" thickBot="1" x14ac:dyDescent="0.35">
      <c r="A58" s="313">
        <v>719</v>
      </c>
      <c r="B58" s="27">
        <v>31753.5</v>
      </c>
      <c r="C58" s="27" t="s">
        <v>3537</v>
      </c>
      <c r="D58" s="8">
        <f t="shared" ref="D58:E59" si="26">+H58</f>
        <v>719</v>
      </c>
      <c r="E58" s="8">
        <f t="shared" si="26"/>
        <v>29947.599999999999</v>
      </c>
      <c r="F58" s="8" t="s">
        <v>3538</v>
      </c>
      <c r="G58" s="8">
        <v>63171</v>
      </c>
      <c r="H58" s="8">
        <v>719</v>
      </c>
      <c r="I58" s="8">
        <v>29947.599999999999</v>
      </c>
      <c r="J58" s="219">
        <f t="shared" ref="J58:J60" si="27">+A58-D58</f>
        <v>0</v>
      </c>
      <c r="K58" s="53">
        <f t="shared" ref="K58:K59" si="28">+((B58/A58)-(E58/D58))/(B58/A58)</f>
        <v>5.6872470751255705E-2</v>
      </c>
    </row>
    <row r="59" spans="1:11" ht="15" thickBot="1" x14ac:dyDescent="0.35">
      <c r="A59" s="306">
        <v>528</v>
      </c>
      <c r="B59" s="29">
        <v>20919</v>
      </c>
      <c r="C59" s="29" t="s">
        <v>3539</v>
      </c>
      <c r="D59" s="12">
        <f t="shared" si="26"/>
        <v>526</v>
      </c>
      <c r="E59" s="12">
        <f t="shared" si="26"/>
        <v>19522.2</v>
      </c>
      <c r="F59" s="12" t="s">
        <v>3540</v>
      </c>
      <c r="G59" s="12">
        <v>63211</v>
      </c>
      <c r="H59" s="12">
        <v>526</v>
      </c>
      <c r="I59" s="12">
        <v>19522.2</v>
      </c>
      <c r="J59" s="219">
        <f t="shared" si="27"/>
        <v>2</v>
      </c>
      <c r="K59" s="53">
        <f t="shared" si="28"/>
        <v>6.3223438150083439E-2</v>
      </c>
    </row>
    <row r="60" spans="1:11" x14ac:dyDescent="0.3">
      <c r="A60" s="902">
        <v>254</v>
      </c>
      <c r="B60" s="905">
        <v>10426</v>
      </c>
      <c r="C60" s="905" t="s">
        <v>3541</v>
      </c>
      <c r="D60" s="873">
        <f>+H60+H61</f>
        <v>254</v>
      </c>
      <c r="E60" s="873">
        <f>+I60+I61</f>
        <v>9832.7000000000007</v>
      </c>
      <c r="F60" s="12" t="s">
        <v>3542</v>
      </c>
      <c r="G60" s="12">
        <v>63261</v>
      </c>
      <c r="H60" s="12">
        <v>125</v>
      </c>
      <c r="I60" s="12">
        <v>4866.3</v>
      </c>
      <c r="J60" s="1045">
        <f t="shared" si="27"/>
        <v>0</v>
      </c>
      <c r="K60" s="879">
        <f>+((B60/A60)-(E60/D60))/(B60/A60)</f>
        <v>5.6905812392096689E-2</v>
      </c>
    </row>
    <row r="61" spans="1:11" ht="15" thickBot="1" x14ac:dyDescent="0.35">
      <c r="A61" s="904"/>
      <c r="B61" s="907"/>
      <c r="C61" s="907"/>
      <c r="D61" s="874"/>
      <c r="E61" s="874"/>
      <c r="F61" s="10" t="s">
        <v>3542</v>
      </c>
      <c r="G61" s="10">
        <v>63261</v>
      </c>
      <c r="H61" s="10">
        <v>129</v>
      </c>
      <c r="I61" s="10">
        <v>4966.3999999999996</v>
      </c>
      <c r="J61" s="1046"/>
      <c r="K61" s="880" t="e">
        <f>+((B61/A61)-(E61/D61))/(B61/A61)</f>
        <v>#DIV/0!</v>
      </c>
    </row>
    <row r="62" spans="1:11" ht="15" thickBot="1" x14ac:dyDescent="0.35">
      <c r="A62" s="175">
        <v>275</v>
      </c>
      <c r="B62" s="8">
        <v>12077</v>
      </c>
      <c r="C62" s="8" t="s">
        <v>3543</v>
      </c>
      <c r="D62" s="8">
        <f>+H62</f>
        <v>275</v>
      </c>
      <c r="E62" s="8">
        <f>+I62</f>
        <v>11677.8</v>
      </c>
      <c r="F62" s="8" t="s">
        <v>3544</v>
      </c>
      <c r="G62" s="8">
        <v>63281</v>
      </c>
      <c r="H62" s="8">
        <v>275</v>
      </c>
      <c r="I62" s="8">
        <v>11677.8</v>
      </c>
      <c r="J62" s="219">
        <f t="shared" ref="J62:J63" si="29">+A62-D62</f>
        <v>0</v>
      </c>
      <c r="K62" s="53">
        <f t="shared" ref="K62" si="30">+((B62/A62)-(E62/D62))/(B62/A62)</f>
        <v>3.3054566531423302E-2</v>
      </c>
    </row>
    <row r="63" spans="1:11" x14ac:dyDescent="0.3">
      <c r="A63" s="871">
        <v>460</v>
      </c>
      <c r="B63" s="873">
        <v>20099.25</v>
      </c>
      <c r="C63" s="873" t="s">
        <v>3545</v>
      </c>
      <c r="D63" s="873">
        <f>+H63+H64</f>
        <v>460</v>
      </c>
      <c r="E63" s="873">
        <f>+I63+I64</f>
        <v>19406.400000000001</v>
      </c>
      <c r="F63" s="12" t="s">
        <v>3546</v>
      </c>
      <c r="G63" s="12">
        <v>63291</v>
      </c>
      <c r="H63" s="12">
        <v>275</v>
      </c>
      <c r="I63" s="12">
        <v>11883.1</v>
      </c>
      <c r="J63" s="1045">
        <f t="shared" si="29"/>
        <v>0</v>
      </c>
      <c r="K63" s="879">
        <f>+((B63/A63)-(E63/D63))/(B63/A63)</f>
        <v>3.4471435501324553E-2</v>
      </c>
    </row>
    <row r="64" spans="1:11" ht="15" thickBot="1" x14ac:dyDescent="0.35">
      <c r="A64" s="872"/>
      <c r="B64" s="874"/>
      <c r="C64" s="874"/>
      <c r="D64" s="874"/>
      <c r="E64" s="874"/>
      <c r="F64" s="10" t="s">
        <v>3546</v>
      </c>
      <c r="G64" s="10">
        <v>63291</v>
      </c>
      <c r="H64" s="10">
        <v>185</v>
      </c>
      <c r="I64" s="10">
        <v>7523.2999999999993</v>
      </c>
      <c r="J64" s="1046"/>
      <c r="K64" s="880" t="e">
        <f>+((B64/A64)-(E64/D64))/(B64/A64)</f>
        <v>#DIV/0!</v>
      </c>
    </row>
    <row r="65" spans="1:11" ht="15" thickBot="1" x14ac:dyDescent="0.35">
      <c r="A65" s="175">
        <v>372</v>
      </c>
      <c r="B65" s="8">
        <v>15282.25</v>
      </c>
      <c r="C65" s="8" t="s">
        <v>3547</v>
      </c>
      <c r="D65" s="8">
        <v>372</v>
      </c>
      <c r="E65" s="8">
        <v>14708.6</v>
      </c>
      <c r="F65" s="8" t="s">
        <v>3548</v>
      </c>
      <c r="G65" s="8">
        <v>63301</v>
      </c>
      <c r="H65" s="8">
        <v>273</v>
      </c>
      <c r="I65" s="8">
        <v>10589.5</v>
      </c>
      <c r="J65" s="219">
        <f t="shared" ref="J65:J66" si="31">+A65-D65</f>
        <v>0</v>
      </c>
      <c r="K65" s="53">
        <f t="shared" ref="K65" si="32">+((B65/A65)-(E65/D65))/(B65/A65)</f>
        <v>3.7537011892882201E-2</v>
      </c>
    </row>
    <row r="66" spans="1:11" x14ac:dyDescent="0.3">
      <c r="A66" s="871">
        <v>1000</v>
      </c>
      <c r="B66" s="873">
        <v>41350.5</v>
      </c>
      <c r="C66" s="873" t="s">
        <v>3664</v>
      </c>
      <c r="D66" s="873">
        <f>+H66+H67</f>
        <v>1000</v>
      </c>
      <c r="E66" s="873">
        <f>+I66+I67</f>
        <v>39676.600000000006</v>
      </c>
      <c r="F66" s="12" t="s">
        <v>3665</v>
      </c>
      <c r="G66" s="12">
        <v>63371</v>
      </c>
      <c r="H66" s="12">
        <v>500</v>
      </c>
      <c r="I66" s="12">
        <v>20276.900000000001</v>
      </c>
      <c r="J66" s="1045">
        <f t="shared" si="31"/>
        <v>0</v>
      </c>
      <c r="K66" s="879">
        <f>+((B66/A66)-(E66/D66))/(B66/A66)</f>
        <v>4.0480768068100484E-2</v>
      </c>
    </row>
    <row r="67" spans="1:11" ht="15" thickBot="1" x14ac:dyDescent="0.35">
      <c r="A67" s="872"/>
      <c r="B67" s="874"/>
      <c r="C67" s="874"/>
      <c r="D67" s="874"/>
      <c r="E67" s="874"/>
      <c r="F67" s="10" t="s">
        <v>3665</v>
      </c>
      <c r="G67" s="10">
        <v>63371</v>
      </c>
      <c r="H67" s="10">
        <v>500</v>
      </c>
      <c r="I67" s="10">
        <v>19399.7</v>
      </c>
      <c r="J67" s="1046"/>
      <c r="K67" s="880" t="e">
        <f>+((B67/A67)-(E67/D67))/(B67/A67)</f>
        <v>#DIV/0!</v>
      </c>
    </row>
    <row r="68" spans="1:11" ht="15" thickBot="1" x14ac:dyDescent="0.35">
      <c r="A68" s="174">
        <v>250</v>
      </c>
      <c r="B68" s="12">
        <v>8468.5</v>
      </c>
      <c r="C68" s="12" t="s">
        <v>3666</v>
      </c>
      <c r="D68" s="12">
        <f>+H68</f>
        <v>250</v>
      </c>
      <c r="E68" s="12">
        <f>+I68</f>
        <v>8052.8</v>
      </c>
      <c r="F68" s="12" t="s">
        <v>3667</v>
      </c>
      <c r="G68" s="12">
        <v>63401</v>
      </c>
      <c r="H68" s="12">
        <v>250</v>
      </c>
      <c r="I68" s="12">
        <v>8052.8</v>
      </c>
      <c r="J68" s="219">
        <f t="shared" ref="J68:J72" si="33">+A68-D68</f>
        <v>0</v>
      </c>
      <c r="K68" s="53">
        <f t="shared" ref="K68:K71" si="34">+((B68/A68)-(E68/D68))/(B68/A68)</f>
        <v>4.9087795949696054E-2</v>
      </c>
    </row>
    <row r="69" spans="1:11" ht="15" thickBot="1" x14ac:dyDescent="0.35">
      <c r="A69" s="175">
        <v>250</v>
      </c>
      <c r="B69" s="8">
        <v>10477.75</v>
      </c>
      <c r="C69" s="8" t="s">
        <v>3668</v>
      </c>
      <c r="D69" s="12">
        <f t="shared" ref="D69:E71" si="35">+H69</f>
        <v>250</v>
      </c>
      <c r="E69" s="12">
        <f t="shared" si="35"/>
        <v>10052.700000000001</v>
      </c>
      <c r="F69" s="8" t="s">
        <v>3669</v>
      </c>
      <c r="G69" s="8">
        <v>63461</v>
      </c>
      <c r="H69" s="8">
        <v>250</v>
      </c>
      <c r="I69" s="8">
        <v>10052.700000000001</v>
      </c>
      <c r="J69" s="219">
        <f t="shared" si="33"/>
        <v>0</v>
      </c>
      <c r="K69" s="53">
        <f t="shared" si="34"/>
        <v>4.0566915606881138E-2</v>
      </c>
    </row>
    <row r="70" spans="1:11" ht="15" thickBot="1" x14ac:dyDescent="0.35">
      <c r="A70" s="175">
        <v>439</v>
      </c>
      <c r="B70" s="8">
        <v>17214.5</v>
      </c>
      <c r="C70" s="8" t="s">
        <v>3670</v>
      </c>
      <c r="D70" s="8">
        <f t="shared" si="35"/>
        <v>439</v>
      </c>
      <c r="E70" s="8">
        <f t="shared" si="35"/>
        <v>16466.8</v>
      </c>
      <c r="F70" s="8" t="s">
        <v>3671</v>
      </c>
      <c r="G70" s="8">
        <v>63521</v>
      </c>
      <c r="H70" s="8">
        <v>439</v>
      </c>
      <c r="I70" s="8">
        <v>16466.8</v>
      </c>
      <c r="J70" s="219">
        <f t="shared" si="33"/>
        <v>0</v>
      </c>
      <c r="K70" s="53">
        <f t="shared" si="34"/>
        <v>4.3434314095675115E-2</v>
      </c>
    </row>
    <row r="71" spans="1:11" ht="15" thickBot="1" x14ac:dyDescent="0.35">
      <c r="A71" s="175">
        <v>198</v>
      </c>
      <c r="B71" s="8">
        <v>7923.75</v>
      </c>
      <c r="C71" s="8" t="s">
        <v>3672</v>
      </c>
      <c r="D71" s="8">
        <f t="shared" si="35"/>
        <v>200</v>
      </c>
      <c r="E71" s="8">
        <f t="shared" si="35"/>
        <v>7790.3</v>
      </c>
      <c r="F71" s="8" t="s">
        <v>3673</v>
      </c>
      <c r="G71" s="8">
        <v>63531</v>
      </c>
      <c r="H71" s="8">
        <v>200</v>
      </c>
      <c r="I71" s="8">
        <v>7790.3</v>
      </c>
      <c r="J71" s="219">
        <f t="shared" si="33"/>
        <v>-2</v>
      </c>
      <c r="K71" s="53">
        <f t="shared" si="34"/>
        <v>2.6673355418835632E-2</v>
      </c>
    </row>
    <row r="72" spans="1:11" x14ac:dyDescent="0.3">
      <c r="A72" s="871">
        <v>1241</v>
      </c>
      <c r="B72" s="873">
        <v>53093.25</v>
      </c>
      <c r="C72" s="873" t="s">
        <v>3674</v>
      </c>
      <c r="D72" s="873">
        <f>+H72+H73</f>
        <v>1241</v>
      </c>
      <c r="E72" s="873">
        <f>+I72+I73</f>
        <v>51889.599999999991</v>
      </c>
      <c r="F72" s="12" t="s">
        <v>3675</v>
      </c>
      <c r="G72" s="12">
        <v>63541</v>
      </c>
      <c r="H72" s="12">
        <v>355</v>
      </c>
      <c r="I72" s="12">
        <v>15024.8</v>
      </c>
      <c r="J72" s="1045">
        <f t="shared" si="33"/>
        <v>0</v>
      </c>
      <c r="K72" s="879">
        <f>+((B72/A72)-(E72/D72))/(B72/A72)</f>
        <v>2.2670490128218E-2</v>
      </c>
    </row>
    <row r="73" spans="1:11" ht="15" thickBot="1" x14ac:dyDescent="0.35">
      <c r="A73" s="872"/>
      <c r="B73" s="874"/>
      <c r="C73" s="874"/>
      <c r="D73" s="874"/>
      <c r="E73" s="874"/>
      <c r="F73" s="10" t="s">
        <v>3675</v>
      </c>
      <c r="G73" s="10">
        <v>63541</v>
      </c>
      <c r="H73" s="10">
        <v>886</v>
      </c>
      <c r="I73" s="10">
        <v>36864.799999999996</v>
      </c>
      <c r="J73" s="1046"/>
      <c r="K73" s="880" t="e">
        <f>+((B73/A73)-(E73/D73))/(B73/A73)</f>
        <v>#DIV/0!</v>
      </c>
    </row>
    <row r="74" spans="1:11" ht="15" thickBot="1" x14ac:dyDescent="0.35">
      <c r="A74" s="175">
        <v>216</v>
      </c>
      <c r="B74" s="8">
        <v>7325</v>
      </c>
      <c r="C74" s="8" t="s">
        <v>3868</v>
      </c>
      <c r="D74" s="8">
        <f>+H74</f>
        <v>216</v>
      </c>
      <c r="E74" s="8">
        <f>+I74</f>
        <v>6976.4</v>
      </c>
      <c r="F74" s="8" t="s">
        <v>3869</v>
      </c>
      <c r="G74" s="8">
        <v>63551</v>
      </c>
      <c r="H74" s="8">
        <v>216</v>
      </c>
      <c r="I74" s="8">
        <v>6976.4</v>
      </c>
      <c r="J74" s="219">
        <f t="shared" ref="J74:J77" si="36">+A74-D74</f>
        <v>0</v>
      </c>
      <c r="K74" s="53">
        <f t="shared" ref="K74:K76" si="37">+((B74/A74)-(E74/D74))/(B74/A74)</f>
        <v>4.7590443686006983E-2</v>
      </c>
    </row>
    <row r="75" spans="1:11" ht="15" thickBot="1" x14ac:dyDescent="0.35">
      <c r="A75" s="199">
        <v>135</v>
      </c>
      <c r="B75" s="10">
        <v>4536</v>
      </c>
      <c r="C75" s="10" t="s">
        <v>3870</v>
      </c>
      <c r="D75" s="8">
        <f t="shared" ref="D75:E76" si="38">+H75</f>
        <v>135</v>
      </c>
      <c r="E75" s="8">
        <f t="shared" si="38"/>
        <v>4255.3</v>
      </c>
      <c r="F75" s="10" t="s">
        <v>3871</v>
      </c>
      <c r="G75" s="10">
        <v>63591</v>
      </c>
      <c r="H75" s="10">
        <v>135</v>
      </c>
      <c r="I75" s="10">
        <v>4255.3</v>
      </c>
      <c r="J75" s="219">
        <f t="shared" si="36"/>
        <v>0</v>
      </c>
      <c r="K75" s="53">
        <f t="shared" si="37"/>
        <v>6.1882716049382731E-2</v>
      </c>
    </row>
    <row r="76" spans="1:11" ht="15" thickBot="1" x14ac:dyDescent="0.35">
      <c r="A76" s="199">
        <v>151</v>
      </c>
      <c r="B76" s="10">
        <v>5898.5</v>
      </c>
      <c r="C76" s="10" t="s">
        <v>3872</v>
      </c>
      <c r="D76" s="8">
        <f t="shared" si="38"/>
        <v>151</v>
      </c>
      <c r="E76" s="8">
        <f t="shared" si="38"/>
        <v>5797.3</v>
      </c>
      <c r="F76" s="10" t="s">
        <v>3873</v>
      </c>
      <c r="G76" s="10">
        <v>63601</v>
      </c>
      <c r="H76" s="10">
        <v>151</v>
      </c>
      <c r="I76" s="10">
        <v>5797.3</v>
      </c>
      <c r="J76" s="219">
        <f t="shared" si="36"/>
        <v>0</v>
      </c>
      <c r="K76" s="53">
        <f t="shared" si="37"/>
        <v>1.7156904297702721E-2</v>
      </c>
    </row>
    <row r="77" spans="1:11" x14ac:dyDescent="0.3">
      <c r="A77" s="871">
        <v>250</v>
      </c>
      <c r="B77" s="873">
        <v>10385.25</v>
      </c>
      <c r="C77" s="873" t="s">
        <v>3874</v>
      </c>
      <c r="D77" s="873">
        <f>+H77+H78</f>
        <v>250</v>
      </c>
      <c r="E77" s="873">
        <f>+I77+I78</f>
        <v>10182.200000000001</v>
      </c>
      <c r="F77" s="12" t="s">
        <v>3875</v>
      </c>
      <c r="G77" s="12">
        <v>63611</v>
      </c>
      <c r="H77" s="12">
        <v>41</v>
      </c>
      <c r="I77" s="12">
        <v>1654.6</v>
      </c>
      <c r="J77" s="1045">
        <f t="shared" si="36"/>
        <v>0</v>
      </c>
      <c r="K77" s="879">
        <f>+((B77/A77)-(E77/D77))/(B77/A77)</f>
        <v>1.9551768132688122E-2</v>
      </c>
    </row>
    <row r="78" spans="1:11" ht="15" thickBot="1" x14ac:dyDescent="0.35">
      <c r="A78" s="872"/>
      <c r="B78" s="874"/>
      <c r="C78" s="874"/>
      <c r="D78" s="874"/>
      <c r="E78" s="874"/>
      <c r="F78" s="10" t="s">
        <v>3875</v>
      </c>
      <c r="G78" s="10">
        <v>63611</v>
      </c>
      <c r="H78" s="10">
        <v>209</v>
      </c>
      <c r="I78" s="10">
        <v>8527.6</v>
      </c>
      <c r="J78" s="1046"/>
      <c r="K78" s="880" t="e">
        <f>+((B78/A78)-(E78/D78))/(B78/A78)</f>
        <v>#DIV/0!</v>
      </c>
    </row>
    <row r="79" spans="1:11" ht="15" thickBot="1" x14ac:dyDescent="0.35">
      <c r="A79" s="175">
        <v>250</v>
      </c>
      <c r="B79" s="8">
        <v>10750.5</v>
      </c>
      <c r="C79" s="8" t="s">
        <v>3876</v>
      </c>
      <c r="D79" s="12">
        <f t="shared" ref="D79:E81" si="39">+H79</f>
        <v>250</v>
      </c>
      <c r="E79" s="12">
        <f t="shared" si="39"/>
        <v>10292.5</v>
      </c>
      <c r="F79" s="8" t="s">
        <v>3877</v>
      </c>
      <c r="G79" s="8">
        <v>63621</v>
      </c>
      <c r="H79" s="8">
        <v>250</v>
      </c>
      <c r="I79" s="8">
        <v>10292.5</v>
      </c>
      <c r="J79" s="219">
        <f t="shared" ref="J79:J83" si="40">+A79-D79</f>
        <v>0</v>
      </c>
      <c r="K79" s="53">
        <f t="shared" ref="K79:K82" si="41">+((B79/A79)-(E79/D79))/(B79/A79)</f>
        <v>4.2602669643272417E-2</v>
      </c>
    </row>
    <row r="80" spans="1:11" ht="15" thickBot="1" x14ac:dyDescent="0.35">
      <c r="A80" s="199">
        <v>174</v>
      </c>
      <c r="B80" s="10">
        <v>5855.5</v>
      </c>
      <c r="C80" s="10" t="s">
        <v>3878</v>
      </c>
      <c r="D80" s="12">
        <f>+H80</f>
        <v>174</v>
      </c>
      <c r="E80" s="12">
        <f t="shared" si="39"/>
        <v>5661.2</v>
      </c>
      <c r="F80" s="10" t="s">
        <v>3879</v>
      </c>
      <c r="G80" s="10">
        <v>63631</v>
      </c>
      <c r="H80" s="10">
        <v>174</v>
      </c>
      <c r="I80" s="10">
        <v>5661.2</v>
      </c>
      <c r="J80" s="219">
        <f t="shared" si="40"/>
        <v>0</v>
      </c>
      <c r="K80" s="53">
        <f t="shared" si="41"/>
        <v>3.3182478012125372E-2</v>
      </c>
    </row>
    <row r="81" spans="1:11" ht="15" thickBot="1" x14ac:dyDescent="0.35">
      <c r="A81" s="199">
        <v>188</v>
      </c>
      <c r="B81" s="10">
        <v>8194.25</v>
      </c>
      <c r="C81" s="10" t="s">
        <v>3880</v>
      </c>
      <c r="D81" s="12">
        <f t="shared" si="39"/>
        <v>188</v>
      </c>
      <c r="E81" s="12">
        <f t="shared" si="39"/>
        <v>7862.5</v>
      </c>
      <c r="F81" s="10" t="s">
        <v>3881</v>
      </c>
      <c r="G81" s="10">
        <v>63641</v>
      </c>
      <c r="H81" s="10">
        <v>188</v>
      </c>
      <c r="I81" s="10">
        <v>7862.5</v>
      </c>
      <c r="J81" s="219">
        <f t="shared" si="40"/>
        <v>0</v>
      </c>
      <c r="K81" s="53">
        <f t="shared" si="41"/>
        <v>4.0485706440491744E-2</v>
      </c>
    </row>
    <row r="82" spans="1:11" ht="15" thickBot="1" x14ac:dyDescent="0.35">
      <c r="A82" s="174">
        <v>300</v>
      </c>
      <c r="B82" s="12">
        <v>14072.75</v>
      </c>
      <c r="C82" s="12" t="s">
        <v>3882</v>
      </c>
      <c r="D82" s="12">
        <f>+H82</f>
        <v>300</v>
      </c>
      <c r="E82" s="12">
        <f>+I82</f>
        <v>13178.1</v>
      </c>
      <c r="F82" s="12" t="s">
        <v>3883</v>
      </c>
      <c r="G82" s="12">
        <v>63651</v>
      </c>
      <c r="H82" s="12">
        <v>300</v>
      </c>
      <c r="I82" s="12">
        <v>13178.1</v>
      </c>
      <c r="J82" s="219">
        <f t="shared" si="40"/>
        <v>0</v>
      </c>
      <c r="K82" s="53">
        <f t="shared" si="41"/>
        <v>6.3573217743511351E-2</v>
      </c>
    </row>
    <row r="83" spans="1:11" x14ac:dyDescent="0.3">
      <c r="A83" s="871">
        <v>687</v>
      </c>
      <c r="B83" s="873">
        <v>30147.5</v>
      </c>
      <c r="C83" s="873" t="s">
        <v>3884</v>
      </c>
      <c r="D83" s="873">
        <f>+H83+H84</f>
        <v>687</v>
      </c>
      <c r="E83" s="873">
        <f>+I83+I84</f>
        <v>28074.899999999998</v>
      </c>
      <c r="F83" s="12" t="s">
        <v>3885</v>
      </c>
      <c r="G83" s="12">
        <v>63661</v>
      </c>
      <c r="H83" s="12">
        <v>487</v>
      </c>
      <c r="I83" s="12">
        <v>19963.599999999999</v>
      </c>
      <c r="J83" s="1045">
        <f t="shared" si="40"/>
        <v>0</v>
      </c>
      <c r="K83" s="879">
        <f>+((B83/A83)-(E83/D83))/(B83/A83)</f>
        <v>6.8748652458744661E-2</v>
      </c>
    </row>
    <row r="84" spans="1:11" ht="15" thickBot="1" x14ac:dyDescent="0.35">
      <c r="A84" s="872"/>
      <c r="B84" s="874"/>
      <c r="C84" s="874"/>
      <c r="D84" s="874"/>
      <c r="E84" s="874"/>
      <c r="F84" s="10" t="s">
        <v>3885</v>
      </c>
      <c r="G84" s="10">
        <v>63661</v>
      </c>
      <c r="H84" s="10">
        <v>200</v>
      </c>
      <c r="I84" s="10">
        <v>8111.3</v>
      </c>
      <c r="J84" s="1046"/>
      <c r="K84" s="880" t="e">
        <f>+((B84/A84)-(E84/D84))/(B84/A84)</f>
        <v>#DIV/0!</v>
      </c>
    </row>
    <row r="85" spans="1:11" ht="15" thickBot="1" x14ac:dyDescent="0.35">
      <c r="A85" s="199">
        <v>276</v>
      </c>
      <c r="B85" s="10">
        <v>13439</v>
      </c>
      <c r="C85" s="10" t="s">
        <v>3886</v>
      </c>
      <c r="D85" s="10">
        <f t="shared" ref="D85:E86" si="42">+H85</f>
        <v>276</v>
      </c>
      <c r="E85" s="10">
        <f t="shared" si="42"/>
        <v>12907.4</v>
      </c>
      <c r="F85" s="10" t="s">
        <v>3887</v>
      </c>
      <c r="G85" s="10">
        <v>63741</v>
      </c>
      <c r="H85" s="10">
        <v>276</v>
      </c>
      <c r="I85" s="10">
        <v>12907.4</v>
      </c>
      <c r="J85" s="219">
        <f t="shared" ref="J85:J87" si="43">+A85-D85</f>
        <v>0</v>
      </c>
      <c r="K85" s="53">
        <f t="shared" ref="K85:K86" si="44">+((B85/A85)-(E85/D85))/(B85/A85)</f>
        <v>3.9556514621623719E-2</v>
      </c>
    </row>
    <row r="86" spans="1:11" ht="15" thickBot="1" x14ac:dyDescent="0.35">
      <c r="A86" s="174">
        <v>613</v>
      </c>
      <c r="B86" s="12">
        <v>28176</v>
      </c>
      <c r="C86" s="12" t="s">
        <v>3888</v>
      </c>
      <c r="D86" s="15">
        <f t="shared" si="42"/>
        <v>631</v>
      </c>
      <c r="E86" s="15">
        <f t="shared" si="42"/>
        <v>26784.9</v>
      </c>
      <c r="F86" s="12" t="s">
        <v>3889</v>
      </c>
      <c r="G86" s="12">
        <v>63791</v>
      </c>
      <c r="H86" s="12">
        <v>631</v>
      </c>
      <c r="I86" s="12">
        <v>26784.9</v>
      </c>
      <c r="J86" s="219">
        <f t="shared" si="43"/>
        <v>-18</v>
      </c>
      <c r="K86" s="53">
        <f t="shared" si="44"/>
        <v>7.6489567275112899E-2</v>
      </c>
    </row>
    <row r="87" spans="1:11" x14ac:dyDescent="0.3">
      <c r="A87" s="871">
        <v>552</v>
      </c>
      <c r="B87" s="873">
        <v>20078</v>
      </c>
      <c r="C87" s="873" t="s">
        <v>3890</v>
      </c>
      <c r="D87" s="873">
        <f>+H87+H88</f>
        <v>553</v>
      </c>
      <c r="E87" s="873">
        <f>+I87+I88</f>
        <v>19830.599999999999</v>
      </c>
      <c r="F87" s="12" t="s">
        <v>3891</v>
      </c>
      <c r="G87" s="12">
        <v>63821</v>
      </c>
      <c r="H87" s="12">
        <v>450</v>
      </c>
      <c r="I87" s="12">
        <v>15963.5</v>
      </c>
      <c r="J87" s="1045">
        <f t="shared" si="43"/>
        <v>-1</v>
      </c>
      <c r="K87" s="879">
        <f t="shared" ref="K87:K92" si="45">+((B87/A87)-(E87/D87))/(B87/A87)</f>
        <v>1.4107980683652136E-2</v>
      </c>
    </row>
    <row r="88" spans="1:11" ht="15" thickBot="1" x14ac:dyDescent="0.35">
      <c r="A88" s="872"/>
      <c r="B88" s="874"/>
      <c r="C88" s="874"/>
      <c r="D88" s="874"/>
      <c r="E88" s="874"/>
      <c r="F88" s="10" t="s">
        <v>3891</v>
      </c>
      <c r="G88" s="10">
        <v>63821</v>
      </c>
      <c r="H88" s="10">
        <v>103</v>
      </c>
      <c r="I88" s="10">
        <v>3867.1</v>
      </c>
      <c r="J88" s="1046"/>
      <c r="K88" s="880" t="e">
        <f t="shared" si="45"/>
        <v>#DIV/0!</v>
      </c>
    </row>
    <row r="89" spans="1:11" x14ac:dyDescent="0.3">
      <c r="A89" s="871">
        <v>626</v>
      </c>
      <c r="B89" s="873">
        <v>25173</v>
      </c>
      <c r="C89" s="873" t="s">
        <v>3892</v>
      </c>
      <c r="D89" s="873">
        <f>+H89+H90</f>
        <v>625</v>
      </c>
      <c r="E89" s="873">
        <f>+I89+I90</f>
        <v>24548</v>
      </c>
      <c r="F89" s="12" t="s">
        <v>3893</v>
      </c>
      <c r="G89" s="12">
        <v>63901</v>
      </c>
      <c r="H89" s="12">
        <v>500</v>
      </c>
      <c r="I89" s="12">
        <v>19348.099999999999</v>
      </c>
      <c r="J89" s="1045">
        <f t="shared" ref="J89" si="46">+A89-D89</f>
        <v>1</v>
      </c>
      <c r="K89" s="879">
        <f t="shared" si="45"/>
        <v>2.3267914034878646E-2</v>
      </c>
    </row>
    <row r="90" spans="1:11" ht="15" thickBot="1" x14ac:dyDescent="0.35">
      <c r="A90" s="872"/>
      <c r="B90" s="874"/>
      <c r="C90" s="874"/>
      <c r="D90" s="874"/>
      <c r="E90" s="874"/>
      <c r="F90" s="10" t="s">
        <v>3893</v>
      </c>
      <c r="G90" s="10">
        <v>63901</v>
      </c>
      <c r="H90" s="10">
        <v>125</v>
      </c>
      <c r="I90" s="10">
        <v>5199.8999999999996</v>
      </c>
      <c r="J90" s="1046"/>
      <c r="K90" s="880" t="e">
        <f t="shared" si="45"/>
        <v>#DIV/0!</v>
      </c>
    </row>
    <row r="91" spans="1:11" x14ac:dyDescent="0.3">
      <c r="A91" s="871">
        <v>613</v>
      </c>
      <c r="B91" s="873">
        <v>21958.75</v>
      </c>
      <c r="C91" s="873" t="s">
        <v>4149</v>
      </c>
      <c r="D91" s="873">
        <f>+H91+H92</f>
        <v>613</v>
      </c>
      <c r="E91" s="873">
        <f>+I91+I92</f>
        <v>21288.600000000002</v>
      </c>
      <c r="F91" s="12" t="s">
        <v>4150</v>
      </c>
      <c r="G91" s="12">
        <v>63931</v>
      </c>
      <c r="H91" s="12">
        <v>400</v>
      </c>
      <c r="I91" s="12">
        <v>14481.400000000001</v>
      </c>
      <c r="J91" s="1045">
        <f t="shared" ref="J91" si="47">+A91-D91</f>
        <v>0</v>
      </c>
      <c r="K91" s="879">
        <f t="shared" si="45"/>
        <v>3.0518585985085483E-2</v>
      </c>
    </row>
    <row r="92" spans="1:11" ht="15" thickBot="1" x14ac:dyDescent="0.35">
      <c r="A92" s="872"/>
      <c r="B92" s="874"/>
      <c r="C92" s="874"/>
      <c r="D92" s="874"/>
      <c r="E92" s="874"/>
      <c r="F92" s="10" t="s">
        <v>4151</v>
      </c>
      <c r="G92" s="10">
        <v>63931</v>
      </c>
      <c r="H92" s="10">
        <v>213</v>
      </c>
      <c r="I92" s="10">
        <v>6807.2</v>
      </c>
      <c r="J92" s="1046"/>
      <c r="K92" s="880" t="e">
        <f t="shared" si="45"/>
        <v>#DIV/0!</v>
      </c>
    </row>
    <row r="93" spans="1:11" ht="15" thickBot="1" x14ac:dyDescent="0.35">
      <c r="A93" s="175">
        <v>550</v>
      </c>
      <c r="B93" s="8">
        <v>24317.5</v>
      </c>
      <c r="C93" s="8" t="s">
        <v>4152</v>
      </c>
      <c r="D93" s="8">
        <f>+H93</f>
        <v>550</v>
      </c>
      <c r="E93" s="8">
        <f>+I93</f>
        <v>23846.400000000001</v>
      </c>
      <c r="F93" s="8" t="s">
        <v>4153</v>
      </c>
      <c r="G93" s="8">
        <v>64071</v>
      </c>
      <c r="H93" s="8">
        <v>550</v>
      </c>
      <c r="I93" s="8">
        <v>23846.400000000001</v>
      </c>
      <c r="J93" s="219">
        <f t="shared" ref="J93" si="48">+A93-D93</f>
        <v>0</v>
      </c>
      <c r="K93" s="53">
        <f t="shared" ref="K93" si="49">+((B93/A93)-(E93/D93))/(B93/A93)</f>
        <v>1.9372879613446942E-2</v>
      </c>
    </row>
    <row r="94" spans="1:11" x14ac:dyDescent="0.3">
      <c r="A94" s="871">
        <v>1634</v>
      </c>
      <c r="B94" s="873">
        <v>59680.5</v>
      </c>
      <c r="C94" s="873" t="s">
        <v>4154</v>
      </c>
      <c r="D94" s="873">
        <f>+H94+H95</f>
        <v>1610</v>
      </c>
      <c r="E94" s="873">
        <f>+I94+I95</f>
        <v>57273.899999999994</v>
      </c>
      <c r="F94" s="12" t="s">
        <v>4155</v>
      </c>
      <c r="G94" s="12">
        <v>64091</v>
      </c>
      <c r="H94" s="12">
        <v>600</v>
      </c>
      <c r="I94" s="12">
        <v>19571.8</v>
      </c>
      <c r="J94" s="1045">
        <f t="shared" ref="J94" si="50">+A94-D94</f>
        <v>24</v>
      </c>
      <c r="K94" s="879">
        <f>+((B94/A94)-(E94/D94))/(B94/A94)</f>
        <v>2.601901086015963E-2</v>
      </c>
    </row>
    <row r="95" spans="1:11" ht="15" thickBot="1" x14ac:dyDescent="0.35">
      <c r="A95" s="875"/>
      <c r="B95" s="881"/>
      <c r="C95" s="881"/>
      <c r="D95" s="881"/>
      <c r="E95" s="881"/>
      <c r="F95" s="15" t="s">
        <v>4155</v>
      </c>
      <c r="G95" s="15">
        <v>64091</v>
      </c>
      <c r="H95" s="15">
        <v>1010</v>
      </c>
      <c r="I95" s="15">
        <v>37702.1</v>
      </c>
      <c r="J95" s="1046"/>
      <c r="K95" s="880" t="e">
        <f>+((B95/A95)-(E95/D95))/(B95/A95)</f>
        <v>#DIV/0!</v>
      </c>
    </row>
    <row r="96" spans="1:11" x14ac:dyDescent="0.3">
      <c r="A96" s="871">
        <v>1167</v>
      </c>
      <c r="B96" s="873">
        <v>52344.25</v>
      </c>
      <c r="C96" s="873" t="s">
        <v>4156</v>
      </c>
      <c r="D96" s="873">
        <f>+H96+H97+H98+H99</f>
        <v>1167</v>
      </c>
      <c r="E96" s="873">
        <f>+I96+I97+I98+I99</f>
        <v>50019</v>
      </c>
      <c r="F96" s="12" t="s">
        <v>4157</v>
      </c>
      <c r="G96" s="12">
        <v>64101</v>
      </c>
      <c r="H96" s="12">
        <v>417</v>
      </c>
      <c r="I96" s="12">
        <v>17841.199999999997</v>
      </c>
      <c r="J96" s="1045">
        <f t="shared" ref="J96" si="51">+A96-D96</f>
        <v>0</v>
      </c>
      <c r="K96" s="879">
        <f t="shared" ref="K96" si="52">+((B96/A96)-(E96/D96))/(B96/A96)</f>
        <v>4.4422262235107E-2</v>
      </c>
    </row>
    <row r="97" spans="1:11" x14ac:dyDescent="0.3">
      <c r="A97" s="875"/>
      <c r="B97" s="881"/>
      <c r="C97" s="881"/>
      <c r="D97" s="881"/>
      <c r="E97" s="881"/>
      <c r="F97" s="15" t="s">
        <v>4157</v>
      </c>
      <c r="G97" s="15">
        <v>64101</v>
      </c>
      <c r="H97" s="15">
        <v>250</v>
      </c>
      <c r="I97" s="15">
        <v>10489.6</v>
      </c>
      <c r="J97" s="1047"/>
      <c r="K97" s="885"/>
    </row>
    <row r="98" spans="1:11" x14ac:dyDescent="0.3">
      <c r="A98" s="875"/>
      <c r="B98" s="881"/>
      <c r="C98" s="881"/>
      <c r="D98" s="881"/>
      <c r="E98" s="881"/>
      <c r="F98" s="15" t="s">
        <v>4157</v>
      </c>
      <c r="G98" s="15">
        <v>64101</v>
      </c>
      <c r="H98" s="15">
        <v>350</v>
      </c>
      <c r="I98" s="15">
        <v>15364.4</v>
      </c>
      <c r="J98" s="1047"/>
      <c r="K98" s="885"/>
    </row>
    <row r="99" spans="1:11" ht="15" thickBot="1" x14ac:dyDescent="0.35">
      <c r="A99" s="872"/>
      <c r="B99" s="874"/>
      <c r="C99" s="874"/>
      <c r="D99" s="874"/>
      <c r="E99" s="874"/>
      <c r="F99" s="10" t="s">
        <v>4157</v>
      </c>
      <c r="G99" s="10">
        <v>64101</v>
      </c>
      <c r="H99" s="10">
        <v>150</v>
      </c>
      <c r="I99" s="10">
        <v>6323.8</v>
      </c>
      <c r="J99" s="1046"/>
      <c r="K99" s="880"/>
    </row>
    <row r="100" spans="1:11" ht="15" thickBot="1" x14ac:dyDescent="0.35">
      <c r="A100" s="175">
        <v>32</v>
      </c>
      <c r="B100" s="8">
        <v>1429.5</v>
      </c>
      <c r="C100" s="8" t="s">
        <v>4158</v>
      </c>
      <c r="D100" s="8">
        <f t="shared" ref="D100:E103" si="53">+H100</f>
        <v>32</v>
      </c>
      <c r="E100" s="8">
        <f t="shared" si="53"/>
        <v>1387.4</v>
      </c>
      <c r="F100" s="8" t="s">
        <v>4159</v>
      </c>
      <c r="G100" s="8">
        <v>64181</v>
      </c>
      <c r="H100" s="8">
        <v>32</v>
      </c>
      <c r="I100" s="8">
        <v>1387.4</v>
      </c>
      <c r="J100" s="219">
        <f t="shared" ref="J100:J103" si="54">+A100-D100</f>
        <v>0</v>
      </c>
      <c r="K100" s="53">
        <f t="shared" ref="K100:K103" si="55">+((B100/A100)-(E100/D100))/(B100/A100)</f>
        <v>2.9450856942986995E-2</v>
      </c>
    </row>
    <row r="101" spans="1:11" ht="15" thickBot="1" x14ac:dyDescent="0.35">
      <c r="A101" s="174">
        <v>65</v>
      </c>
      <c r="B101" s="12">
        <v>2916.75</v>
      </c>
      <c r="C101" s="12" t="s">
        <v>4160</v>
      </c>
      <c r="D101" s="12">
        <f t="shared" si="53"/>
        <v>65</v>
      </c>
      <c r="E101" s="12">
        <f t="shared" si="53"/>
        <v>2743.6</v>
      </c>
      <c r="F101" s="12" t="s">
        <v>4161</v>
      </c>
      <c r="G101" s="12">
        <v>64191</v>
      </c>
      <c r="H101" s="12">
        <v>65</v>
      </c>
      <c r="I101" s="12">
        <v>2743.6</v>
      </c>
      <c r="J101" s="219">
        <f t="shared" si="54"/>
        <v>0</v>
      </c>
      <c r="K101" s="53">
        <f t="shared" si="55"/>
        <v>5.9364018170909347E-2</v>
      </c>
    </row>
    <row r="102" spans="1:11" ht="15" thickBot="1" x14ac:dyDescent="0.35">
      <c r="A102" s="175">
        <v>112</v>
      </c>
      <c r="B102" s="8">
        <v>4994.25</v>
      </c>
      <c r="C102" s="8" t="s">
        <v>4162</v>
      </c>
      <c r="D102" s="8">
        <f t="shared" si="53"/>
        <v>112</v>
      </c>
      <c r="E102" s="8">
        <f t="shared" si="53"/>
        <v>4747.7</v>
      </c>
      <c r="F102" s="8" t="s">
        <v>4163</v>
      </c>
      <c r="G102" s="8">
        <v>64201</v>
      </c>
      <c r="H102" s="337">
        <v>112</v>
      </c>
      <c r="I102" s="338">
        <v>4747.7</v>
      </c>
      <c r="J102" s="219">
        <f t="shared" si="54"/>
        <v>0</v>
      </c>
      <c r="K102" s="53">
        <f t="shared" si="55"/>
        <v>4.9366771787555636E-2</v>
      </c>
    </row>
    <row r="103" spans="1:11" ht="15" thickBot="1" x14ac:dyDescent="0.35">
      <c r="A103" s="174">
        <v>275</v>
      </c>
      <c r="B103" s="12">
        <v>13922.25</v>
      </c>
      <c r="C103" s="12" t="s">
        <v>4164</v>
      </c>
      <c r="D103" s="12">
        <f t="shared" si="53"/>
        <v>275</v>
      </c>
      <c r="E103" s="12">
        <f t="shared" si="53"/>
        <v>13358.2</v>
      </c>
      <c r="F103" s="12" t="s">
        <v>4165</v>
      </c>
      <c r="G103" s="12">
        <v>64211</v>
      </c>
      <c r="H103" s="12">
        <v>275</v>
      </c>
      <c r="I103" s="12">
        <v>13358.2</v>
      </c>
      <c r="J103" s="219">
        <f t="shared" si="54"/>
        <v>0</v>
      </c>
      <c r="K103" s="53">
        <f t="shared" si="55"/>
        <v>4.0514284688178866E-2</v>
      </c>
    </row>
    <row r="104" spans="1:11" x14ac:dyDescent="0.3">
      <c r="A104" s="871">
        <v>307</v>
      </c>
      <c r="B104" s="873">
        <v>10349.75</v>
      </c>
      <c r="C104" s="873" t="s">
        <v>4166</v>
      </c>
      <c r="D104" s="873">
        <f>+H104+H105</f>
        <v>307</v>
      </c>
      <c r="E104" s="873">
        <f>+I104+I105</f>
        <v>10028.5</v>
      </c>
      <c r="F104" s="12" t="s">
        <v>4167</v>
      </c>
      <c r="G104" s="12">
        <v>64231</v>
      </c>
      <c r="H104" s="12">
        <v>250</v>
      </c>
      <c r="I104" s="12">
        <v>8154.3</v>
      </c>
      <c r="J104" s="1045">
        <f t="shared" ref="J104" si="56">+A104-D104</f>
        <v>0</v>
      </c>
      <c r="K104" s="879">
        <f>+((B104/A104)-(E104/D104))/(B104/A104)</f>
        <v>3.1039397086886251E-2</v>
      </c>
    </row>
    <row r="105" spans="1:11" ht="15" thickBot="1" x14ac:dyDescent="0.35">
      <c r="A105" s="875"/>
      <c r="B105" s="881"/>
      <c r="C105" s="881"/>
      <c r="D105" s="881"/>
      <c r="E105" s="881"/>
      <c r="F105" s="15" t="s">
        <v>4167</v>
      </c>
      <c r="G105" s="15">
        <v>64231</v>
      </c>
      <c r="H105" s="15">
        <v>57</v>
      </c>
      <c r="I105" s="15">
        <v>1874.2</v>
      </c>
      <c r="J105" s="1046"/>
      <c r="K105" s="880" t="e">
        <f>+((B105/A105)-(E105/D105))/(B105/A105)</f>
        <v>#DIV/0!</v>
      </c>
    </row>
    <row r="106" spans="1:11" x14ac:dyDescent="0.3">
      <c r="A106" s="871">
        <v>905</v>
      </c>
      <c r="B106" s="873">
        <v>32686</v>
      </c>
      <c r="C106" s="873" t="s">
        <v>4168</v>
      </c>
      <c r="D106" s="873">
        <f>+H106+H107+H108</f>
        <v>905</v>
      </c>
      <c r="E106" s="873">
        <f>+I106+I107+I108</f>
        <v>32191.3</v>
      </c>
      <c r="F106" s="12" t="s">
        <v>4169</v>
      </c>
      <c r="G106" s="12">
        <v>64271</v>
      </c>
      <c r="H106" s="12">
        <v>543</v>
      </c>
      <c r="I106" s="12">
        <v>19058.3</v>
      </c>
      <c r="J106" s="1045">
        <f t="shared" ref="J106" si="57">+A106-D106</f>
        <v>0</v>
      </c>
      <c r="K106" s="879">
        <f t="shared" ref="K106" si="58">+((B106/A106)-(E106/D106))/(B106/A106)</f>
        <v>1.5134920149299508E-2</v>
      </c>
    </row>
    <row r="107" spans="1:11" x14ac:dyDescent="0.3">
      <c r="A107" s="875"/>
      <c r="B107" s="881"/>
      <c r="C107" s="881"/>
      <c r="D107" s="881"/>
      <c r="E107" s="881"/>
      <c r="F107" s="15" t="s">
        <v>4169</v>
      </c>
      <c r="G107" s="15">
        <v>64271</v>
      </c>
      <c r="H107" s="15">
        <v>285</v>
      </c>
      <c r="I107" s="15">
        <v>10190.200000000001</v>
      </c>
      <c r="J107" s="1047"/>
      <c r="K107" s="885"/>
    </row>
    <row r="108" spans="1:11" ht="15" thickBot="1" x14ac:dyDescent="0.35">
      <c r="A108" s="872"/>
      <c r="B108" s="874"/>
      <c r="C108" s="874"/>
      <c r="D108" s="874"/>
      <c r="E108" s="874"/>
      <c r="F108" s="10" t="s">
        <v>4169</v>
      </c>
      <c r="G108" s="10">
        <v>64271</v>
      </c>
      <c r="H108" s="10">
        <v>77</v>
      </c>
      <c r="I108" s="10">
        <v>2942.8</v>
      </c>
      <c r="J108" s="1046"/>
      <c r="K108" s="880"/>
    </row>
    <row r="109" spans="1:11" ht="15" thickBot="1" x14ac:dyDescent="0.35">
      <c r="A109" s="175">
        <v>1248</v>
      </c>
      <c r="B109" s="8">
        <v>59177</v>
      </c>
      <c r="C109" s="8" t="s">
        <v>4170</v>
      </c>
      <c r="D109" s="8">
        <v>1248</v>
      </c>
      <c r="E109" s="8">
        <v>56937.9</v>
      </c>
      <c r="F109" s="8" t="s">
        <v>4171</v>
      </c>
      <c r="G109" s="8">
        <v>64341</v>
      </c>
      <c r="H109" s="8">
        <v>500</v>
      </c>
      <c r="I109" s="8">
        <v>23080.9</v>
      </c>
      <c r="J109" s="219">
        <f t="shared" ref="J109:J110" si="59">+A109-D109</f>
        <v>0</v>
      </c>
      <c r="K109" s="53">
        <f t="shared" ref="K109:K110" si="60">+((B109/A109)-(E109/D109))/(B109/A109)</f>
        <v>3.7837335451273234E-2</v>
      </c>
    </row>
    <row r="110" spans="1:11" ht="15" thickBot="1" x14ac:dyDescent="0.35">
      <c r="A110" s="175">
        <v>298</v>
      </c>
      <c r="B110" s="8">
        <v>15204.7</v>
      </c>
      <c r="C110" s="8" t="s">
        <v>4305</v>
      </c>
      <c r="D110" s="8">
        <v>298</v>
      </c>
      <c r="E110" s="8">
        <v>14597.8</v>
      </c>
      <c r="F110" s="8" t="s">
        <v>4306</v>
      </c>
      <c r="G110" s="8">
        <v>64371</v>
      </c>
      <c r="H110" s="8">
        <v>200</v>
      </c>
      <c r="I110" s="8">
        <v>9978.5</v>
      </c>
      <c r="J110" s="219">
        <f t="shared" si="59"/>
        <v>0</v>
      </c>
      <c r="K110" s="53">
        <f t="shared" si="60"/>
        <v>3.9915289351319112E-2</v>
      </c>
    </row>
    <row r="111" spans="1:11" ht="15" thickBot="1" x14ac:dyDescent="0.35">
      <c r="A111" s="175">
        <v>250</v>
      </c>
      <c r="B111" s="8">
        <v>10921</v>
      </c>
      <c r="C111" s="8" t="s">
        <v>4397</v>
      </c>
      <c r="D111" s="8">
        <f>+H111</f>
        <v>250</v>
      </c>
      <c r="E111" s="8">
        <f>+I111</f>
        <v>10658.6</v>
      </c>
      <c r="F111" s="8" t="s">
        <v>4398</v>
      </c>
      <c r="G111" s="8">
        <v>64391</v>
      </c>
      <c r="H111" s="8">
        <v>250</v>
      </c>
      <c r="I111" s="8">
        <v>10658.6</v>
      </c>
      <c r="J111" s="219">
        <f t="shared" ref="J111" si="61">+A111-D111</f>
        <v>0</v>
      </c>
      <c r="K111" s="53">
        <f t="shared" ref="K111" si="62">+((B111/A111)-(E111/D111))/(B111/A111)</f>
        <v>2.4027103745078247E-2</v>
      </c>
    </row>
    <row r="112" spans="1:11" ht="15" thickBot="1" x14ac:dyDescent="0.35">
      <c r="A112" s="174">
        <v>786</v>
      </c>
      <c r="B112" s="318">
        <v>34495.75</v>
      </c>
      <c r="C112" s="12" t="s">
        <v>4521</v>
      </c>
      <c r="D112" s="8">
        <f t="shared" ref="D112:E113" si="63">+H112</f>
        <v>786</v>
      </c>
      <c r="E112" s="8">
        <f t="shared" si="63"/>
        <v>33138.799999999996</v>
      </c>
      <c r="F112" s="12" t="s">
        <v>4522</v>
      </c>
      <c r="G112" s="12">
        <v>64491</v>
      </c>
      <c r="H112" s="12">
        <v>786</v>
      </c>
      <c r="I112" s="12">
        <v>33138.799999999996</v>
      </c>
      <c r="J112" s="219">
        <f t="shared" ref="J112:J113" si="64">+A112-D112</f>
        <v>0</v>
      </c>
      <c r="K112" s="53">
        <f t="shared" ref="K112:K113" si="65">+((B112/A112)-(E112/D112))/(B112/A112)</f>
        <v>3.9336729887015108E-2</v>
      </c>
    </row>
    <row r="113" spans="1:11" ht="15" thickBot="1" x14ac:dyDescent="0.35">
      <c r="A113" s="174">
        <v>400</v>
      </c>
      <c r="B113" s="318">
        <v>17090.25</v>
      </c>
      <c r="C113" s="12" t="s">
        <v>4523</v>
      </c>
      <c r="D113" s="8">
        <f t="shared" si="63"/>
        <v>400</v>
      </c>
      <c r="E113" s="8">
        <f t="shared" si="63"/>
        <v>16466.900000000001</v>
      </c>
      <c r="F113" s="12" t="s">
        <v>4524</v>
      </c>
      <c r="G113" s="12">
        <v>64501</v>
      </c>
      <c r="H113" s="12">
        <v>400</v>
      </c>
      <c r="I113" s="12">
        <v>16466.900000000001</v>
      </c>
      <c r="J113" s="219">
        <f t="shared" si="64"/>
        <v>0</v>
      </c>
      <c r="K113" s="53">
        <f t="shared" si="65"/>
        <v>3.647401296060615E-2</v>
      </c>
    </row>
    <row r="114" spans="1:11" ht="15" thickBot="1" x14ac:dyDescent="0.35">
      <c r="A114" s="174">
        <v>200</v>
      </c>
      <c r="B114" s="318">
        <v>9360.25</v>
      </c>
      <c r="C114" s="12" t="s">
        <v>4399</v>
      </c>
      <c r="D114" s="8">
        <f t="shared" ref="D114:E116" si="66">+H114</f>
        <v>200</v>
      </c>
      <c r="E114" s="8">
        <f t="shared" si="66"/>
        <v>9219.7000000000007</v>
      </c>
      <c r="F114" s="12" t="s">
        <v>4400</v>
      </c>
      <c r="G114" s="12">
        <v>64531</v>
      </c>
      <c r="H114" s="12">
        <v>200</v>
      </c>
      <c r="I114" s="12">
        <v>9219.7000000000007</v>
      </c>
      <c r="J114" s="219">
        <f t="shared" ref="J114:J115" si="67">+A114-D114</f>
        <v>0</v>
      </c>
      <c r="K114" s="53">
        <f t="shared" ref="K114:K115" si="68">+((B114/A114)-(E114/D114))/(B114/A114)</f>
        <v>1.5015624582676782E-2</v>
      </c>
    </row>
    <row r="115" spans="1:11" ht="15" thickBot="1" x14ac:dyDescent="0.35">
      <c r="A115" s="175">
        <v>200</v>
      </c>
      <c r="B115" s="317">
        <v>8908.75</v>
      </c>
      <c r="C115" s="8" t="s">
        <v>4401</v>
      </c>
      <c r="D115" s="8">
        <f t="shared" si="66"/>
        <v>200</v>
      </c>
      <c r="E115" s="8">
        <f t="shared" si="66"/>
        <v>8883.9</v>
      </c>
      <c r="F115" s="8" t="s">
        <v>4402</v>
      </c>
      <c r="G115" s="8">
        <v>64541</v>
      </c>
      <c r="H115" s="8">
        <v>200</v>
      </c>
      <c r="I115" s="8">
        <v>8883.9</v>
      </c>
      <c r="J115" s="219">
        <f t="shared" si="67"/>
        <v>0</v>
      </c>
      <c r="K115" s="53">
        <f t="shared" si="68"/>
        <v>2.7893924512418355E-3</v>
      </c>
    </row>
    <row r="116" spans="1:11" ht="15" thickBot="1" x14ac:dyDescent="0.35">
      <c r="A116" s="175">
        <v>589</v>
      </c>
      <c r="B116" s="317">
        <v>25949.75</v>
      </c>
      <c r="C116" s="8" t="s">
        <v>4492</v>
      </c>
      <c r="D116" s="8">
        <f t="shared" si="66"/>
        <v>589</v>
      </c>
      <c r="E116" s="8">
        <f t="shared" si="66"/>
        <v>25328.899999999998</v>
      </c>
      <c r="F116" s="8" t="s">
        <v>4493</v>
      </c>
      <c r="G116" s="8">
        <v>64611</v>
      </c>
      <c r="H116" s="8">
        <v>589</v>
      </c>
      <c r="I116" s="8">
        <v>25328.899999999998</v>
      </c>
      <c r="J116" s="219">
        <f t="shared" ref="J116:J117" si="69">+A116-D116</f>
        <v>0</v>
      </c>
      <c r="K116" s="53">
        <f t="shared" ref="K116" si="70">+((B116/A116)-(E116/D116))/(B116/A116)</f>
        <v>2.3925085983487453E-2</v>
      </c>
    </row>
    <row r="117" spans="1:11" x14ac:dyDescent="0.3">
      <c r="A117" s="871">
        <v>499</v>
      </c>
      <c r="B117" s="1040">
        <v>22165.25</v>
      </c>
      <c r="C117" s="873" t="s">
        <v>4575</v>
      </c>
      <c r="D117" s="873">
        <f>+H117+H118</f>
        <v>499</v>
      </c>
      <c r="E117" s="873">
        <f>+I117+I118</f>
        <v>21426.799999999999</v>
      </c>
      <c r="F117" s="12" t="s">
        <v>4576</v>
      </c>
      <c r="G117" s="12">
        <v>64641</v>
      </c>
      <c r="H117" s="12">
        <v>400</v>
      </c>
      <c r="I117" s="12">
        <v>17449.2</v>
      </c>
      <c r="J117" s="1045">
        <f t="shared" si="69"/>
        <v>0</v>
      </c>
      <c r="K117" s="879">
        <f>+((B117/A117)-(E117/D117))/(B117/A117)</f>
        <v>3.3315663031095968E-2</v>
      </c>
    </row>
    <row r="118" spans="1:11" ht="15" thickBot="1" x14ac:dyDescent="0.35">
      <c r="A118" s="872"/>
      <c r="B118" s="1101"/>
      <c r="C118" s="874"/>
      <c r="D118" s="874"/>
      <c r="E118" s="874"/>
      <c r="F118" s="10" t="s">
        <v>4576</v>
      </c>
      <c r="G118" s="10">
        <v>64641</v>
      </c>
      <c r="H118" s="10">
        <v>99</v>
      </c>
      <c r="I118" s="10">
        <v>3977.6</v>
      </c>
      <c r="J118" s="1046"/>
      <c r="K118" s="880" t="e">
        <f>+((B118/A118)-(E118/D118))/(B118/A118)</f>
        <v>#DIV/0!</v>
      </c>
    </row>
    <row r="119" spans="1:11" ht="15" thickBot="1" x14ac:dyDescent="0.35">
      <c r="A119" s="175">
        <v>202</v>
      </c>
      <c r="B119" s="317">
        <v>9172</v>
      </c>
      <c r="C119" s="8" t="s">
        <v>4577</v>
      </c>
      <c r="D119" s="8">
        <f t="shared" ref="D119:E120" si="71">+H119</f>
        <v>202</v>
      </c>
      <c r="E119" s="8">
        <f t="shared" si="71"/>
        <v>8786.4</v>
      </c>
      <c r="F119" s="8" t="s">
        <v>4578</v>
      </c>
      <c r="G119" s="8">
        <v>64681</v>
      </c>
      <c r="H119" s="8">
        <v>202</v>
      </c>
      <c r="I119" s="8">
        <v>8786.4</v>
      </c>
      <c r="J119" s="219">
        <f t="shared" ref="J119:J121" si="72">+A119-D119</f>
        <v>0</v>
      </c>
      <c r="K119" s="53">
        <f t="shared" ref="K119:K121" si="73">+((B119/A119)-(E119/D119))/(B119/A119)</f>
        <v>4.2040994330571416E-2</v>
      </c>
    </row>
    <row r="120" spans="1:11" ht="15" thickBot="1" x14ac:dyDescent="0.35">
      <c r="A120" s="174">
        <v>91</v>
      </c>
      <c r="B120" s="318">
        <v>4115.5</v>
      </c>
      <c r="C120" s="12" t="s">
        <v>4579</v>
      </c>
      <c r="D120" s="8">
        <f t="shared" si="71"/>
        <v>91</v>
      </c>
      <c r="E120" s="8">
        <f t="shared" si="71"/>
        <v>4007.4</v>
      </c>
      <c r="F120" s="12" t="s">
        <v>4580</v>
      </c>
      <c r="G120" s="12">
        <v>64711</v>
      </c>
      <c r="H120" s="12">
        <v>91</v>
      </c>
      <c r="I120" s="12">
        <v>4007.4</v>
      </c>
      <c r="J120" s="219">
        <f t="shared" si="72"/>
        <v>0</v>
      </c>
      <c r="K120" s="53">
        <f t="shared" si="73"/>
        <v>2.6266553274207134E-2</v>
      </c>
    </row>
    <row r="121" spans="1:11" ht="15" thickBot="1" x14ac:dyDescent="0.35">
      <c r="A121" s="175">
        <v>500</v>
      </c>
      <c r="B121" s="317">
        <v>21726.25</v>
      </c>
      <c r="C121" s="8" t="s">
        <v>4581</v>
      </c>
      <c r="D121" s="8">
        <v>499</v>
      </c>
      <c r="E121" s="8">
        <v>20742.7</v>
      </c>
      <c r="F121" s="8" t="s">
        <v>4582</v>
      </c>
      <c r="G121" s="8">
        <v>64721</v>
      </c>
      <c r="H121" s="8">
        <v>110</v>
      </c>
      <c r="I121" s="8">
        <v>4639.6000000000004</v>
      </c>
      <c r="J121" s="219">
        <f t="shared" si="72"/>
        <v>1</v>
      </c>
      <c r="K121" s="53">
        <f t="shared" si="73"/>
        <v>4.3356836220049592E-2</v>
      </c>
    </row>
    <row r="122" spans="1:11" ht="15" thickBot="1" x14ac:dyDescent="0.35">
      <c r="A122" s="175">
        <v>472</v>
      </c>
      <c r="B122" s="317">
        <v>20168.5</v>
      </c>
      <c r="C122" s="8" t="s">
        <v>4676</v>
      </c>
      <c r="D122" s="8">
        <f>+H122</f>
        <v>473</v>
      </c>
      <c r="E122" s="8">
        <f>+I122</f>
        <v>20091.900000000001</v>
      </c>
      <c r="F122" s="8" t="s">
        <v>4677</v>
      </c>
      <c r="G122" s="8">
        <v>64731</v>
      </c>
      <c r="H122" s="8">
        <v>473</v>
      </c>
      <c r="I122" s="8">
        <v>20091.900000000001</v>
      </c>
      <c r="J122" s="219">
        <f t="shared" ref="J122:J123" si="74">+A122-D122</f>
        <v>-1</v>
      </c>
      <c r="K122" s="53">
        <f t="shared" ref="K122:K123" si="75">+((B122/A122)-(E122/D122))/(B122/A122)</f>
        <v>5.9041371372193152E-3</v>
      </c>
    </row>
    <row r="123" spans="1:11" ht="15" thickBot="1" x14ac:dyDescent="0.35">
      <c r="A123" s="175">
        <v>385</v>
      </c>
      <c r="B123" s="317">
        <v>15961.75</v>
      </c>
      <c r="C123" s="8" t="s">
        <v>4678</v>
      </c>
      <c r="D123" s="8">
        <f>+H123</f>
        <v>385</v>
      </c>
      <c r="E123" s="8">
        <f>+I123</f>
        <v>15632.2</v>
      </c>
      <c r="F123" s="8" t="s">
        <v>4679</v>
      </c>
      <c r="G123" s="8">
        <v>64751</v>
      </c>
      <c r="H123" s="8">
        <v>385</v>
      </c>
      <c r="I123" s="8">
        <v>15632.2</v>
      </c>
      <c r="J123" s="219">
        <f t="shared" si="74"/>
        <v>0</v>
      </c>
      <c r="K123" s="53">
        <f t="shared" si="75"/>
        <v>2.0646232399329698E-2</v>
      </c>
    </row>
    <row r="124" spans="1:11" ht="15" thickBot="1" x14ac:dyDescent="0.35">
      <c r="A124" s="175">
        <v>399</v>
      </c>
      <c r="B124" s="317">
        <v>18051.75</v>
      </c>
      <c r="C124" s="8" t="s">
        <v>4761</v>
      </c>
      <c r="D124" s="8">
        <v>399</v>
      </c>
      <c r="E124" s="8">
        <v>17234.3</v>
      </c>
      <c r="F124" s="8" t="s">
        <v>4762</v>
      </c>
      <c r="G124" s="8">
        <v>64791</v>
      </c>
      <c r="H124" s="8">
        <v>200</v>
      </c>
      <c r="I124" s="8">
        <v>8664.7000000000007</v>
      </c>
      <c r="J124" s="219">
        <f t="shared" ref="J124" si="76">+A124-D124</f>
        <v>0</v>
      </c>
      <c r="K124" s="53">
        <f t="shared" ref="K124" si="77">+((B124/A124)-(E124/D124))/(B124/A124)</f>
        <v>4.5283698256401758E-2</v>
      </c>
    </row>
    <row r="125" spans="1:11" ht="15" thickBot="1" x14ac:dyDescent="0.35">
      <c r="A125" s="175">
        <v>998</v>
      </c>
      <c r="B125" s="317">
        <v>35890</v>
      </c>
      <c r="C125" s="8" t="s">
        <v>4827</v>
      </c>
      <c r="D125" s="8">
        <f>+H125+399</f>
        <v>999</v>
      </c>
      <c r="E125" s="8">
        <f>+I125+13588.7</f>
        <v>35162.6</v>
      </c>
      <c r="F125" s="8" t="s">
        <v>4828</v>
      </c>
      <c r="G125" s="8">
        <v>64841</v>
      </c>
      <c r="H125" s="8">
        <v>600</v>
      </c>
      <c r="I125" s="8">
        <v>21573.899999999998</v>
      </c>
      <c r="J125" s="219">
        <f t="shared" ref="J125" si="78">+A125-D125</f>
        <v>-1</v>
      </c>
      <c r="K125" s="53">
        <f t="shared" ref="K125" si="79">+((B125/A125)-(E125/D125))/(B125/A125)</f>
        <v>2.1248197208074558E-2</v>
      </c>
    </row>
    <row r="126" spans="1:11" ht="15" thickBot="1" x14ac:dyDescent="0.35">
      <c r="A126" s="180">
        <v>128</v>
      </c>
      <c r="B126" s="353">
        <v>6377</v>
      </c>
      <c r="C126" s="191" t="s">
        <v>4943</v>
      </c>
      <c r="D126" s="12">
        <f t="shared" ref="D126:E126" si="80">+H126</f>
        <v>128</v>
      </c>
      <c r="E126" s="12">
        <f t="shared" si="80"/>
        <v>5537.8</v>
      </c>
      <c r="F126" s="12" t="s">
        <v>4944</v>
      </c>
      <c r="G126" s="12">
        <v>64891</v>
      </c>
      <c r="H126" s="12">
        <v>128</v>
      </c>
      <c r="I126" s="12">
        <v>5537.8</v>
      </c>
      <c r="J126" s="219">
        <f t="shared" ref="J126:J127" si="81">+A126-D126</f>
        <v>0</v>
      </c>
      <c r="K126" s="53">
        <f t="shared" ref="K126" si="82">+((B126/A126)-(E126/D126))/(B126/A126)</f>
        <v>0.13159793006115725</v>
      </c>
    </row>
    <row r="127" spans="1:11" x14ac:dyDescent="0.3">
      <c r="A127" s="882">
        <v>454</v>
      </c>
      <c r="B127" s="1103">
        <v>17016.099999999999</v>
      </c>
      <c r="C127" s="982" t="s">
        <v>4945</v>
      </c>
      <c r="D127" s="873">
        <f>+H127+H128</f>
        <v>454</v>
      </c>
      <c r="E127" s="873">
        <f>+I127+I128</f>
        <v>16262.699999999999</v>
      </c>
      <c r="F127" s="12" t="s">
        <v>4946</v>
      </c>
      <c r="G127" s="12">
        <v>64911</v>
      </c>
      <c r="H127" s="12">
        <v>255</v>
      </c>
      <c r="I127" s="12">
        <v>9159.7999999999993</v>
      </c>
      <c r="J127" s="1045">
        <f t="shared" si="81"/>
        <v>0</v>
      </c>
      <c r="K127" s="879">
        <f>+((B127/A127)-(E127/D127))/(B127/A127)</f>
        <v>4.427571535193138E-2</v>
      </c>
    </row>
    <row r="128" spans="1:11" ht="15" thickBot="1" x14ac:dyDescent="0.35">
      <c r="A128" s="884"/>
      <c r="B128" s="1104"/>
      <c r="C128" s="983"/>
      <c r="D128" s="874"/>
      <c r="E128" s="874"/>
      <c r="F128" s="10" t="s">
        <v>4946</v>
      </c>
      <c r="G128" s="10">
        <v>64911</v>
      </c>
      <c r="H128" s="10">
        <v>199</v>
      </c>
      <c r="I128" s="10">
        <v>7102.9</v>
      </c>
      <c r="J128" s="1046"/>
      <c r="K128" s="880" t="e">
        <f>+((B128/A128)-(E128/D128))/(B128/A128)</f>
        <v>#DIV/0!</v>
      </c>
    </row>
    <row r="129" spans="1:11" ht="15" thickBot="1" x14ac:dyDescent="0.35">
      <c r="A129" s="175">
        <v>750</v>
      </c>
      <c r="B129" s="8">
        <v>32213.5</v>
      </c>
      <c r="C129" s="8" t="s">
        <v>5038</v>
      </c>
      <c r="D129" s="8">
        <f t="shared" ref="D129:E129" si="83">+H129</f>
        <v>750</v>
      </c>
      <c r="E129" s="8">
        <f t="shared" si="83"/>
        <v>30820.9</v>
      </c>
      <c r="F129" s="8" t="s">
        <v>5039</v>
      </c>
      <c r="G129" s="8">
        <v>64971</v>
      </c>
      <c r="H129" s="8">
        <v>750</v>
      </c>
      <c r="I129" s="8">
        <v>30820.9</v>
      </c>
      <c r="J129" s="219">
        <f t="shared" ref="J129" si="84">+A129-D129</f>
        <v>0</v>
      </c>
      <c r="K129" s="53">
        <f t="shared" ref="K129" si="85">+((B129/A129)-(E129/D129))/(B129/A129)</f>
        <v>4.3230322690797171E-2</v>
      </c>
    </row>
    <row r="130" spans="1:11" x14ac:dyDescent="0.3">
      <c r="A130" s="871">
        <v>600</v>
      </c>
      <c r="B130" s="873">
        <v>22970.2</v>
      </c>
      <c r="C130" s="873" t="s">
        <v>5040</v>
      </c>
      <c r="D130" s="873">
        <f>+H130+H131</f>
        <v>600</v>
      </c>
      <c r="E130" s="873">
        <f>+I130+I131</f>
        <v>22101.7</v>
      </c>
      <c r="F130" s="12" t="s">
        <v>5041</v>
      </c>
      <c r="G130" s="12">
        <v>65041</v>
      </c>
      <c r="H130" s="12">
        <v>300</v>
      </c>
      <c r="I130" s="12">
        <v>11109.7</v>
      </c>
      <c r="J130" s="1045">
        <f t="shared" ref="J130" si="86">+A130-D130</f>
        <v>0</v>
      </c>
      <c r="K130" s="879">
        <f>+((B130/A130)-(E130/D130))/(B130/A130)</f>
        <v>3.7809857989917317E-2</v>
      </c>
    </row>
    <row r="131" spans="1:11" ht="15" thickBot="1" x14ac:dyDescent="0.35">
      <c r="A131" s="872"/>
      <c r="B131" s="874"/>
      <c r="C131" s="874"/>
      <c r="D131" s="874"/>
      <c r="E131" s="874"/>
      <c r="F131" s="10" t="s">
        <v>5041</v>
      </c>
      <c r="G131" s="10">
        <v>65041</v>
      </c>
      <c r="H131" s="10">
        <v>300</v>
      </c>
      <c r="I131" s="10">
        <v>10992</v>
      </c>
      <c r="J131" s="1046"/>
      <c r="K131" s="880" t="e">
        <f>+((B131/A131)-(E131/D131))/(B131/A131)</f>
        <v>#DIV/0!</v>
      </c>
    </row>
    <row r="132" spans="1:11" ht="15" thickBot="1" x14ac:dyDescent="0.35">
      <c r="A132" s="175">
        <v>175</v>
      </c>
      <c r="B132" s="8">
        <v>7403.5</v>
      </c>
      <c r="C132" s="8" t="s">
        <v>5042</v>
      </c>
      <c r="D132" s="8">
        <f t="shared" ref="D132:E138" si="87">+H132</f>
        <v>175</v>
      </c>
      <c r="E132" s="8">
        <f t="shared" si="87"/>
        <v>7209.1</v>
      </c>
      <c r="F132" s="8" t="s">
        <v>5043</v>
      </c>
      <c r="G132" s="8">
        <v>65061</v>
      </c>
      <c r="H132" s="8">
        <v>175</v>
      </c>
      <c r="I132" s="8">
        <v>7209.1</v>
      </c>
      <c r="J132" s="219">
        <f t="shared" ref="J132:J138" si="88">+A132-D132</f>
        <v>0</v>
      </c>
      <c r="K132" s="53">
        <f t="shared" ref="K132:K138" si="89">+((B132/A132)-(E132/D132))/(B132/A132)</f>
        <v>2.6257851016411142E-2</v>
      </c>
    </row>
    <row r="133" spans="1:11" ht="15" thickBot="1" x14ac:dyDescent="0.35">
      <c r="A133" s="199">
        <v>144</v>
      </c>
      <c r="B133" s="10">
        <v>6193.25</v>
      </c>
      <c r="C133" s="10" t="s">
        <v>5044</v>
      </c>
      <c r="D133" s="8">
        <f t="shared" si="87"/>
        <v>144</v>
      </c>
      <c r="E133" s="8">
        <f t="shared" si="87"/>
        <v>5947.2999999999993</v>
      </c>
      <c r="F133" s="10" t="s">
        <v>5045</v>
      </c>
      <c r="G133" s="10">
        <v>65071</v>
      </c>
      <c r="H133" s="10">
        <v>144</v>
      </c>
      <c r="I133" s="10">
        <v>5947.2999999999993</v>
      </c>
      <c r="J133" s="219">
        <f t="shared" si="88"/>
        <v>0</v>
      </c>
      <c r="K133" s="53">
        <f t="shared" si="89"/>
        <v>3.9712590320106739E-2</v>
      </c>
    </row>
    <row r="134" spans="1:11" ht="15" thickBot="1" x14ac:dyDescent="0.35">
      <c r="A134" s="397">
        <v>220</v>
      </c>
      <c r="B134" s="398">
        <v>8694.5</v>
      </c>
      <c r="C134" s="398" t="s">
        <v>5378</v>
      </c>
      <c r="D134" s="8">
        <f>+H134</f>
        <v>220</v>
      </c>
      <c r="E134" s="8">
        <f>+I134</f>
        <v>8280.6</v>
      </c>
      <c r="F134" s="398" t="s">
        <v>5379</v>
      </c>
      <c r="G134" s="398">
        <v>65091</v>
      </c>
      <c r="H134" s="398">
        <v>220</v>
      </c>
      <c r="I134" s="398">
        <v>8280.6</v>
      </c>
      <c r="J134" s="219">
        <f t="shared" ref="J134" si="90">+A134-D134</f>
        <v>0</v>
      </c>
      <c r="K134" s="53">
        <f t="shared" ref="K134" si="91">+((B134/A134)-(E134/D134))/(B134/A134)</f>
        <v>4.7604807637011935E-2</v>
      </c>
    </row>
    <row r="135" spans="1:11" ht="15" thickBot="1" x14ac:dyDescent="0.35">
      <c r="A135" s="361">
        <v>500</v>
      </c>
      <c r="B135" s="360">
        <v>21691.75</v>
      </c>
      <c r="C135" s="360" t="s">
        <v>5157</v>
      </c>
      <c r="D135" s="8">
        <f t="shared" si="87"/>
        <v>500</v>
      </c>
      <c r="E135" s="8">
        <f t="shared" si="87"/>
        <v>20855.5</v>
      </c>
      <c r="F135" s="360" t="s">
        <v>5158</v>
      </c>
      <c r="G135" s="360">
        <v>65111</v>
      </c>
      <c r="H135" s="360">
        <v>500</v>
      </c>
      <c r="I135" s="360">
        <v>20855.5</v>
      </c>
      <c r="J135" s="219">
        <f t="shared" ref="J135:J136" si="92">+A135-D135</f>
        <v>0</v>
      </c>
      <c r="K135" s="53">
        <f t="shared" ref="K135" si="93">+((B135/A135)-(E135/D135))/(B135/A135)</f>
        <v>3.8551523044475421E-2</v>
      </c>
    </row>
    <row r="136" spans="1:11" x14ac:dyDescent="0.3">
      <c r="A136" s="871">
        <v>501</v>
      </c>
      <c r="B136" s="873">
        <v>19511.25</v>
      </c>
      <c r="C136" s="873" t="s">
        <v>5159</v>
      </c>
      <c r="D136" s="873">
        <f>+H136+H137</f>
        <v>501</v>
      </c>
      <c r="E136" s="873">
        <f>+I136+I137</f>
        <v>18867.599999999999</v>
      </c>
      <c r="F136" s="358" t="s">
        <v>5160</v>
      </c>
      <c r="G136" s="358">
        <v>65121</v>
      </c>
      <c r="H136" s="358">
        <v>293</v>
      </c>
      <c r="I136" s="358">
        <v>11951.9</v>
      </c>
      <c r="J136" s="1045">
        <f t="shared" si="92"/>
        <v>0</v>
      </c>
      <c r="K136" s="879">
        <f>+((B136/A136)-(E136/D136))/(B136/A136)</f>
        <v>3.2988660388237709E-2</v>
      </c>
    </row>
    <row r="137" spans="1:11" ht="15" thickBot="1" x14ac:dyDescent="0.35">
      <c r="A137" s="872"/>
      <c r="B137" s="874"/>
      <c r="C137" s="874"/>
      <c r="D137" s="874"/>
      <c r="E137" s="874"/>
      <c r="F137" s="359" t="s">
        <v>5160</v>
      </c>
      <c r="G137" s="359">
        <v>65121</v>
      </c>
      <c r="H137" s="359">
        <v>208</v>
      </c>
      <c r="I137" s="359">
        <v>6915.7</v>
      </c>
      <c r="J137" s="1046"/>
      <c r="K137" s="880" t="e">
        <f>+((B137/A137)-(E137/D137))/(B137/A137)</f>
        <v>#DIV/0!</v>
      </c>
    </row>
    <row r="138" spans="1:11" ht="15" thickBot="1" x14ac:dyDescent="0.35">
      <c r="A138" s="199">
        <v>430</v>
      </c>
      <c r="B138" s="10">
        <v>19044.2</v>
      </c>
      <c r="C138" s="10" t="s">
        <v>5046</v>
      </c>
      <c r="D138" s="8">
        <f t="shared" si="87"/>
        <v>430</v>
      </c>
      <c r="E138" s="8">
        <f t="shared" si="87"/>
        <v>18156.900000000001</v>
      </c>
      <c r="F138" s="10" t="s">
        <v>5047</v>
      </c>
      <c r="G138" s="10">
        <v>65131</v>
      </c>
      <c r="H138" s="10">
        <v>430</v>
      </c>
      <c r="I138" s="10">
        <v>18156.900000000001</v>
      </c>
      <c r="J138" s="219">
        <f t="shared" si="88"/>
        <v>0</v>
      </c>
      <c r="K138" s="53">
        <f t="shared" si="89"/>
        <v>4.6591613194568483E-2</v>
      </c>
    </row>
    <row r="139" spans="1:11" ht="15" thickBot="1" x14ac:dyDescent="0.35">
      <c r="A139" s="175">
        <v>1540</v>
      </c>
      <c r="B139" s="8">
        <v>61628.4</v>
      </c>
      <c r="C139" s="8" t="s">
        <v>5111</v>
      </c>
      <c r="D139" s="10">
        <v>1506</v>
      </c>
      <c r="E139" s="10">
        <v>58085.9</v>
      </c>
      <c r="F139" s="8" t="s">
        <v>5112</v>
      </c>
      <c r="G139" s="8">
        <v>65161</v>
      </c>
      <c r="H139" s="8">
        <v>200</v>
      </c>
      <c r="I139" s="8">
        <v>7705.1</v>
      </c>
      <c r="J139" s="219">
        <f t="shared" ref="J139" si="94">+A139-D139</f>
        <v>34</v>
      </c>
      <c r="K139" s="53">
        <f t="shared" ref="K139" si="95">+((B139/A139)-(E139/D139))/(B139/A139)</f>
        <v>3.6202980114814487E-2</v>
      </c>
    </row>
    <row r="140" spans="1:11" ht="15" thickBot="1" x14ac:dyDescent="0.35">
      <c r="A140" s="175">
        <v>150</v>
      </c>
      <c r="B140" s="8">
        <v>6414.25</v>
      </c>
      <c r="C140" s="8" t="s">
        <v>5348</v>
      </c>
      <c r="D140" s="8">
        <f>+H140</f>
        <v>150</v>
      </c>
      <c r="E140" s="8">
        <f>+I140</f>
        <v>6471.1</v>
      </c>
      <c r="F140" s="8" t="s">
        <v>5349</v>
      </c>
      <c r="G140" s="8">
        <v>65231</v>
      </c>
      <c r="H140" s="8">
        <v>150</v>
      </c>
      <c r="I140" s="8">
        <v>6471.1</v>
      </c>
      <c r="J140" s="219">
        <f t="shared" ref="J140" si="96">+A140-D140</f>
        <v>0</v>
      </c>
      <c r="K140" s="53">
        <f t="shared" ref="K140" si="97">+((B140/A140)-(E140/D140))/(B140/A140)</f>
        <v>-8.863078302217834E-3</v>
      </c>
    </row>
    <row r="141" spans="1:11" ht="15" thickBot="1" x14ac:dyDescent="0.35">
      <c r="A141" s="175">
        <v>172</v>
      </c>
      <c r="B141" s="8">
        <v>7228.6</v>
      </c>
      <c r="C141" s="8" t="s">
        <v>5248</v>
      </c>
      <c r="D141" s="8">
        <f>+H141</f>
        <v>171</v>
      </c>
      <c r="E141" s="8">
        <f>+I141</f>
        <v>7064.3</v>
      </c>
      <c r="F141" s="8" t="s">
        <v>5249</v>
      </c>
      <c r="G141" s="8">
        <v>65241</v>
      </c>
      <c r="H141" s="8">
        <v>171</v>
      </c>
      <c r="I141" s="8">
        <v>7064.3</v>
      </c>
      <c r="J141" s="219">
        <f t="shared" ref="J141" si="98">+A141-D141</f>
        <v>1</v>
      </c>
      <c r="K141" s="53">
        <f t="shared" ref="K141" si="99">+((B141/A141)-(E141/D141))/(B141/A141)</f>
        <v>1.7014125016402468E-2</v>
      </c>
    </row>
    <row r="142" spans="1:11" ht="15" thickBot="1" x14ac:dyDescent="0.35">
      <c r="A142" s="175">
        <v>358</v>
      </c>
      <c r="B142" s="8">
        <v>12022</v>
      </c>
      <c r="C142" s="8" t="s">
        <v>5350</v>
      </c>
      <c r="D142" s="387">
        <f t="shared" ref="D142:E144" si="100">+H142</f>
        <v>358</v>
      </c>
      <c r="E142" s="387">
        <f t="shared" si="100"/>
        <v>11733.3</v>
      </c>
      <c r="F142" s="8" t="s">
        <v>5351</v>
      </c>
      <c r="G142" s="8">
        <v>65261</v>
      </c>
      <c r="H142" s="8">
        <v>358</v>
      </c>
      <c r="I142" s="8">
        <v>11733.3</v>
      </c>
      <c r="J142" s="219">
        <f t="shared" ref="J142:J145" si="101">+A142-D142</f>
        <v>0</v>
      </c>
      <c r="K142" s="53">
        <f t="shared" ref="K142:K144" si="102">+((B142/A142)-(E142/D142))/(B142/A142)</f>
        <v>2.4014307103643322E-2</v>
      </c>
    </row>
    <row r="143" spans="1:11" ht="15" thickBot="1" x14ac:dyDescent="0.35">
      <c r="A143" s="175">
        <v>500</v>
      </c>
      <c r="B143" s="8">
        <v>20851.5</v>
      </c>
      <c r="C143" s="8" t="s">
        <v>5352</v>
      </c>
      <c r="D143" s="387">
        <f t="shared" si="100"/>
        <v>500</v>
      </c>
      <c r="E143" s="387">
        <f t="shared" si="100"/>
        <v>20269.300000000003</v>
      </c>
      <c r="F143" s="8" t="s">
        <v>5353</v>
      </c>
      <c r="G143" s="8">
        <v>65271</v>
      </c>
      <c r="H143" s="8">
        <v>500</v>
      </c>
      <c r="I143" s="8">
        <v>20269.300000000003</v>
      </c>
      <c r="J143" s="219">
        <f t="shared" si="101"/>
        <v>0</v>
      </c>
      <c r="K143" s="53">
        <f t="shared" si="102"/>
        <v>2.7921252667673799E-2</v>
      </c>
    </row>
    <row r="144" spans="1:11" ht="15" thickBot="1" x14ac:dyDescent="0.35">
      <c r="A144" s="175">
        <v>200</v>
      </c>
      <c r="B144" s="8">
        <v>6662.75</v>
      </c>
      <c r="C144" s="8" t="s">
        <v>5354</v>
      </c>
      <c r="D144" s="387">
        <f t="shared" si="100"/>
        <v>200</v>
      </c>
      <c r="E144" s="387">
        <f t="shared" si="100"/>
        <v>6607.7</v>
      </c>
      <c r="F144" s="8" t="s">
        <v>5355</v>
      </c>
      <c r="G144" s="8">
        <v>65281</v>
      </c>
      <c r="H144" s="8">
        <v>200</v>
      </c>
      <c r="I144" s="8">
        <v>6607.7</v>
      </c>
      <c r="J144" s="219">
        <f t="shared" si="101"/>
        <v>0</v>
      </c>
      <c r="K144" s="53">
        <f t="shared" si="102"/>
        <v>8.2623541330531618E-3</v>
      </c>
    </row>
    <row r="145" spans="1:11" x14ac:dyDescent="0.3">
      <c r="A145" s="871">
        <v>383</v>
      </c>
      <c r="B145" s="873">
        <v>16455.75</v>
      </c>
      <c r="C145" s="873" t="s">
        <v>5356</v>
      </c>
      <c r="D145" s="873">
        <f>+H145+H146</f>
        <v>383</v>
      </c>
      <c r="E145" s="873">
        <f>+I145+I146</f>
        <v>16274.5</v>
      </c>
      <c r="F145" s="382" t="s">
        <v>5357</v>
      </c>
      <c r="G145" s="382">
        <v>65301</v>
      </c>
      <c r="H145" s="382">
        <v>285</v>
      </c>
      <c r="I145" s="382">
        <v>12183.4</v>
      </c>
      <c r="J145" s="1045">
        <f t="shared" si="101"/>
        <v>0</v>
      </c>
      <c r="K145" s="879">
        <f>+((B145/A145)-(E145/D145))/(B145/A145)</f>
        <v>1.1014387068350014E-2</v>
      </c>
    </row>
    <row r="146" spans="1:11" ht="15" thickBot="1" x14ac:dyDescent="0.35">
      <c r="A146" s="872"/>
      <c r="B146" s="874"/>
      <c r="C146" s="874"/>
      <c r="D146" s="874"/>
      <c r="E146" s="874"/>
      <c r="F146" s="387" t="s">
        <v>5357</v>
      </c>
      <c r="G146" s="387">
        <v>65301</v>
      </c>
      <c r="H146" s="387">
        <v>98</v>
      </c>
      <c r="I146" s="387">
        <v>4091.1</v>
      </c>
      <c r="J146" s="1046"/>
      <c r="K146" s="880" t="e">
        <f>+((B146/A146)-(E146/D146))/(B146/A146)</f>
        <v>#DIV/0!</v>
      </c>
    </row>
    <row r="147" spans="1:11" ht="15" thickBot="1" x14ac:dyDescent="0.35">
      <c r="A147" s="175">
        <v>889</v>
      </c>
      <c r="B147" s="8">
        <v>38522.75</v>
      </c>
      <c r="C147" s="8" t="s">
        <v>5358</v>
      </c>
      <c r="D147" s="387">
        <f>+H147</f>
        <v>889</v>
      </c>
      <c r="E147" s="387">
        <f>+I147</f>
        <v>37355.1</v>
      </c>
      <c r="F147" s="8" t="s">
        <v>5359</v>
      </c>
      <c r="G147" s="8">
        <v>65311</v>
      </c>
      <c r="H147" s="8">
        <v>889</v>
      </c>
      <c r="I147" s="8">
        <v>37355.1</v>
      </c>
      <c r="J147" s="219">
        <f t="shared" ref="J147" si="103">+A147-D147</f>
        <v>0</v>
      </c>
      <c r="K147" s="53">
        <f t="shared" ref="K147" si="104">+((B147/A147)-(E147/D147))/(B147/A147)</f>
        <v>3.0310660583681131E-2</v>
      </c>
    </row>
    <row r="148" spans="1:11" x14ac:dyDescent="0.3">
      <c r="A148" s="871">
        <v>1569</v>
      </c>
      <c r="B148" s="873">
        <v>63912.5</v>
      </c>
      <c r="C148" s="873" t="s">
        <v>5360</v>
      </c>
      <c r="D148" s="873">
        <v>1569</v>
      </c>
      <c r="E148" s="873">
        <v>62650</v>
      </c>
      <c r="F148" s="382" t="s">
        <v>5361</v>
      </c>
      <c r="G148" s="382">
        <v>65321</v>
      </c>
      <c r="H148" s="382">
        <v>500</v>
      </c>
      <c r="I148" s="382">
        <v>20008</v>
      </c>
      <c r="J148" s="1045">
        <f t="shared" ref="J148" si="105">+A148-D148</f>
        <v>0</v>
      </c>
      <c r="K148" s="879">
        <f>+((B148/A148)-(E148/D148))/(B148/A148)</f>
        <v>1.9753569333072582E-2</v>
      </c>
    </row>
    <row r="149" spans="1:11" ht="15" thickBot="1" x14ac:dyDescent="0.35">
      <c r="A149" s="872"/>
      <c r="B149" s="874"/>
      <c r="C149" s="874"/>
      <c r="D149" s="874"/>
      <c r="E149" s="874"/>
      <c r="F149" s="387" t="s">
        <v>5361</v>
      </c>
      <c r="G149" s="387">
        <v>65321</v>
      </c>
      <c r="H149" s="387">
        <v>250</v>
      </c>
      <c r="I149" s="387">
        <v>9863.9</v>
      </c>
      <c r="J149" s="1046"/>
      <c r="K149" s="880" t="e">
        <f>+((B149/A149)-(E149/D149))/(B149/A149)</f>
        <v>#DIV/0!</v>
      </c>
    </row>
    <row r="150" spans="1:11" x14ac:dyDescent="0.3">
      <c r="A150" s="871">
        <v>660</v>
      </c>
      <c r="B150" s="873">
        <v>25322.6</v>
      </c>
      <c r="C150" s="873" t="s">
        <v>5485</v>
      </c>
      <c r="D150" s="873">
        <f>+H150+H151</f>
        <v>660</v>
      </c>
      <c r="E150" s="873">
        <f>+I150+I151</f>
        <v>24676.899999999998</v>
      </c>
      <c r="F150" s="404" t="s">
        <v>5486</v>
      </c>
      <c r="G150" s="404">
        <v>65331</v>
      </c>
      <c r="H150" s="404">
        <v>600</v>
      </c>
      <c r="I150" s="404">
        <v>22444.6</v>
      </c>
      <c r="J150" s="1045">
        <f t="shared" ref="J150" si="106">+A150-D150</f>
        <v>0</v>
      </c>
      <c r="K150" s="879">
        <f>+((B150/A150)-(E150/D150))/(B150/A150)</f>
        <v>2.5498961402067862E-2</v>
      </c>
    </row>
    <row r="151" spans="1:11" ht="15" thickBot="1" x14ac:dyDescent="0.35">
      <c r="A151" s="872"/>
      <c r="B151" s="874"/>
      <c r="C151" s="874"/>
      <c r="D151" s="874"/>
      <c r="E151" s="874"/>
      <c r="F151" s="407" t="s">
        <v>5486</v>
      </c>
      <c r="G151" s="407">
        <v>65331</v>
      </c>
      <c r="H151" s="407">
        <v>60</v>
      </c>
      <c r="I151" s="407">
        <v>2232.3000000000002</v>
      </c>
      <c r="J151" s="1046"/>
      <c r="K151" s="880" t="e">
        <f>+((B151/A151)-(E151/D151))/(B151/A151)</f>
        <v>#DIV/0!</v>
      </c>
    </row>
    <row r="152" spans="1:11" ht="15" thickBot="1" x14ac:dyDescent="0.35">
      <c r="A152" s="175">
        <v>220</v>
      </c>
      <c r="B152" s="8">
        <v>8595.6</v>
      </c>
      <c r="C152" s="8" t="s">
        <v>5487</v>
      </c>
      <c r="D152" s="8">
        <f>+H152</f>
        <v>220</v>
      </c>
      <c r="E152" s="8">
        <f>+I152</f>
        <v>8361.1</v>
      </c>
      <c r="F152" s="8" t="s">
        <v>3645</v>
      </c>
      <c r="G152" s="8">
        <v>65381</v>
      </c>
      <c r="H152" s="8">
        <v>220</v>
      </c>
      <c r="I152" s="8">
        <v>8361.1</v>
      </c>
      <c r="J152" s="219">
        <f t="shared" ref="J152:J156" si="107">+A152-D152</f>
        <v>0</v>
      </c>
      <c r="K152" s="53">
        <f t="shared" ref="K152:K155" si="108">+((B152/A152)-(E152/D152))/(B152/A152)</f>
        <v>2.7281399785936911E-2</v>
      </c>
    </row>
    <row r="153" spans="1:11" ht="15" thickBot="1" x14ac:dyDescent="0.35">
      <c r="A153" s="175">
        <v>326</v>
      </c>
      <c r="B153" s="8">
        <v>12578.2</v>
      </c>
      <c r="C153" s="8" t="s">
        <v>5488</v>
      </c>
      <c r="D153" s="8">
        <f>+H153</f>
        <v>326</v>
      </c>
      <c r="E153" s="8">
        <f>+I153</f>
        <v>12092.6</v>
      </c>
      <c r="F153" s="8" t="s">
        <v>5489</v>
      </c>
      <c r="G153" s="8">
        <v>65401</v>
      </c>
      <c r="H153" s="8">
        <v>326</v>
      </c>
      <c r="I153" s="8">
        <v>12092.6</v>
      </c>
      <c r="J153" s="219">
        <f t="shared" si="107"/>
        <v>0</v>
      </c>
      <c r="K153" s="53">
        <f t="shared" si="108"/>
        <v>3.8606477874417712E-2</v>
      </c>
    </row>
    <row r="154" spans="1:11" ht="15" thickBot="1" x14ac:dyDescent="0.35">
      <c r="A154" s="175">
        <v>880</v>
      </c>
      <c r="B154" s="8">
        <v>35871.699999999997</v>
      </c>
      <c r="C154" s="8" t="s">
        <v>5490</v>
      </c>
      <c r="D154" s="8">
        <f t="shared" ref="D154:E154" si="109">+H154</f>
        <v>880</v>
      </c>
      <c r="E154" s="8">
        <f t="shared" si="109"/>
        <v>34416.6</v>
      </c>
      <c r="F154" s="8" t="s">
        <v>5491</v>
      </c>
      <c r="G154" s="8">
        <v>65441</v>
      </c>
      <c r="H154" s="8">
        <v>880</v>
      </c>
      <c r="I154" s="8">
        <v>34416.6</v>
      </c>
      <c r="J154" s="219">
        <f t="shared" si="107"/>
        <v>0</v>
      </c>
      <c r="K154" s="53">
        <f t="shared" si="108"/>
        <v>4.0564010069218802E-2</v>
      </c>
    </row>
    <row r="155" spans="1:11" ht="15" thickBot="1" x14ac:dyDescent="0.35">
      <c r="A155" s="406">
        <v>1197</v>
      </c>
      <c r="B155" s="407">
        <v>52778.25</v>
      </c>
      <c r="C155" s="407" t="s">
        <v>5492</v>
      </c>
      <c r="D155" s="8">
        <v>1197</v>
      </c>
      <c r="E155" s="8">
        <v>51890.6</v>
      </c>
      <c r="F155" s="407" t="s">
        <v>5493</v>
      </c>
      <c r="G155" s="407">
        <v>65471</v>
      </c>
      <c r="H155" s="407">
        <v>100</v>
      </c>
      <c r="I155" s="407">
        <v>4337.6000000000004</v>
      </c>
      <c r="J155" s="219">
        <f t="shared" si="107"/>
        <v>0</v>
      </c>
      <c r="K155" s="53">
        <f t="shared" si="108"/>
        <v>1.6818481097800746E-2</v>
      </c>
    </row>
    <row r="156" spans="1:11" x14ac:dyDescent="0.3">
      <c r="A156" s="871">
        <v>885</v>
      </c>
      <c r="B156" s="873">
        <v>34928.5</v>
      </c>
      <c r="C156" s="873" t="s">
        <v>5682</v>
      </c>
      <c r="D156" s="873">
        <f>+H156+H157</f>
        <v>835</v>
      </c>
      <c r="E156" s="873">
        <f>+I156+I157</f>
        <v>32273.9</v>
      </c>
      <c r="F156" s="442" t="s">
        <v>5683</v>
      </c>
      <c r="G156" s="442">
        <v>65511</v>
      </c>
      <c r="H156" s="442">
        <v>445</v>
      </c>
      <c r="I156" s="442">
        <v>17006.900000000001</v>
      </c>
      <c r="J156" s="1045">
        <f t="shared" si="107"/>
        <v>50</v>
      </c>
      <c r="K156" s="879">
        <f>+((B156/A156)-(E156/D156))/(B156/A156)</f>
        <v>2.0671690388208753E-2</v>
      </c>
    </row>
    <row r="157" spans="1:11" ht="15" thickBot="1" x14ac:dyDescent="0.35">
      <c r="A157" s="872"/>
      <c r="B157" s="874"/>
      <c r="C157" s="874"/>
      <c r="D157" s="874"/>
      <c r="E157" s="874"/>
      <c r="F157" s="444" t="s">
        <v>5683</v>
      </c>
      <c r="G157" s="444">
        <v>65511</v>
      </c>
      <c r="H157" s="444">
        <v>390</v>
      </c>
      <c r="I157" s="444">
        <v>15267</v>
      </c>
      <c r="J157" s="1046"/>
      <c r="K157" s="880" t="e">
        <f>+((B157/A157)-(E157/D157))/(B157/A157)</f>
        <v>#DIV/0!</v>
      </c>
    </row>
    <row r="158" spans="1:11" ht="15" thickBot="1" x14ac:dyDescent="0.35">
      <c r="A158" s="441">
        <v>220</v>
      </c>
      <c r="B158" s="442">
        <v>9174.9</v>
      </c>
      <c r="C158" s="442" t="s">
        <v>5684</v>
      </c>
      <c r="D158" s="442">
        <f t="shared" ref="D158:E158" si="110">+H158</f>
        <v>220</v>
      </c>
      <c r="E158" s="442">
        <f t="shared" si="110"/>
        <v>8961.1</v>
      </c>
      <c r="F158" s="442" t="s">
        <v>5685</v>
      </c>
      <c r="G158" s="442">
        <v>65551</v>
      </c>
      <c r="H158" s="442">
        <v>220</v>
      </c>
      <c r="I158" s="442">
        <v>8961.1</v>
      </c>
      <c r="J158" s="219">
        <f t="shared" ref="J158" si="111">+A158-D158</f>
        <v>0</v>
      </c>
      <c r="K158" s="53">
        <f t="shared" ref="K158" si="112">+((B158/A158)-(E158/D158))/(B158/A158)</f>
        <v>2.3302706296526327E-2</v>
      </c>
    </row>
    <row r="159" spans="1:11" ht="15" thickBot="1" x14ac:dyDescent="0.35">
      <c r="A159" s="175">
        <v>410</v>
      </c>
      <c r="B159" s="8">
        <v>16090.7</v>
      </c>
      <c r="C159" s="8" t="s">
        <v>5686</v>
      </c>
      <c r="D159" s="8">
        <v>410</v>
      </c>
      <c r="E159" s="8">
        <v>15804</v>
      </c>
      <c r="F159" s="8" t="s">
        <v>5687</v>
      </c>
      <c r="G159" s="8">
        <v>65561</v>
      </c>
      <c r="H159" s="8">
        <v>80</v>
      </c>
      <c r="I159" s="8">
        <v>3227.9</v>
      </c>
      <c r="J159" s="219">
        <f t="shared" ref="J159" si="113">+A159-D159</f>
        <v>0</v>
      </c>
      <c r="K159" s="53">
        <f t="shared" ref="K159" si="114">+((B159/A159)-(E159/D159))/(B159/A159)</f>
        <v>1.7817745654322148E-2</v>
      </c>
    </row>
    <row r="160" spans="1:11" ht="15" thickBot="1" x14ac:dyDescent="0.35">
      <c r="A160" s="460">
        <v>442</v>
      </c>
      <c r="B160" s="461">
        <v>17034.3</v>
      </c>
      <c r="C160" s="461" t="s">
        <v>5806</v>
      </c>
      <c r="D160" s="461">
        <f t="shared" ref="D160:E161" si="115">+H160</f>
        <v>442</v>
      </c>
      <c r="E160" s="461">
        <f t="shared" si="115"/>
        <v>16524.2</v>
      </c>
      <c r="F160" s="461" t="s">
        <v>5807</v>
      </c>
      <c r="G160" s="461">
        <v>65641</v>
      </c>
      <c r="H160" s="461">
        <v>442</v>
      </c>
      <c r="I160" s="461">
        <v>16524.2</v>
      </c>
      <c r="J160" s="219">
        <f t="shared" ref="J160:J162" si="116">+A160-D160</f>
        <v>0</v>
      </c>
      <c r="K160" s="53">
        <f t="shared" ref="K160:K161" si="117">+((B160/A160)-(E160/D160))/(B160/A160)</f>
        <v>2.9945462977639059E-2</v>
      </c>
    </row>
    <row r="161" spans="1:11" ht="15" thickBot="1" x14ac:dyDescent="0.35">
      <c r="A161" s="175">
        <v>440</v>
      </c>
      <c r="B161" s="8">
        <v>18973.7</v>
      </c>
      <c r="C161" s="8" t="s">
        <v>5808</v>
      </c>
      <c r="D161" s="461">
        <f t="shared" si="115"/>
        <v>438</v>
      </c>
      <c r="E161" s="461">
        <f t="shared" si="115"/>
        <v>18120.900000000001</v>
      </c>
      <c r="F161" s="8" t="s">
        <v>5809</v>
      </c>
      <c r="G161" s="8">
        <v>65651</v>
      </c>
      <c r="H161" s="8">
        <v>438</v>
      </c>
      <c r="I161" s="8">
        <v>18120.900000000001</v>
      </c>
      <c r="J161" s="219">
        <f t="shared" si="116"/>
        <v>2</v>
      </c>
      <c r="K161" s="53">
        <f t="shared" si="117"/>
        <v>4.0585450617621331E-2</v>
      </c>
    </row>
    <row r="162" spans="1:11" x14ac:dyDescent="0.3">
      <c r="A162" s="871">
        <v>913</v>
      </c>
      <c r="B162" s="873">
        <v>32953.25</v>
      </c>
      <c r="C162" s="873" t="s">
        <v>5810</v>
      </c>
      <c r="D162" s="873">
        <f>+H162+H163</f>
        <v>913</v>
      </c>
      <c r="E162" s="873">
        <f>+I162+I163</f>
        <v>32447.499999999996</v>
      </c>
      <c r="F162" s="458" t="s">
        <v>5811</v>
      </c>
      <c r="G162" s="458">
        <v>65661</v>
      </c>
      <c r="H162" s="458">
        <v>565</v>
      </c>
      <c r="I162" s="458">
        <v>20941.199999999997</v>
      </c>
      <c r="J162" s="1045">
        <f t="shared" si="116"/>
        <v>0</v>
      </c>
      <c r="K162" s="879">
        <f>+((B162/A162)-(E162/D162))/(B162/A162)</f>
        <v>1.5347499867236197E-2</v>
      </c>
    </row>
    <row r="163" spans="1:11" ht="15" thickBot="1" x14ac:dyDescent="0.35">
      <c r="A163" s="872"/>
      <c r="B163" s="874"/>
      <c r="C163" s="874"/>
      <c r="D163" s="874"/>
      <c r="E163" s="874"/>
      <c r="F163" s="461" t="s">
        <v>5811</v>
      </c>
      <c r="G163" s="461">
        <v>65661</v>
      </c>
      <c r="H163" s="461">
        <v>348</v>
      </c>
      <c r="I163" s="461">
        <v>11506.3</v>
      </c>
      <c r="J163" s="1046"/>
      <c r="K163" s="880" t="e">
        <f>+((B163/A163)-(E163/D163))/(B163/A163)</f>
        <v>#DIV/0!</v>
      </c>
    </row>
    <row r="164" spans="1:11" ht="15" thickBot="1" x14ac:dyDescent="0.35">
      <c r="A164" s="175">
        <v>392</v>
      </c>
      <c r="B164" s="8">
        <v>19583.88</v>
      </c>
      <c r="C164" s="8" t="s">
        <v>5812</v>
      </c>
      <c r="D164" s="8">
        <f>+H164+191+23</f>
        <v>396</v>
      </c>
      <c r="E164" s="8">
        <f>+I164+10119.1+1027.1</f>
        <v>19488.599999999999</v>
      </c>
      <c r="F164" s="8" t="s">
        <v>5813</v>
      </c>
      <c r="G164" s="9">
        <v>65721</v>
      </c>
      <c r="H164" s="458">
        <v>182</v>
      </c>
      <c r="I164" s="458">
        <v>8342.4</v>
      </c>
      <c r="J164" s="219">
        <f t="shared" ref="J164" si="118">+A164-D164</f>
        <v>-4</v>
      </c>
      <c r="K164" s="53">
        <f t="shared" ref="K164" si="119">+((B164/A164)-(E164/D164))/(B164/A164)</f>
        <v>1.4917092295017437E-2</v>
      </c>
    </row>
    <row r="165" spans="1:11" ht="15" thickBot="1" x14ac:dyDescent="0.35">
      <c r="A165" s="175">
        <v>215</v>
      </c>
      <c r="B165" s="8">
        <v>9290.25</v>
      </c>
      <c r="C165" s="8" t="s">
        <v>5951</v>
      </c>
      <c r="D165" s="8">
        <f t="shared" ref="D165:E167" si="120">+H165</f>
        <v>215</v>
      </c>
      <c r="E165" s="8">
        <f t="shared" si="120"/>
        <v>9076.5</v>
      </c>
      <c r="F165" s="8" t="s">
        <v>5952</v>
      </c>
      <c r="G165" s="8">
        <v>65831</v>
      </c>
      <c r="H165" s="8">
        <v>215</v>
      </c>
      <c r="I165" s="8">
        <v>9076.5</v>
      </c>
      <c r="J165" s="219">
        <f t="shared" ref="J165:J167" si="121">+A165-D165</f>
        <v>0</v>
      </c>
      <c r="K165" s="53">
        <f t="shared" ref="K165:K167" si="122">+((B165/A165)-(E165/D165))/(B165/A165)</f>
        <v>2.3007992249939321E-2</v>
      </c>
    </row>
    <row r="166" spans="1:11" ht="15" thickBot="1" x14ac:dyDescent="0.35">
      <c r="A166" s="175">
        <v>114</v>
      </c>
      <c r="B166" s="8">
        <v>4838.25</v>
      </c>
      <c r="C166" s="8" t="s">
        <v>5953</v>
      </c>
      <c r="D166" s="8">
        <f t="shared" si="120"/>
        <v>114</v>
      </c>
      <c r="E166" s="8">
        <f t="shared" si="120"/>
        <v>4696.5</v>
      </c>
      <c r="F166" s="8" t="s">
        <v>5954</v>
      </c>
      <c r="G166" s="8">
        <v>65841</v>
      </c>
      <c r="H166" s="8">
        <v>114</v>
      </c>
      <c r="I166" s="8">
        <v>4696.5</v>
      </c>
      <c r="J166" s="219">
        <f t="shared" si="121"/>
        <v>0</v>
      </c>
      <c r="K166" s="53">
        <f t="shared" si="122"/>
        <v>2.9297783289412571E-2</v>
      </c>
    </row>
    <row r="167" spans="1:11" ht="15" thickBot="1" x14ac:dyDescent="0.35">
      <c r="A167" s="175">
        <v>268</v>
      </c>
      <c r="B167" s="8">
        <v>12282.75</v>
      </c>
      <c r="C167" s="8" t="s">
        <v>5955</v>
      </c>
      <c r="D167" s="8">
        <f t="shared" si="120"/>
        <v>269</v>
      </c>
      <c r="E167" s="8">
        <f t="shared" si="120"/>
        <v>12282.099999999999</v>
      </c>
      <c r="F167" s="8" t="s">
        <v>5956</v>
      </c>
      <c r="G167" s="8">
        <v>65851</v>
      </c>
      <c r="H167" s="8">
        <v>269</v>
      </c>
      <c r="I167" s="8">
        <v>12282.099999999999</v>
      </c>
      <c r="J167" s="219">
        <f t="shared" si="121"/>
        <v>-1</v>
      </c>
      <c r="K167" s="53">
        <f t="shared" si="122"/>
        <v>3.7701951364530763E-3</v>
      </c>
    </row>
    <row r="168" spans="1:11" ht="15" thickBot="1" x14ac:dyDescent="0.35">
      <c r="A168" s="175">
        <v>220</v>
      </c>
      <c r="B168" s="8">
        <v>8228.1</v>
      </c>
      <c r="C168" s="8" t="s">
        <v>5841</v>
      </c>
      <c r="D168" s="8">
        <v>220</v>
      </c>
      <c r="E168" s="8">
        <v>8061.9</v>
      </c>
      <c r="F168" s="8" t="s">
        <v>5843</v>
      </c>
      <c r="G168" s="9">
        <v>65901</v>
      </c>
      <c r="H168" s="471"/>
      <c r="I168" s="471"/>
      <c r="J168" s="219">
        <f t="shared" ref="J168:J169" si="123">+A168-D168</f>
        <v>0</v>
      </c>
      <c r="K168" s="53">
        <f t="shared" ref="K168:K169" si="124">+((B168/A168)-(E168/D168))/(B168/A168)</f>
        <v>2.019907390527588E-2</v>
      </c>
    </row>
    <row r="169" spans="1:11" ht="15" thickBot="1" x14ac:dyDescent="0.35">
      <c r="A169" s="175">
        <v>220</v>
      </c>
      <c r="B169" s="8">
        <v>8924.5</v>
      </c>
      <c r="C169" s="8" t="s">
        <v>5842</v>
      </c>
      <c r="D169" s="8">
        <v>220</v>
      </c>
      <c r="E169" s="8">
        <v>8593.1</v>
      </c>
      <c r="F169" s="8" t="s">
        <v>5844</v>
      </c>
      <c r="G169" s="9">
        <v>65911</v>
      </c>
      <c r="H169" s="471"/>
      <c r="I169" s="471"/>
      <c r="J169" s="219">
        <f t="shared" si="123"/>
        <v>0</v>
      </c>
      <c r="K169" s="53">
        <f t="shared" si="124"/>
        <v>3.7133732982239764E-2</v>
      </c>
    </row>
    <row r="170" spans="1:11" ht="15" thickBot="1" x14ac:dyDescent="0.35">
      <c r="A170" s="175">
        <v>91</v>
      </c>
      <c r="B170" s="8">
        <v>4408.3999999999996</v>
      </c>
      <c r="C170" s="8" t="s">
        <v>5957</v>
      </c>
      <c r="D170" s="8">
        <f t="shared" ref="D170:E172" si="125">+H170</f>
        <v>91</v>
      </c>
      <c r="E170" s="8">
        <f t="shared" si="125"/>
        <v>4246.6000000000004</v>
      </c>
      <c r="F170" s="8" t="s">
        <v>5958</v>
      </c>
      <c r="G170" s="8">
        <v>65931</v>
      </c>
      <c r="H170" s="8">
        <v>91</v>
      </c>
      <c r="I170" s="8">
        <v>4246.6000000000004</v>
      </c>
      <c r="J170" s="219">
        <f t="shared" ref="J170:J173" si="126">+A170-D170</f>
        <v>0</v>
      </c>
      <c r="K170" s="53">
        <f t="shared" ref="K170:K173" si="127">+((B170/A170)-(E170/D170))/(B170/A170)</f>
        <v>3.670265856092908E-2</v>
      </c>
    </row>
    <row r="171" spans="1:11" ht="15" thickBot="1" x14ac:dyDescent="0.35">
      <c r="A171" s="175">
        <v>257</v>
      </c>
      <c r="B171" s="8">
        <v>11540.5</v>
      </c>
      <c r="C171" s="8" t="s">
        <v>5959</v>
      </c>
      <c r="D171" s="8">
        <f t="shared" si="125"/>
        <v>257</v>
      </c>
      <c r="E171" s="8">
        <f t="shared" si="125"/>
        <v>11487</v>
      </c>
      <c r="F171" s="8" t="s">
        <v>5960</v>
      </c>
      <c r="G171" s="8">
        <v>65941</v>
      </c>
      <c r="H171" s="8">
        <v>257</v>
      </c>
      <c r="I171" s="8">
        <v>11487</v>
      </c>
      <c r="J171" s="219">
        <f t="shared" si="126"/>
        <v>0</v>
      </c>
      <c r="K171" s="53">
        <f t="shared" si="127"/>
        <v>4.635847666912123E-3</v>
      </c>
    </row>
    <row r="172" spans="1:11" ht="15" thickBot="1" x14ac:dyDescent="0.35">
      <c r="A172" s="175">
        <v>1000</v>
      </c>
      <c r="B172" s="8">
        <v>41371.25</v>
      </c>
      <c r="C172" s="8" t="s">
        <v>5961</v>
      </c>
      <c r="D172" s="8">
        <f t="shared" si="125"/>
        <v>1000</v>
      </c>
      <c r="E172" s="8">
        <f t="shared" si="125"/>
        <v>40877.4</v>
      </c>
      <c r="F172" s="8" t="s">
        <v>5962</v>
      </c>
      <c r="G172" s="8">
        <v>65991</v>
      </c>
      <c r="H172" s="8">
        <v>1000</v>
      </c>
      <c r="I172" s="8">
        <v>40877.4</v>
      </c>
      <c r="J172" s="219">
        <f t="shared" si="126"/>
        <v>0</v>
      </c>
      <c r="K172" s="53">
        <f t="shared" si="127"/>
        <v>1.1937033567997144E-2</v>
      </c>
    </row>
    <row r="173" spans="1:11" x14ac:dyDescent="0.3">
      <c r="A173" s="871">
        <v>1655</v>
      </c>
      <c r="B173" s="873">
        <v>68509.25</v>
      </c>
      <c r="C173" s="873" t="s">
        <v>5963</v>
      </c>
      <c r="D173" s="873">
        <f>+H173+H174+H175</f>
        <v>1652</v>
      </c>
      <c r="E173" s="873">
        <f>+I173+I174+I175</f>
        <v>66998.3</v>
      </c>
      <c r="F173" s="480" t="s">
        <v>5964</v>
      </c>
      <c r="G173" s="480">
        <v>66021</v>
      </c>
      <c r="H173" s="480">
        <v>251</v>
      </c>
      <c r="I173" s="480">
        <v>9767</v>
      </c>
      <c r="J173" s="1045">
        <f t="shared" si="126"/>
        <v>3</v>
      </c>
      <c r="K173" s="879">
        <f t="shared" si="127"/>
        <v>2.0278756299155133E-2</v>
      </c>
    </row>
    <row r="174" spans="1:11" x14ac:dyDescent="0.3">
      <c r="A174" s="875"/>
      <c r="B174" s="881"/>
      <c r="C174" s="881"/>
      <c r="D174" s="881"/>
      <c r="E174" s="881"/>
      <c r="F174" s="483" t="s">
        <v>5964</v>
      </c>
      <c r="G174" s="483">
        <v>66021</v>
      </c>
      <c r="H174" s="483">
        <v>687</v>
      </c>
      <c r="I174" s="483">
        <v>28537</v>
      </c>
      <c r="J174" s="1047"/>
      <c r="K174" s="885"/>
    </row>
    <row r="175" spans="1:11" ht="15" thickBot="1" x14ac:dyDescent="0.35">
      <c r="A175" s="872"/>
      <c r="B175" s="874"/>
      <c r="C175" s="874"/>
      <c r="D175" s="874"/>
      <c r="E175" s="874"/>
      <c r="F175" s="481" t="s">
        <v>5964</v>
      </c>
      <c r="G175" s="481">
        <v>66021</v>
      </c>
      <c r="H175" s="481">
        <v>714</v>
      </c>
      <c r="I175" s="481">
        <v>28694.300000000003</v>
      </c>
      <c r="J175" s="1046"/>
      <c r="K175" s="880"/>
    </row>
    <row r="176" spans="1:11" ht="15" thickBot="1" x14ac:dyDescent="0.35">
      <c r="A176" s="175">
        <v>327</v>
      </c>
      <c r="B176" s="8">
        <v>14662.75</v>
      </c>
      <c r="C176" s="8" t="s">
        <v>5965</v>
      </c>
      <c r="D176" s="8">
        <f>+H176</f>
        <v>328</v>
      </c>
      <c r="E176" s="8">
        <f>+I176</f>
        <v>14555.9</v>
      </c>
      <c r="F176" s="8" t="s">
        <v>5966</v>
      </c>
      <c r="G176" s="8">
        <v>66051</v>
      </c>
      <c r="H176" s="8">
        <v>328</v>
      </c>
      <c r="I176" s="8">
        <v>14555.9</v>
      </c>
      <c r="J176" s="219">
        <f t="shared" ref="J176:J177" si="128">+A176-D176</f>
        <v>-1</v>
      </c>
      <c r="K176" s="53">
        <f t="shared" ref="K176" si="129">+((B176/A176)-(E176/D176))/(B176/A176)</f>
        <v>1.0313736775327985E-2</v>
      </c>
    </row>
    <row r="177" spans="1:11" x14ac:dyDescent="0.3">
      <c r="A177" s="871">
        <v>2480</v>
      </c>
      <c r="B177" s="873">
        <v>102759.75</v>
      </c>
      <c r="C177" s="873" t="s">
        <v>6060</v>
      </c>
      <c r="D177" s="873">
        <v>2481</v>
      </c>
      <c r="E177" s="873">
        <v>100744.6</v>
      </c>
      <c r="F177" s="495" t="s">
        <v>6061</v>
      </c>
      <c r="G177" s="495">
        <v>66111</v>
      </c>
      <c r="H177" s="495">
        <v>327</v>
      </c>
      <c r="I177" s="495">
        <v>12620.8</v>
      </c>
      <c r="J177" s="1045">
        <f t="shared" si="128"/>
        <v>-1</v>
      </c>
      <c r="K177" s="879">
        <f>+((B177/A177)-(E177/D177))/(B177/A177)</f>
        <v>2.0005463705512098E-2</v>
      </c>
    </row>
    <row r="178" spans="1:11" ht="15" thickBot="1" x14ac:dyDescent="0.35">
      <c r="A178" s="872"/>
      <c r="B178" s="874"/>
      <c r="C178" s="874"/>
      <c r="D178" s="874"/>
      <c r="E178" s="874"/>
      <c r="F178" s="497" t="s">
        <v>6061</v>
      </c>
      <c r="G178" s="497">
        <v>66111</v>
      </c>
      <c r="H178" s="497">
        <v>794</v>
      </c>
      <c r="I178" s="497">
        <v>31866.400000000001</v>
      </c>
      <c r="J178" s="1046"/>
      <c r="K178" s="880" t="e">
        <f>+((B178/A178)-(E178/D178))/(B178/A178)</f>
        <v>#DIV/0!</v>
      </c>
    </row>
    <row r="179" spans="1:11" x14ac:dyDescent="0.3">
      <c r="A179" s="960">
        <v>720</v>
      </c>
      <c r="B179" s="962">
        <v>33234</v>
      </c>
      <c r="C179" s="962" t="s">
        <v>6301</v>
      </c>
      <c r="D179" s="873">
        <v>720</v>
      </c>
      <c r="E179" s="873">
        <v>32372.3</v>
      </c>
      <c r="F179" s="524" t="s">
        <v>6302</v>
      </c>
      <c r="G179" s="524">
        <v>66441</v>
      </c>
      <c r="H179" s="583">
        <v>220</v>
      </c>
      <c r="I179" s="583">
        <v>9973.7999999999993</v>
      </c>
      <c r="J179" s="1045">
        <f t="shared" ref="J179" si="130">+A179-D179</f>
        <v>0</v>
      </c>
      <c r="K179" s="879">
        <f t="shared" ref="K179" si="131">+((B179/A179)-(E179/D179))/(B179/A179)</f>
        <v>2.5928266233375481E-2</v>
      </c>
    </row>
    <row r="180" spans="1:11" x14ac:dyDescent="0.3">
      <c r="A180" s="987"/>
      <c r="B180" s="1102"/>
      <c r="C180" s="1102"/>
      <c r="D180" s="876"/>
      <c r="E180" s="876"/>
      <c r="F180" s="532" t="s">
        <v>6302</v>
      </c>
      <c r="G180" s="532">
        <v>66441</v>
      </c>
      <c r="H180" s="586">
        <v>200</v>
      </c>
      <c r="I180" s="586">
        <v>8587.2999999999993</v>
      </c>
      <c r="J180" s="1047"/>
      <c r="K180" s="885"/>
    </row>
    <row r="181" spans="1:11" ht="15" thickBot="1" x14ac:dyDescent="0.35">
      <c r="A181" s="961"/>
      <c r="B181" s="963"/>
      <c r="C181" s="963"/>
      <c r="D181" s="874"/>
      <c r="E181" s="874"/>
      <c r="F181" s="525" t="s">
        <v>6302</v>
      </c>
      <c r="G181" s="525">
        <v>66441</v>
      </c>
      <c r="H181" s="585">
        <v>141</v>
      </c>
      <c r="I181" s="585">
        <v>6560</v>
      </c>
      <c r="J181" s="1046"/>
      <c r="K181" s="880"/>
    </row>
    <row r="182" spans="1:11" ht="15" thickBot="1" x14ac:dyDescent="0.35">
      <c r="A182" s="575">
        <v>254</v>
      </c>
      <c r="B182" s="577">
        <v>11199.25</v>
      </c>
      <c r="C182" s="577" t="s">
        <v>6372</v>
      </c>
      <c r="D182" s="8">
        <f>+H182</f>
        <v>254</v>
      </c>
      <c r="E182" s="8">
        <f>+I182</f>
        <v>10811.8</v>
      </c>
      <c r="F182" s="8" t="s">
        <v>6373</v>
      </c>
      <c r="G182" s="8">
        <v>66451</v>
      </c>
      <c r="H182" s="198">
        <v>254</v>
      </c>
      <c r="I182" s="198">
        <v>10811.8</v>
      </c>
      <c r="J182" s="219">
        <f t="shared" ref="J182:J187" si="132">+A182-D182</f>
        <v>0</v>
      </c>
      <c r="K182" s="53">
        <f t="shared" ref="K182:K186" si="133">+((B182/A182)-(E182/D182))/(B182/A182)</f>
        <v>3.4596066700895212E-2</v>
      </c>
    </row>
    <row r="183" spans="1:11" ht="15" thickBot="1" x14ac:dyDescent="0.35">
      <c r="A183" s="596">
        <v>268</v>
      </c>
      <c r="B183" s="597">
        <v>9746.75</v>
      </c>
      <c r="C183" s="597" t="s">
        <v>6374</v>
      </c>
      <c r="D183" s="8">
        <f t="shared" ref="D183:E186" si="134">+H183</f>
        <v>268</v>
      </c>
      <c r="E183" s="8">
        <f t="shared" si="134"/>
        <v>9628.7000000000007</v>
      </c>
      <c r="F183" s="592" t="s">
        <v>6375</v>
      </c>
      <c r="G183" s="592">
        <v>66461</v>
      </c>
      <c r="H183" s="587">
        <v>268</v>
      </c>
      <c r="I183" s="587">
        <v>9628.7000000000007</v>
      </c>
      <c r="J183" s="219">
        <f t="shared" si="132"/>
        <v>0</v>
      </c>
      <c r="K183" s="53">
        <f t="shared" si="133"/>
        <v>1.2111729550875876E-2</v>
      </c>
    </row>
    <row r="184" spans="1:11" ht="15" thickBot="1" x14ac:dyDescent="0.35">
      <c r="A184" s="575">
        <v>525</v>
      </c>
      <c r="B184" s="577">
        <v>22761.5</v>
      </c>
      <c r="C184" s="577" t="s">
        <v>6376</v>
      </c>
      <c r="D184" s="8">
        <f t="shared" si="134"/>
        <v>525</v>
      </c>
      <c r="E184" s="8">
        <f t="shared" si="134"/>
        <v>21978.5</v>
      </c>
      <c r="F184" s="8" t="s">
        <v>6377</v>
      </c>
      <c r="G184" s="8">
        <v>66471</v>
      </c>
      <c r="H184" s="198">
        <v>525</v>
      </c>
      <c r="I184" s="198">
        <v>21978.5</v>
      </c>
      <c r="J184" s="219">
        <f t="shared" si="132"/>
        <v>0</v>
      </c>
      <c r="K184" s="53">
        <f t="shared" si="133"/>
        <v>3.4400193308876822E-2</v>
      </c>
    </row>
    <row r="185" spans="1:11" ht="15" thickBot="1" x14ac:dyDescent="0.35">
      <c r="A185" s="590">
        <v>88</v>
      </c>
      <c r="B185" s="592">
        <v>3381.4</v>
      </c>
      <c r="C185" s="592" t="s">
        <v>6378</v>
      </c>
      <c r="D185" s="592">
        <f t="shared" si="134"/>
        <v>87</v>
      </c>
      <c r="E185" s="592">
        <f t="shared" si="134"/>
        <v>3223.2</v>
      </c>
      <c r="F185" s="592" t="s">
        <v>6379</v>
      </c>
      <c r="G185" s="592">
        <v>66671</v>
      </c>
      <c r="H185" s="587">
        <v>87</v>
      </c>
      <c r="I185" s="587">
        <v>3223.2</v>
      </c>
      <c r="J185" s="219">
        <f t="shared" si="132"/>
        <v>1</v>
      </c>
      <c r="K185" s="53">
        <f t="shared" si="133"/>
        <v>3.5828865007964651E-2</v>
      </c>
    </row>
    <row r="186" spans="1:11" ht="15" thickBot="1" x14ac:dyDescent="0.35">
      <c r="A186" s="175">
        <v>144</v>
      </c>
      <c r="B186" s="8">
        <v>6154.25</v>
      </c>
      <c r="C186" s="8" t="s">
        <v>6380</v>
      </c>
      <c r="D186" s="8">
        <f t="shared" si="134"/>
        <v>144</v>
      </c>
      <c r="E186" s="8">
        <f t="shared" si="134"/>
        <v>5940.7999999999993</v>
      </c>
      <c r="F186" s="8" t="s">
        <v>6381</v>
      </c>
      <c r="G186" s="8">
        <v>66681</v>
      </c>
      <c r="H186" s="198">
        <v>144</v>
      </c>
      <c r="I186" s="198">
        <v>5940.7999999999993</v>
      </c>
      <c r="J186" s="219">
        <f t="shared" si="132"/>
        <v>0</v>
      </c>
      <c r="K186" s="53">
        <f t="shared" si="133"/>
        <v>3.4683348905228138E-2</v>
      </c>
    </row>
    <row r="187" spans="1:11" x14ac:dyDescent="0.3">
      <c r="A187" s="871">
        <v>425</v>
      </c>
      <c r="B187" s="873">
        <v>20547</v>
      </c>
      <c r="C187" s="873" t="s">
        <v>6532</v>
      </c>
      <c r="D187" s="873">
        <f>+H187+H188</f>
        <v>426</v>
      </c>
      <c r="E187" s="873">
        <f>+I187+I188</f>
        <v>20053.099999999999</v>
      </c>
      <c r="F187" s="602" t="s">
        <v>6533</v>
      </c>
      <c r="G187" s="602">
        <v>66751</v>
      </c>
      <c r="H187" s="637">
        <v>376</v>
      </c>
      <c r="I187" s="610">
        <v>17675.599999999999</v>
      </c>
      <c r="J187" s="1045">
        <f t="shared" si="132"/>
        <v>-1</v>
      </c>
      <c r="K187" s="879">
        <f>+((B187/A187)-(E187/D187))/(B187/A187)</f>
        <v>2.632856400909318E-2</v>
      </c>
    </row>
    <row r="188" spans="1:11" ht="15" thickBot="1" x14ac:dyDescent="0.35">
      <c r="A188" s="875"/>
      <c r="B188" s="881"/>
      <c r="C188" s="881"/>
      <c r="D188" s="881"/>
      <c r="E188" s="881"/>
      <c r="F188" s="605" t="s">
        <v>6533</v>
      </c>
      <c r="G188" s="605">
        <v>66751</v>
      </c>
      <c r="H188" s="639">
        <v>50</v>
      </c>
      <c r="I188" s="611">
        <v>2377.5</v>
      </c>
      <c r="J188" s="1046"/>
      <c r="K188" s="880" t="e">
        <f>+((B188/A188)-(E188/D188))/(B188/A188)</f>
        <v>#DIV/0!</v>
      </c>
    </row>
    <row r="189" spans="1:11" x14ac:dyDescent="0.3">
      <c r="A189" s="871">
        <v>600</v>
      </c>
      <c r="B189" s="873">
        <v>29012</v>
      </c>
      <c r="C189" s="873" t="s">
        <v>6534</v>
      </c>
      <c r="D189" s="873">
        <f>+H189+H190</f>
        <v>600</v>
      </c>
      <c r="E189" s="873">
        <f>+I189+I190</f>
        <v>28230.7</v>
      </c>
      <c r="F189" s="602" t="s">
        <v>6535</v>
      </c>
      <c r="G189" s="602">
        <v>66771</v>
      </c>
      <c r="H189" s="637">
        <v>550</v>
      </c>
      <c r="I189" s="610">
        <v>25903.4</v>
      </c>
      <c r="J189" s="1045">
        <f t="shared" ref="J189" si="135">+A189-D189</f>
        <v>0</v>
      </c>
      <c r="K189" s="879">
        <f>+((B189/A189)-(E189/D189))/(B189/A189)</f>
        <v>2.6930235764511198E-2</v>
      </c>
    </row>
    <row r="190" spans="1:11" ht="15" thickBot="1" x14ac:dyDescent="0.35">
      <c r="A190" s="875"/>
      <c r="B190" s="881"/>
      <c r="C190" s="881"/>
      <c r="D190" s="881"/>
      <c r="E190" s="881"/>
      <c r="F190" s="605" t="s">
        <v>6535</v>
      </c>
      <c r="G190" s="605">
        <v>66771</v>
      </c>
      <c r="H190" s="639">
        <v>50</v>
      </c>
      <c r="I190" s="611">
        <v>2327.3000000000002</v>
      </c>
      <c r="J190" s="1046"/>
      <c r="K190" s="880" t="e">
        <f>+((B190/A190)-(E190/D190))/(B190/A190)</f>
        <v>#DIV/0!</v>
      </c>
    </row>
    <row r="191" spans="1:11" x14ac:dyDescent="0.3">
      <c r="A191" s="871">
        <v>1146</v>
      </c>
      <c r="B191" s="873">
        <v>56321.25</v>
      </c>
      <c r="C191" s="873" t="s">
        <v>6536</v>
      </c>
      <c r="D191" s="873">
        <f>+H191+H193+H192</f>
        <v>1146</v>
      </c>
      <c r="E191" s="873">
        <f>+I191+I193+I192</f>
        <v>54767.1</v>
      </c>
      <c r="F191" s="602" t="s">
        <v>6537</v>
      </c>
      <c r="G191" s="602">
        <v>66791</v>
      </c>
      <c r="H191" s="637">
        <v>400</v>
      </c>
      <c r="I191" s="602">
        <v>19579.5</v>
      </c>
      <c r="J191" s="1045">
        <f t="shared" ref="J191" si="136">+A191-D191</f>
        <v>0</v>
      </c>
      <c r="K191" s="879">
        <f t="shared" ref="K191" si="137">+((B191/A191)-(E191/D191))/(B191/A191)</f>
        <v>2.7594380451428174E-2</v>
      </c>
    </row>
    <row r="192" spans="1:11" x14ac:dyDescent="0.3">
      <c r="A192" s="875"/>
      <c r="B192" s="881"/>
      <c r="C192" s="881"/>
      <c r="D192" s="881"/>
      <c r="E192" s="881"/>
      <c r="F192" s="605" t="s">
        <v>6537</v>
      </c>
      <c r="G192" s="605">
        <v>66791</v>
      </c>
      <c r="H192" s="639">
        <v>396</v>
      </c>
      <c r="I192" s="605">
        <v>18790.900000000001</v>
      </c>
      <c r="J192" s="1047"/>
      <c r="K192" s="885"/>
    </row>
    <row r="193" spans="1:11" ht="15" thickBot="1" x14ac:dyDescent="0.35">
      <c r="A193" s="875"/>
      <c r="B193" s="881"/>
      <c r="C193" s="881"/>
      <c r="D193" s="881"/>
      <c r="E193" s="881"/>
      <c r="F193" s="605" t="s">
        <v>6537</v>
      </c>
      <c r="G193" s="605">
        <v>66791</v>
      </c>
      <c r="H193" s="639">
        <v>350</v>
      </c>
      <c r="I193" s="605">
        <v>16396.7</v>
      </c>
      <c r="J193" s="1046"/>
      <c r="K193" s="880"/>
    </row>
    <row r="194" spans="1:11" x14ac:dyDescent="0.3">
      <c r="A194" s="871">
        <v>402</v>
      </c>
      <c r="B194" s="873">
        <v>17342.5</v>
      </c>
      <c r="C194" s="873" t="s">
        <v>6538</v>
      </c>
      <c r="D194" s="873">
        <f>+H194+H195</f>
        <v>402</v>
      </c>
      <c r="E194" s="873">
        <f>+I194+I195</f>
        <v>17206.800000000003</v>
      </c>
      <c r="F194" s="602" t="s">
        <v>6539</v>
      </c>
      <c r="G194" s="602">
        <v>66821</v>
      </c>
      <c r="H194" s="602">
        <v>202</v>
      </c>
      <c r="I194" s="602">
        <v>8910.1</v>
      </c>
      <c r="J194" s="1045">
        <f t="shared" ref="J194" si="138">+A194-D194</f>
        <v>0</v>
      </c>
      <c r="K194" s="879">
        <f>+((B194/A194)-(E194/D194))/(B194/A194)</f>
        <v>7.824708087069079E-3</v>
      </c>
    </row>
    <row r="195" spans="1:11" ht="15" thickBot="1" x14ac:dyDescent="0.35">
      <c r="A195" s="872"/>
      <c r="B195" s="874"/>
      <c r="C195" s="874"/>
      <c r="D195" s="874"/>
      <c r="E195" s="874"/>
      <c r="F195" s="603" t="s">
        <v>6539</v>
      </c>
      <c r="G195" s="603">
        <v>66821</v>
      </c>
      <c r="H195" s="603">
        <v>200</v>
      </c>
      <c r="I195" s="603">
        <v>8296.7000000000007</v>
      </c>
      <c r="J195" s="1046"/>
      <c r="K195" s="880" t="e">
        <f>+((B195/A195)-(E195/D195))/(B195/A195)</f>
        <v>#DIV/0!</v>
      </c>
    </row>
    <row r="196" spans="1:11" x14ac:dyDescent="0.3">
      <c r="A196" s="901">
        <v>667</v>
      </c>
      <c r="B196" s="873">
        <v>27856.1</v>
      </c>
      <c r="C196" s="873" t="s">
        <v>6616</v>
      </c>
      <c r="D196" s="873">
        <f>+H196+H197</f>
        <v>667</v>
      </c>
      <c r="E196" s="873">
        <f>+I196+I197</f>
        <v>27361.1</v>
      </c>
      <c r="F196" s="649" t="s">
        <v>6617</v>
      </c>
      <c r="G196" s="649">
        <v>66881</v>
      </c>
      <c r="H196" s="649">
        <v>505</v>
      </c>
      <c r="I196" s="649">
        <v>20747.2</v>
      </c>
      <c r="J196" s="1045">
        <f t="shared" ref="J196" si="139">+A196-D196</f>
        <v>0</v>
      </c>
      <c r="K196" s="879">
        <f>+((B196/A196)-(E196/D196))/(B196/A196)</f>
        <v>1.7769896001234964E-2</v>
      </c>
    </row>
    <row r="197" spans="1:11" ht="15" thickBot="1" x14ac:dyDescent="0.35">
      <c r="A197" s="888"/>
      <c r="B197" s="874"/>
      <c r="C197" s="874"/>
      <c r="D197" s="874"/>
      <c r="E197" s="874"/>
      <c r="F197" s="651" t="s">
        <v>6617</v>
      </c>
      <c r="G197" s="651">
        <v>66881</v>
      </c>
      <c r="H197" s="651">
        <v>162</v>
      </c>
      <c r="I197" s="651">
        <v>6613.9</v>
      </c>
      <c r="J197" s="1046"/>
      <c r="K197" s="880" t="e">
        <f>+((B197/A197)-(E197/D197))/(B197/A197)</f>
        <v>#DIV/0!</v>
      </c>
    </row>
    <row r="198" spans="1:11" ht="15" thickBot="1" x14ac:dyDescent="0.35">
      <c r="A198" s="197">
        <v>183</v>
      </c>
      <c r="B198" s="8">
        <v>6999.3</v>
      </c>
      <c r="C198" s="8" t="s">
        <v>6618</v>
      </c>
      <c r="D198" s="8">
        <f>+H198</f>
        <v>183</v>
      </c>
      <c r="E198" s="8">
        <f>+I198</f>
        <v>6930.7</v>
      </c>
      <c r="F198" s="8" t="s">
        <v>6619</v>
      </c>
      <c r="G198" s="8">
        <v>66891</v>
      </c>
      <c r="H198" s="8">
        <v>183</v>
      </c>
      <c r="I198" s="8">
        <v>6930.7</v>
      </c>
      <c r="J198" s="219">
        <f t="shared" ref="J198" si="140">+A198-D198</f>
        <v>0</v>
      </c>
      <c r="K198" s="53">
        <f t="shared" ref="K198" si="141">+((B198/A198)-(E198/D198))/(B198/A198)</f>
        <v>9.8009800980096949E-3</v>
      </c>
    </row>
    <row r="199" spans="1:11" x14ac:dyDescent="0.3">
      <c r="A199" s="871">
        <v>1157</v>
      </c>
      <c r="B199" s="873">
        <v>47968.1</v>
      </c>
      <c r="C199" s="873" t="s">
        <v>6620</v>
      </c>
      <c r="D199" s="873">
        <f>+H199+H200</f>
        <v>1157</v>
      </c>
      <c r="E199" s="873">
        <f>+I199+I200</f>
        <v>47678.3</v>
      </c>
      <c r="F199" s="649" t="s">
        <v>6621</v>
      </c>
      <c r="G199" s="649">
        <v>66911</v>
      </c>
      <c r="H199" s="649">
        <v>629</v>
      </c>
      <c r="I199" s="649">
        <v>25813.4</v>
      </c>
      <c r="J199" s="1045">
        <f t="shared" ref="J199" si="142">+A199-D199</f>
        <v>0</v>
      </c>
      <c r="K199" s="879">
        <f>+((B199/A199)-(E199/D199))/(B199/A199)</f>
        <v>6.041515090237079E-3</v>
      </c>
    </row>
    <row r="200" spans="1:11" ht="15" thickBot="1" x14ac:dyDescent="0.35">
      <c r="A200" s="872"/>
      <c r="B200" s="874"/>
      <c r="C200" s="874"/>
      <c r="D200" s="874"/>
      <c r="E200" s="874"/>
      <c r="F200" s="651" t="s">
        <v>6621</v>
      </c>
      <c r="G200" s="651">
        <v>66911</v>
      </c>
      <c r="H200" s="651">
        <v>528</v>
      </c>
      <c r="I200" s="651">
        <v>21864.9</v>
      </c>
      <c r="J200" s="1046"/>
      <c r="K200" s="880" t="e">
        <f>+((B200/A200)-(E200/D200))/(B200/A200)</f>
        <v>#DIV/0!</v>
      </c>
    </row>
    <row r="201" spans="1:11" x14ac:dyDescent="0.3">
      <c r="A201" s="871">
        <v>533</v>
      </c>
      <c r="B201" s="873">
        <v>21951.8</v>
      </c>
      <c r="C201" s="873" t="s">
        <v>6622</v>
      </c>
      <c r="D201" s="873">
        <f>+H201+H202</f>
        <v>533</v>
      </c>
      <c r="E201" s="873">
        <f>+I201+I202</f>
        <v>21801.8</v>
      </c>
      <c r="F201" s="649" t="s">
        <v>6623</v>
      </c>
      <c r="G201" s="649">
        <v>66931</v>
      </c>
      <c r="H201" s="649">
        <v>72</v>
      </c>
      <c r="I201" s="649">
        <v>2765.5</v>
      </c>
      <c r="J201" s="1045">
        <f t="shared" ref="J201" si="143">+A201-D201</f>
        <v>0</v>
      </c>
      <c r="K201" s="879">
        <f>+((B201/A201)-(E201/D201))/(B201/A201)</f>
        <v>6.833152634408121E-3</v>
      </c>
    </row>
    <row r="202" spans="1:11" ht="15" thickBot="1" x14ac:dyDescent="0.35">
      <c r="A202" s="872"/>
      <c r="B202" s="874"/>
      <c r="C202" s="874"/>
      <c r="D202" s="874"/>
      <c r="E202" s="874"/>
      <c r="F202" s="651" t="s">
        <v>6623</v>
      </c>
      <c r="G202" s="651">
        <v>66931</v>
      </c>
      <c r="H202" s="651">
        <v>461</v>
      </c>
      <c r="I202" s="651">
        <v>19036.3</v>
      </c>
      <c r="J202" s="1046"/>
      <c r="K202" s="880" t="e">
        <f>+((B202/A202)-(E202/D202))/(B202/A202)</f>
        <v>#DIV/0!</v>
      </c>
    </row>
    <row r="203" spans="1:11" ht="15" thickBot="1" x14ac:dyDescent="0.35">
      <c r="A203" s="175">
        <v>400</v>
      </c>
      <c r="B203" s="8">
        <v>17144.25</v>
      </c>
      <c r="C203" s="8" t="s">
        <v>6624</v>
      </c>
      <c r="D203" s="8">
        <v>400</v>
      </c>
      <c r="E203" s="8">
        <v>16993.3</v>
      </c>
      <c r="F203" s="8" t="s">
        <v>6625</v>
      </c>
      <c r="G203" s="8">
        <v>66941</v>
      </c>
      <c r="H203" s="8">
        <v>140</v>
      </c>
      <c r="I203" s="8">
        <v>6314.2</v>
      </c>
      <c r="J203" s="219">
        <f t="shared" ref="J203" si="144">+A203-D203</f>
        <v>0</v>
      </c>
      <c r="K203" s="53">
        <f t="shared" ref="K203" si="145">+((B203/A203)-(E203/D203))/(B203/A203)</f>
        <v>8.8047012846873014E-3</v>
      </c>
    </row>
    <row r="204" spans="1:11" x14ac:dyDescent="0.3">
      <c r="A204" s="871">
        <v>1087</v>
      </c>
      <c r="B204" s="873">
        <v>45602.6</v>
      </c>
      <c r="C204" s="873" t="s">
        <v>6737</v>
      </c>
      <c r="D204" s="873">
        <f>+H204+H205+H206+H207</f>
        <v>1087</v>
      </c>
      <c r="E204" s="873">
        <f>+I204+I205+I206+I207</f>
        <v>45222.3</v>
      </c>
      <c r="F204" s="666" t="s">
        <v>6738</v>
      </c>
      <c r="G204" s="666">
        <v>66951</v>
      </c>
      <c r="H204" s="666">
        <v>240</v>
      </c>
      <c r="I204" s="666">
        <v>9915.1</v>
      </c>
      <c r="J204" s="1045">
        <f t="shared" ref="J204" si="146">+A204-D204</f>
        <v>0</v>
      </c>
      <c r="K204" s="879">
        <f t="shared" ref="K204" si="147">+((B204/A204)-(E204/D204))/(B204/A204)</f>
        <v>8.3394367864989098E-3</v>
      </c>
    </row>
    <row r="205" spans="1:11" x14ac:dyDescent="0.3">
      <c r="A205" s="875"/>
      <c r="B205" s="881"/>
      <c r="C205" s="881"/>
      <c r="D205" s="881"/>
      <c r="E205" s="881"/>
      <c r="F205" s="664" t="s">
        <v>6738</v>
      </c>
      <c r="G205" s="664">
        <v>66951</v>
      </c>
      <c r="H205" s="664">
        <v>442</v>
      </c>
      <c r="I205" s="664">
        <v>18593.300000000003</v>
      </c>
      <c r="J205" s="1047"/>
      <c r="K205" s="885"/>
    </row>
    <row r="206" spans="1:11" x14ac:dyDescent="0.3">
      <c r="A206" s="875"/>
      <c r="B206" s="881"/>
      <c r="C206" s="881"/>
      <c r="D206" s="881"/>
      <c r="E206" s="881"/>
      <c r="F206" s="664" t="s">
        <v>6738</v>
      </c>
      <c r="G206" s="664">
        <v>66951</v>
      </c>
      <c r="H206" s="664">
        <v>328</v>
      </c>
      <c r="I206" s="664">
        <v>13551.1</v>
      </c>
      <c r="J206" s="1047"/>
      <c r="K206" s="885"/>
    </row>
    <row r="207" spans="1:11" ht="15" thickBot="1" x14ac:dyDescent="0.35">
      <c r="A207" s="875"/>
      <c r="B207" s="881"/>
      <c r="C207" s="881"/>
      <c r="D207" s="881"/>
      <c r="E207" s="881"/>
      <c r="F207" s="664" t="s">
        <v>6738</v>
      </c>
      <c r="G207" s="664">
        <v>66951</v>
      </c>
      <c r="H207" s="664">
        <v>77</v>
      </c>
      <c r="I207" s="664">
        <v>3162.8</v>
      </c>
      <c r="J207" s="1046"/>
      <c r="K207" s="880"/>
    </row>
    <row r="208" spans="1:11" x14ac:dyDescent="0.3">
      <c r="A208" s="871">
        <v>721</v>
      </c>
      <c r="B208" s="873">
        <v>32351</v>
      </c>
      <c r="C208" s="873" t="s">
        <v>6739</v>
      </c>
      <c r="D208" s="873">
        <f>+H208+H209+H210+H211</f>
        <v>721</v>
      </c>
      <c r="E208" s="873">
        <f>+I208+I209+I210+I211</f>
        <v>32350.5</v>
      </c>
      <c r="F208" s="666" t="s">
        <v>6740</v>
      </c>
      <c r="G208" s="666">
        <v>66971</v>
      </c>
      <c r="H208" s="666">
        <v>131</v>
      </c>
      <c r="I208" s="666">
        <v>5563.8</v>
      </c>
      <c r="J208" s="1045">
        <f t="shared" ref="J208" si="148">+A208-D208</f>
        <v>0</v>
      </c>
      <c r="K208" s="879">
        <f t="shared" ref="K208" si="149">+((B208/A208)-(E208/D208))/(B208/A208)</f>
        <v>1.545547278299655E-5</v>
      </c>
    </row>
    <row r="209" spans="1:11" x14ac:dyDescent="0.3">
      <c r="A209" s="875"/>
      <c r="B209" s="881"/>
      <c r="C209" s="881"/>
      <c r="D209" s="881"/>
      <c r="E209" s="881"/>
      <c r="F209" s="664" t="s">
        <v>6740</v>
      </c>
      <c r="G209" s="664">
        <v>66971</v>
      </c>
      <c r="H209" s="664">
        <v>81</v>
      </c>
      <c r="I209" s="664">
        <v>3626</v>
      </c>
      <c r="J209" s="1047"/>
      <c r="K209" s="885"/>
    </row>
    <row r="210" spans="1:11" x14ac:dyDescent="0.3">
      <c r="A210" s="875"/>
      <c r="B210" s="881"/>
      <c r="C210" s="881"/>
      <c r="D210" s="881"/>
      <c r="E210" s="881"/>
      <c r="F210" s="664" t="s">
        <v>6740</v>
      </c>
      <c r="G210" s="664">
        <v>66971</v>
      </c>
      <c r="H210" s="664">
        <v>226</v>
      </c>
      <c r="I210" s="664">
        <v>10366.200000000001</v>
      </c>
      <c r="J210" s="1047"/>
      <c r="K210" s="885"/>
    </row>
    <row r="211" spans="1:11" ht="15" thickBot="1" x14ac:dyDescent="0.35">
      <c r="A211" s="872"/>
      <c r="B211" s="874"/>
      <c r="C211" s="874"/>
      <c r="D211" s="874"/>
      <c r="E211" s="874"/>
      <c r="F211" s="668" t="s">
        <v>6740</v>
      </c>
      <c r="G211" s="668">
        <v>66971</v>
      </c>
      <c r="H211" s="684">
        <v>283</v>
      </c>
      <c r="I211" s="668">
        <v>12794.5</v>
      </c>
      <c r="J211" s="1046"/>
      <c r="K211" s="880"/>
    </row>
    <row r="212" spans="1:11" x14ac:dyDescent="0.3">
      <c r="A212" s="871">
        <v>600</v>
      </c>
      <c r="B212" s="873">
        <v>24666.5</v>
      </c>
      <c r="C212" s="873" t="s">
        <v>6741</v>
      </c>
      <c r="D212" s="873">
        <f>+H212+H213</f>
        <v>600</v>
      </c>
      <c r="E212" s="873">
        <f>+I212+I213</f>
        <v>24647.499999999996</v>
      </c>
      <c r="F212" s="666" t="s">
        <v>6742</v>
      </c>
      <c r="G212" s="666">
        <v>67021</v>
      </c>
      <c r="H212" s="685">
        <v>200</v>
      </c>
      <c r="I212" s="666">
        <v>8083.3</v>
      </c>
      <c r="J212" s="1045">
        <f t="shared" ref="J212" si="150">+A212-D212</f>
        <v>0</v>
      </c>
      <c r="K212" s="879">
        <f>+((B212/A212)-(E212/D212))/(B212/A212)</f>
        <v>7.7027547483445307E-4</v>
      </c>
    </row>
    <row r="213" spans="1:11" ht="15" thickBot="1" x14ac:dyDescent="0.35">
      <c r="A213" s="872"/>
      <c r="B213" s="874"/>
      <c r="C213" s="874"/>
      <c r="D213" s="874"/>
      <c r="E213" s="874"/>
      <c r="F213" s="668" t="s">
        <v>6742</v>
      </c>
      <c r="G213" s="668">
        <v>67021</v>
      </c>
      <c r="H213" s="684">
        <v>400</v>
      </c>
      <c r="I213" s="668">
        <v>16564.199999999997</v>
      </c>
      <c r="J213" s="1046"/>
      <c r="K213" s="880" t="e">
        <f>+((B213/A213)-(E213/D213))/(B213/A213)</f>
        <v>#DIV/0!</v>
      </c>
    </row>
    <row r="214" spans="1:11" ht="15" thickBot="1" x14ac:dyDescent="0.35">
      <c r="A214" s="175">
        <v>67</v>
      </c>
      <c r="B214" s="8">
        <v>2477.25</v>
      </c>
      <c r="C214" s="8" t="s">
        <v>6743</v>
      </c>
      <c r="D214" s="8">
        <f t="shared" ref="D214:E214" si="151">+H214</f>
        <v>67</v>
      </c>
      <c r="E214" s="8">
        <f t="shared" si="151"/>
        <v>2439.1999999999998</v>
      </c>
      <c r="F214" s="8" t="s">
        <v>6744</v>
      </c>
      <c r="G214" s="8">
        <v>67131</v>
      </c>
      <c r="H214" s="311">
        <v>67</v>
      </c>
      <c r="I214" s="8">
        <v>2439.1999999999998</v>
      </c>
      <c r="J214" s="219">
        <f t="shared" ref="J214:J215" si="152">+A214-D214</f>
        <v>0</v>
      </c>
      <c r="K214" s="53">
        <f t="shared" ref="K214" si="153">+((B214/A214)-(E214/D214))/(B214/A214)</f>
        <v>1.5359773942880373E-2</v>
      </c>
    </row>
    <row r="215" spans="1:11" x14ac:dyDescent="0.3">
      <c r="A215" s="871">
        <v>1240</v>
      </c>
      <c r="B215" s="873">
        <v>51901.4</v>
      </c>
      <c r="C215" s="873" t="s">
        <v>6747</v>
      </c>
      <c r="D215" s="873">
        <v>1240</v>
      </c>
      <c r="E215" s="873">
        <v>51604.5</v>
      </c>
      <c r="F215" s="666" t="s">
        <v>6748</v>
      </c>
      <c r="G215" s="666">
        <v>67191</v>
      </c>
      <c r="H215" s="685">
        <v>333</v>
      </c>
      <c r="I215" s="666">
        <v>13600.5</v>
      </c>
      <c r="J215" s="1045">
        <f t="shared" si="152"/>
        <v>0</v>
      </c>
      <c r="K215" s="879">
        <f>+((B215/A215)-(E215/D215))/(B215/A215)</f>
        <v>5.7204622611336702E-3</v>
      </c>
    </row>
    <row r="216" spans="1:11" ht="15" thickBot="1" x14ac:dyDescent="0.35">
      <c r="A216" s="872"/>
      <c r="B216" s="874"/>
      <c r="C216" s="874"/>
      <c r="D216" s="874"/>
      <c r="E216" s="874"/>
      <c r="F216" s="668" t="s">
        <v>6748</v>
      </c>
      <c r="G216" s="668">
        <v>67191</v>
      </c>
      <c r="H216" s="684">
        <v>200</v>
      </c>
      <c r="I216" s="668">
        <v>8378.7999999999993</v>
      </c>
      <c r="J216" s="1046"/>
      <c r="K216" s="880" t="e">
        <f>+((B216/A216)-(E216/D216))/(B216/A216)</f>
        <v>#DIV/0!</v>
      </c>
    </row>
    <row r="217" spans="1:11" ht="15" thickBot="1" x14ac:dyDescent="0.35">
      <c r="A217" s="175">
        <v>400</v>
      </c>
      <c r="B217" s="8">
        <v>16727.599999999999</v>
      </c>
      <c r="C217" s="8" t="s">
        <v>7169</v>
      </c>
      <c r="D217" s="8">
        <f>+H217</f>
        <v>400</v>
      </c>
      <c r="E217" s="8">
        <f>+I217</f>
        <v>16474</v>
      </c>
      <c r="F217" s="8" t="s">
        <v>7170</v>
      </c>
      <c r="G217" s="8">
        <v>67211</v>
      </c>
      <c r="H217" s="780">
        <v>400</v>
      </c>
      <c r="I217" s="8">
        <v>16474</v>
      </c>
      <c r="J217" s="219">
        <f t="shared" ref="J217" si="154">+A217-D217</f>
        <v>0</v>
      </c>
      <c r="K217" s="53">
        <f t="shared" ref="K217" si="155">+((B217/A217)-(E217/D217))/(B217/A217)</f>
        <v>1.5160572945311779E-2</v>
      </c>
    </row>
    <row r="218" spans="1:11" ht="15" thickBot="1" x14ac:dyDescent="0.35">
      <c r="A218" s="175">
        <v>174</v>
      </c>
      <c r="B218" s="8">
        <v>7162.7</v>
      </c>
      <c r="C218" s="8" t="s">
        <v>6886</v>
      </c>
      <c r="D218" s="8">
        <f>+H218</f>
        <v>174</v>
      </c>
      <c r="E218" s="8">
        <f>+I218</f>
        <v>7028.4</v>
      </c>
      <c r="F218" s="8" t="s">
        <v>6887</v>
      </c>
      <c r="G218" s="8">
        <v>67221</v>
      </c>
      <c r="H218" s="732">
        <v>174</v>
      </c>
      <c r="I218" s="8">
        <v>7028.4</v>
      </c>
      <c r="J218" s="219">
        <f t="shared" ref="J218:J219" si="156">+A218-D218</f>
        <v>0</v>
      </c>
      <c r="K218" s="53">
        <f t="shared" ref="K218" si="157">+((B218/A218)-(E218/D218))/(B218/A218)</f>
        <v>1.8749912742401616E-2</v>
      </c>
    </row>
    <row r="219" spans="1:11" x14ac:dyDescent="0.3">
      <c r="A219" s="871">
        <v>393</v>
      </c>
      <c r="B219" s="873">
        <v>16925.25</v>
      </c>
      <c r="C219" s="873" t="s">
        <v>7049</v>
      </c>
      <c r="D219" s="873">
        <f>+H219+H220</f>
        <v>393</v>
      </c>
      <c r="E219" s="873">
        <f>+I219+I220</f>
        <v>16862.400000000001</v>
      </c>
      <c r="F219" s="734" t="s">
        <v>7050</v>
      </c>
      <c r="G219" s="734">
        <v>67271</v>
      </c>
      <c r="H219" s="778">
        <v>195</v>
      </c>
      <c r="I219" s="734">
        <v>8766.4</v>
      </c>
      <c r="J219" s="1045">
        <f t="shared" si="156"/>
        <v>0</v>
      </c>
      <c r="K219" s="879">
        <f>+((B219/A219)-(E219/D219))/(B219/A219)</f>
        <v>3.7133868037398589E-3</v>
      </c>
    </row>
    <row r="220" spans="1:11" ht="15" thickBot="1" x14ac:dyDescent="0.35">
      <c r="A220" s="872"/>
      <c r="B220" s="874"/>
      <c r="C220" s="874"/>
      <c r="D220" s="874"/>
      <c r="E220" s="874"/>
      <c r="F220" s="736" t="s">
        <v>7050</v>
      </c>
      <c r="G220" s="736">
        <v>67271</v>
      </c>
      <c r="H220" s="779">
        <v>198</v>
      </c>
      <c r="I220" s="736">
        <v>8096</v>
      </c>
      <c r="J220" s="1046"/>
      <c r="K220" s="880" t="e">
        <f>+((B220/A220)-(E220/D220))/(B220/A220)</f>
        <v>#DIV/0!</v>
      </c>
    </row>
    <row r="221" spans="1:11" ht="15" thickBot="1" x14ac:dyDescent="0.35">
      <c r="A221" s="175">
        <v>30</v>
      </c>
      <c r="B221" s="8">
        <v>1375</v>
      </c>
      <c r="C221" s="8" t="s">
        <v>7051</v>
      </c>
      <c r="D221" s="8">
        <f t="shared" ref="D221:E222" si="158">+H221</f>
        <v>32</v>
      </c>
      <c r="E221" s="8">
        <f t="shared" si="158"/>
        <v>1459.5</v>
      </c>
      <c r="F221" s="8" t="s">
        <v>7052</v>
      </c>
      <c r="G221" s="8">
        <v>67351</v>
      </c>
      <c r="H221" s="780">
        <v>32</v>
      </c>
      <c r="I221" s="8">
        <v>1459.5</v>
      </c>
      <c r="J221" s="219">
        <f t="shared" ref="J221" si="159">+A221-D221</f>
        <v>-2</v>
      </c>
      <c r="K221" s="53">
        <f t="shared" ref="K221" si="160">+((B221/A221)-(E221/D221))/(B221/A221)</f>
        <v>4.8863636363636878E-3</v>
      </c>
    </row>
    <row r="222" spans="1:11" ht="15" thickBot="1" x14ac:dyDescent="0.35">
      <c r="A222" s="175">
        <v>155</v>
      </c>
      <c r="B222" s="8">
        <v>6453</v>
      </c>
      <c r="C222" s="8" t="s">
        <v>7053</v>
      </c>
      <c r="D222" s="8">
        <f t="shared" si="158"/>
        <v>155</v>
      </c>
      <c r="E222" s="8">
        <f t="shared" si="158"/>
        <v>6420.3</v>
      </c>
      <c r="F222" s="8" t="s">
        <v>7054</v>
      </c>
      <c r="G222" s="8">
        <v>67361</v>
      </c>
      <c r="H222" s="8">
        <v>155</v>
      </c>
      <c r="I222" s="8">
        <v>6420.3</v>
      </c>
      <c r="J222" s="219">
        <f t="shared" ref="J222:J224" si="161">+A222-D222</f>
        <v>0</v>
      </c>
      <c r="K222" s="53">
        <f t="shared" ref="K222:K224" si="162">+((B222/A222)-(E222/D222))/(B222/A222)</f>
        <v>5.0674105067410498E-3</v>
      </c>
    </row>
    <row r="223" spans="1:11" ht="15" thickBot="1" x14ac:dyDescent="0.35">
      <c r="A223" s="175">
        <v>782</v>
      </c>
      <c r="B223" s="8">
        <v>34814</v>
      </c>
      <c r="C223" s="8" t="s">
        <v>7055</v>
      </c>
      <c r="D223" s="8">
        <v>781</v>
      </c>
      <c r="E223" s="8">
        <v>35069.1</v>
      </c>
      <c r="F223" s="8" t="s">
        <v>7056</v>
      </c>
      <c r="G223" s="8">
        <v>67401</v>
      </c>
      <c r="H223" s="780">
        <v>186</v>
      </c>
      <c r="I223" s="8">
        <v>8687.9</v>
      </c>
      <c r="J223" s="219">
        <f t="shared" si="161"/>
        <v>1</v>
      </c>
      <c r="K223" s="53">
        <f t="shared" si="162"/>
        <v>-8.6173038691735385E-3</v>
      </c>
    </row>
    <row r="224" spans="1:11" x14ac:dyDescent="0.3">
      <c r="A224" s="871">
        <v>936</v>
      </c>
      <c r="B224" s="873">
        <v>43074.5</v>
      </c>
      <c r="C224" s="873" t="s">
        <v>7257</v>
      </c>
      <c r="D224" s="873">
        <f>+H224+H225+H226+H227</f>
        <v>937</v>
      </c>
      <c r="E224" s="873">
        <f>+I224+I225+I226+I227</f>
        <v>42871.099999999991</v>
      </c>
      <c r="F224" s="809" t="s">
        <v>7258</v>
      </c>
      <c r="G224" s="809">
        <v>67501</v>
      </c>
      <c r="H224" s="809">
        <v>280</v>
      </c>
      <c r="I224" s="809">
        <v>13142.9</v>
      </c>
      <c r="J224" s="1045">
        <f t="shared" si="161"/>
        <v>-1</v>
      </c>
      <c r="K224" s="879">
        <f t="shared" si="162"/>
        <v>5.7842476462903799E-3</v>
      </c>
    </row>
    <row r="225" spans="1:11" x14ac:dyDescent="0.3">
      <c r="A225" s="875"/>
      <c r="B225" s="881"/>
      <c r="C225" s="881"/>
      <c r="D225" s="881"/>
      <c r="E225" s="881"/>
      <c r="F225" s="810" t="s">
        <v>7258</v>
      </c>
      <c r="G225" s="810">
        <v>67501</v>
      </c>
      <c r="H225" s="810">
        <v>410</v>
      </c>
      <c r="I225" s="810">
        <v>18278.3</v>
      </c>
      <c r="J225" s="1047"/>
      <c r="K225" s="885"/>
    </row>
    <row r="226" spans="1:11" x14ac:dyDescent="0.3">
      <c r="A226" s="875"/>
      <c r="B226" s="881"/>
      <c r="C226" s="881"/>
      <c r="D226" s="881"/>
      <c r="E226" s="881"/>
      <c r="F226" s="810" t="s">
        <v>7258</v>
      </c>
      <c r="G226" s="810">
        <v>67501</v>
      </c>
      <c r="H226" s="810">
        <v>44</v>
      </c>
      <c r="I226" s="810">
        <v>2124.6</v>
      </c>
      <c r="J226" s="1047"/>
      <c r="K226" s="885"/>
    </row>
    <row r="227" spans="1:11" ht="15" thickBot="1" x14ac:dyDescent="0.35">
      <c r="A227" s="872"/>
      <c r="B227" s="874"/>
      <c r="C227" s="874"/>
      <c r="D227" s="874"/>
      <c r="E227" s="874"/>
      <c r="F227" s="812" t="s">
        <v>7258</v>
      </c>
      <c r="G227" s="812">
        <v>67501</v>
      </c>
      <c r="H227" s="812">
        <v>203</v>
      </c>
      <c r="I227" s="812">
        <v>9325.2999999999993</v>
      </c>
      <c r="J227" s="1046"/>
      <c r="K227" s="880"/>
    </row>
    <row r="228" spans="1:11" ht="15" thickBot="1" x14ac:dyDescent="0.35">
      <c r="A228" s="175">
        <v>184</v>
      </c>
      <c r="B228" s="8">
        <v>9160.75</v>
      </c>
      <c r="C228" s="8" t="s">
        <v>7259</v>
      </c>
      <c r="D228" s="8">
        <f t="shared" ref="D228:E230" si="163">+H228</f>
        <v>184</v>
      </c>
      <c r="E228" s="8">
        <f t="shared" si="163"/>
        <v>9225.5</v>
      </c>
      <c r="F228" s="8" t="s">
        <v>7260</v>
      </c>
      <c r="G228" s="8">
        <v>67581</v>
      </c>
      <c r="H228" s="8">
        <v>184</v>
      </c>
      <c r="I228" s="8">
        <v>9225.5</v>
      </c>
      <c r="J228" s="219">
        <f t="shared" ref="J228:J231" si="164">+A228-D228</f>
        <v>0</v>
      </c>
      <c r="K228" s="53">
        <f t="shared" ref="K228:K231" si="165">+((B228/A228)-(E228/D228))/(B228/A228)</f>
        <v>-7.0681985645280757E-3</v>
      </c>
    </row>
    <row r="229" spans="1:11" ht="15" thickBot="1" x14ac:dyDescent="0.35">
      <c r="A229" s="175">
        <v>243</v>
      </c>
      <c r="B229" s="8">
        <v>10868</v>
      </c>
      <c r="C229" s="8" t="s">
        <v>7261</v>
      </c>
      <c r="D229" s="8">
        <v>242</v>
      </c>
      <c r="E229" s="8">
        <v>10870.7</v>
      </c>
      <c r="F229" s="8" t="s">
        <v>7262</v>
      </c>
      <c r="G229" s="8">
        <v>67591</v>
      </c>
      <c r="H229" s="8">
        <v>214</v>
      </c>
      <c r="I229" s="8">
        <v>9572.6</v>
      </c>
      <c r="J229" s="219">
        <f t="shared" si="164"/>
        <v>1</v>
      </c>
      <c r="K229" s="53">
        <f t="shared" si="165"/>
        <v>-4.3816937738208241E-3</v>
      </c>
    </row>
    <row r="230" spans="1:11" ht="15" thickBot="1" x14ac:dyDescent="0.35">
      <c r="A230" s="175">
        <v>424</v>
      </c>
      <c r="B230" s="8">
        <v>17630.25</v>
      </c>
      <c r="C230" s="8" t="s">
        <v>7263</v>
      </c>
      <c r="D230" s="8">
        <f t="shared" si="163"/>
        <v>424</v>
      </c>
      <c r="E230" s="8">
        <f t="shared" si="163"/>
        <v>17550.800000000003</v>
      </c>
      <c r="F230" s="8" t="s">
        <v>7264</v>
      </c>
      <c r="G230" s="8">
        <v>67651</v>
      </c>
      <c r="H230" s="8">
        <v>424</v>
      </c>
      <c r="I230" s="8">
        <v>17550.800000000003</v>
      </c>
      <c r="J230" s="219">
        <f t="shared" si="164"/>
        <v>0</v>
      </c>
      <c r="K230" s="53">
        <f t="shared" si="165"/>
        <v>4.5064590689297699E-3</v>
      </c>
    </row>
    <row r="231" spans="1:11" ht="15" thickBot="1" x14ac:dyDescent="0.35">
      <c r="A231" s="175">
        <v>394</v>
      </c>
      <c r="B231" s="8">
        <v>18059</v>
      </c>
      <c r="C231" s="8" t="s">
        <v>7265</v>
      </c>
      <c r="D231" s="8">
        <f t="shared" ref="D231:E233" si="166">+H231</f>
        <v>394</v>
      </c>
      <c r="E231" s="8">
        <f t="shared" si="166"/>
        <v>18000.8</v>
      </c>
      <c r="F231" s="8" t="s">
        <v>7266</v>
      </c>
      <c r="G231" s="8">
        <v>67671</v>
      </c>
      <c r="H231" s="8">
        <v>394</v>
      </c>
      <c r="I231" s="8">
        <v>18000.8</v>
      </c>
      <c r="J231" s="219">
        <f t="shared" si="164"/>
        <v>0</v>
      </c>
      <c r="K231" s="53">
        <f t="shared" si="165"/>
        <v>3.2227698100670129E-3</v>
      </c>
    </row>
    <row r="232" spans="1:11" ht="15" thickBot="1" x14ac:dyDescent="0.35">
      <c r="A232" s="175">
        <v>206</v>
      </c>
      <c r="B232" s="8">
        <v>10293.5</v>
      </c>
      <c r="C232" s="8" t="s">
        <v>7365</v>
      </c>
      <c r="D232" s="8">
        <f t="shared" si="166"/>
        <v>206</v>
      </c>
      <c r="E232" s="8">
        <f t="shared" si="166"/>
        <v>9893.9</v>
      </c>
      <c r="F232" s="8" t="s">
        <v>7366</v>
      </c>
      <c r="G232" s="8">
        <v>67691</v>
      </c>
      <c r="H232" s="8">
        <v>206</v>
      </c>
      <c r="I232" s="8">
        <v>9893.9</v>
      </c>
      <c r="J232" s="219">
        <f t="shared" ref="J232" si="167">+A232-D232</f>
        <v>0</v>
      </c>
      <c r="K232" s="53">
        <f t="shared" ref="K232" si="168">+((B232/A232)-(E232/D232))/(B232/A232)</f>
        <v>3.8820614951182851E-2</v>
      </c>
    </row>
    <row r="233" spans="1:11" ht="15" thickBot="1" x14ac:dyDescent="0.35">
      <c r="A233" s="175">
        <v>239</v>
      </c>
      <c r="B233" s="8">
        <v>10355.5</v>
      </c>
      <c r="C233" s="8" t="s">
        <v>7448</v>
      </c>
      <c r="D233" s="8">
        <f t="shared" si="166"/>
        <v>239</v>
      </c>
      <c r="E233" s="8">
        <f t="shared" si="166"/>
        <v>10252.5</v>
      </c>
      <c r="F233" s="8" t="s">
        <v>7449</v>
      </c>
      <c r="G233" s="9">
        <v>67731</v>
      </c>
      <c r="H233" s="861">
        <v>239</v>
      </c>
      <c r="I233" s="861">
        <v>10252.5</v>
      </c>
      <c r="J233" s="219">
        <f t="shared" ref="J233" si="169">+A233-D233</f>
        <v>0</v>
      </c>
      <c r="K233" s="53">
        <f t="shared" ref="K233" si="170">+((B233/A233)-(E233/D233))/(B233/A233)</f>
        <v>9.9464052918738603E-3</v>
      </c>
    </row>
    <row r="234" spans="1:11" x14ac:dyDescent="0.3">
      <c r="A234" s="155">
        <f>SUM(A5:A233)</f>
        <v>79248</v>
      </c>
      <c r="B234" s="155">
        <f>SUM(B5:B233)</f>
        <v>3367336.2840000005</v>
      </c>
      <c r="C234" s="155"/>
      <c r="D234" s="155">
        <f>SUM(D5:D233)</f>
        <v>79123</v>
      </c>
      <c r="E234" s="155">
        <f>SUM(E5:E233)</f>
        <v>3259924.9499999993</v>
      </c>
    </row>
  </sheetData>
  <mergeCells count="355">
    <mergeCell ref="J212:J213"/>
    <mergeCell ref="K212:K213"/>
    <mergeCell ref="J215:J216"/>
    <mergeCell ref="K215:K216"/>
    <mergeCell ref="J204:J207"/>
    <mergeCell ref="K204:K207"/>
    <mergeCell ref="J208:J211"/>
    <mergeCell ref="K208:K211"/>
    <mergeCell ref="A212:A213"/>
    <mergeCell ref="B212:B213"/>
    <mergeCell ref="C212:C213"/>
    <mergeCell ref="D212:D213"/>
    <mergeCell ref="E212:E213"/>
    <mergeCell ref="A215:A216"/>
    <mergeCell ref="B215:B216"/>
    <mergeCell ref="C215:C216"/>
    <mergeCell ref="D215:D216"/>
    <mergeCell ref="E215:E216"/>
    <mergeCell ref="A204:A207"/>
    <mergeCell ref="B204:B207"/>
    <mergeCell ref="C204:C207"/>
    <mergeCell ref="D204:D207"/>
    <mergeCell ref="E204:E207"/>
    <mergeCell ref="A208:A211"/>
    <mergeCell ref="B208:B211"/>
    <mergeCell ref="C208:C211"/>
    <mergeCell ref="D208:D211"/>
    <mergeCell ref="E208:E211"/>
    <mergeCell ref="A201:A202"/>
    <mergeCell ref="B201:B202"/>
    <mergeCell ref="C201:C202"/>
    <mergeCell ref="D201:D202"/>
    <mergeCell ref="E201:E202"/>
    <mergeCell ref="J201:J202"/>
    <mergeCell ref="K201:K202"/>
    <mergeCell ref="A196:A197"/>
    <mergeCell ref="B196:B197"/>
    <mergeCell ref="C196:C197"/>
    <mergeCell ref="D196:D197"/>
    <mergeCell ref="E196:E197"/>
    <mergeCell ref="A199:A200"/>
    <mergeCell ref="B199:B200"/>
    <mergeCell ref="C199:C200"/>
    <mergeCell ref="D199:D200"/>
    <mergeCell ref="E199:E200"/>
    <mergeCell ref="J196:J197"/>
    <mergeCell ref="K196:K197"/>
    <mergeCell ref="J199:J200"/>
    <mergeCell ref="K199:K200"/>
    <mergeCell ref="J191:J193"/>
    <mergeCell ref="K191:K193"/>
    <mergeCell ref="A191:A193"/>
    <mergeCell ref="B191:B193"/>
    <mergeCell ref="C191:C193"/>
    <mergeCell ref="D191:D193"/>
    <mergeCell ref="E191:E193"/>
    <mergeCell ref="A194:A195"/>
    <mergeCell ref="B194:B195"/>
    <mergeCell ref="C194:C195"/>
    <mergeCell ref="D194:D195"/>
    <mergeCell ref="E194:E195"/>
    <mergeCell ref="J194:J195"/>
    <mergeCell ref="K194:K195"/>
    <mergeCell ref="J136:J137"/>
    <mergeCell ref="K136:K137"/>
    <mergeCell ref="A150:A151"/>
    <mergeCell ref="B150:B151"/>
    <mergeCell ref="C150:C151"/>
    <mergeCell ref="D150:D151"/>
    <mergeCell ref="E150:E151"/>
    <mergeCell ref="J150:J151"/>
    <mergeCell ref="K150:K151"/>
    <mergeCell ref="J145:J146"/>
    <mergeCell ref="K145:K146"/>
    <mergeCell ref="J148:J149"/>
    <mergeCell ref="A136:A137"/>
    <mergeCell ref="B136:B137"/>
    <mergeCell ref="C136:C137"/>
    <mergeCell ref="D136:D137"/>
    <mergeCell ref="E136:E137"/>
    <mergeCell ref="J77:J78"/>
    <mergeCell ref="K77:K78"/>
    <mergeCell ref="J83:J84"/>
    <mergeCell ref="K83:K84"/>
    <mergeCell ref="J87:J88"/>
    <mergeCell ref="K87:K88"/>
    <mergeCell ref="J89:J90"/>
    <mergeCell ref="K89:K90"/>
    <mergeCell ref="A87:A88"/>
    <mergeCell ref="B87:B88"/>
    <mergeCell ref="C87:C88"/>
    <mergeCell ref="D87:D88"/>
    <mergeCell ref="E87:E88"/>
    <mergeCell ref="A89:A90"/>
    <mergeCell ref="B89:B90"/>
    <mergeCell ref="C89:C90"/>
    <mergeCell ref="D89:D90"/>
    <mergeCell ref="E89:E90"/>
    <mergeCell ref="A77:A78"/>
    <mergeCell ref="B77:B78"/>
    <mergeCell ref="C77:C78"/>
    <mergeCell ref="D77:D78"/>
    <mergeCell ref="E77:E78"/>
    <mergeCell ref="A83:A84"/>
    <mergeCell ref="B83:B84"/>
    <mergeCell ref="C83:C84"/>
    <mergeCell ref="D83:D84"/>
    <mergeCell ref="E83:E84"/>
    <mergeCell ref="A72:A73"/>
    <mergeCell ref="B72:B73"/>
    <mergeCell ref="C72:C73"/>
    <mergeCell ref="D72:D73"/>
    <mergeCell ref="E72:E73"/>
    <mergeCell ref="D60:D61"/>
    <mergeCell ref="J66:J67"/>
    <mergeCell ref="K66:K67"/>
    <mergeCell ref="J72:J73"/>
    <mergeCell ref="K72:K73"/>
    <mergeCell ref="E60:E61"/>
    <mergeCell ref="A60:A61"/>
    <mergeCell ref="B60:B61"/>
    <mergeCell ref="C60:C61"/>
    <mergeCell ref="A66:A67"/>
    <mergeCell ref="B66:B67"/>
    <mergeCell ref="C66:C67"/>
    <mergeCell ref="D66:D67"/>
    <mergeCell ref="E66:E67"/>
    <mergeCell ref="A63:A64"/>
    <mergeCell ref="B63:B64"/>
    <mergeCell ref="C63:C64"/>
    <mergeCell ref="D63:D64"/>
    <mergeCell ref="E63:E64"/>
    <mergeCell ref="J49:J50"/>
    <mergeCell ref="K49:K50"/>
    <mergeCell ref="J52:J53"/>
    <mergeCell ref="K52:K53"/>
    <mergeCell ref="J54:J55"/>
    <mergeCell ref="K54:K55"/>
    <mergeCell ref="J60:J61"/>
    <mergeCell ref="K60:K61"/>
    <mergeCell ref="J63:J64"/>
    <mergeCell ref="K63:K64"/>
    <mergeCell ref="A52:A53"/>
    <mergeCell ref="B52:B53"/>
    <mergeCell ref="C52:C53"/>
    <mergeCell ref="D52:D53"/>
    <mergeCell ref="E52:E53"/>
    <mergeCell ref="A54:A55"/>
    <mergeCell ref="B54:B55"/>
    <mergeCell ref="C54:C55"/>
    <mergeCell ref="D54:D55"/>
    <mergeCell ref="E54:E55"/>
    <mergeCell ref="B38:B39"/>
    <mergeCell ref="C38:C39"/>
    <mergeCell ref="D38:D39"/>
    <mergeCell ref="E38:E39"/>
    <mergeCell ref="A49:A50"/>
    <mergeCell ref="B49:B50"/>
    <mergeCell ref="C49:C50"/>
    <mergeCell ref="D49:D50"/>
    <mergeCell ref="E49:E50"/>
    <mergeCell ref="J23:J26"/>
    <mergeCell ref="K23:K26"/>
    <mergeCell ref="A23:A26"/>
    <mergeCell ref="B23:B26"/>
    <mergeCell ref="C23:C26"/>
    <mergeCell ref="D23:D26"/>
    <mergeCell ref="E23:E26"/>
    <mergeCell ref="J31:J32"/>
    <mergeCell ref="K31:K32"/>
    <mergeCell ref="A31:A32"/>
    <mergeCell ref="B31:B32"/>
    <mergeCell ref="C31:C32"/>
    <mergeCell ref="D31:D32"/>
    <mergeCell ref="E31:E32"/>
    <mergeCell ref="J3:J4"/>
    <mergeCell ref="K3:K4"/>
    <mergeCell ref="J8:J9"/>
    <mergeCell ref="K8:K9"/>
    <mergeCell ref="A8:A9"/>
    <mergeCell ref="B8:B9"/>
    <mergeCell ref="C8:C9"/>
    <mergeCell ref="D8:D9"/>
    <mergeCell ref="E8:E9"/>
    <mergeCell ref="A3:C3"/>
    <mergeCell ref="D3:E3"/>
    <mergeCell ref="G3:G4"/>
    <mergeCell ref="J15:J18"/>
    <mergeCell ref="K15:K18"/>
    <mergeCell ref="J19:J21"/>
    <mergeCell ref="K19:K21"/>
    <mergeCell ref="A19:A21"/>
    <mergeCell ref="B19:B21"/>
    <mergeCell ref="C19:C21"/>
    <mergeCell ref="D19:D21"/>
    <mergeCell ref="E19:E21"/>
    <mergeCell ref="A15:A18"/>
    <mergeCell ref="B15:B18"/>
    <mergeCell ref="C15:C18"/>
    <mergeCell ref="D15:D18"/>
    <mergeCell ref="E15:E18"/>
    <mergeCell ref="J44:J46"/>
    <mergeCell ref="K44:K46"/>
    <mergeCell ref="A44:A46"/>
    <mergeCell ref="B44:B46"/>
    <mergeCell ref="C44:C46"/>
    <mergeCell ref="D44:D46"/>
    <mergeCell ref="E44:E46"/>
    <mergeCell ref="J33:J34"/>
    <mergeCell ref="K33:K34"/>
    <mergeCell ref="J35:J36"/>
    <mergeCell ref="K35:K36"/>
    <mergeCell ref="A35:A36"/>
    <mergeCell ref="B35:B36"/>
    <mergeCell ref="C35:C36"/>
    <mergeCell ref="D35:D36"/>
    <mergeCell ref="E35:E36"/>
    <mergeCell ref="A33:A34"/>
    <mergeCell ref="B33:B34"/>
    <mergeCell ref="C33:C34"/>
    <mergeCell ref="D33:D34"/>
    <mergeCell ref="E33:E34"/>
    <mergeCell ref="J38:J39"/>
    <mergeCell ref="K38:K39"/>
    <mergeCell ref="A38:A39"/>
    <mergeCell ref="E104:E105"/>
    <mergeCell ref="B91:B92"/>
    <mergeCell ref="C91:C92"/>
    <mergeCell ref="D91:D92"/>
    <mergeCell ref="E91:E92"/>
    <mergeCell ref="A94:A95"/>
    <mergeCell ref="B94:B95"/>
    <mergeCell ref="C94:C95"/>
    <mergeCell ref="D94:D95"/>
    <mergeCell ref="E94:E95"/>
    <mergeCell ref="A91:A92"/>
    <mergeCell ref="A106:A108"/>
    <mergeCell ref="B106:B108"/>
    <mergeCell ref="C106:C108"/>
    <mergeCell ref="D106:D108"/>
    <mergeCell ref="E106:E108"/>
    <mergeCell ref="J91:J92"/>
    <mergeCell ref="K91:K92"/>
    <mergeCell ref="J94:J95"/>
    <mergeCell ref="K94:K95"/>
    <mergeCell ref="J104:J105"/>
    <mergeCell ref="K104:K105"/>
    <mergeCell ref="J106:J108"/>
    <mergeCell ref="K106:K108"/>
    <mergeCell ref="J96:J99"/>
    <mergeCell ref="K96:K99"/>
    <mergeCell ref="A96:A99"/>
    <mergeCell ref="B96:B99"/>
    <mergeCell ref="C96:C99"/>
    <mergeCell ref="D96:D99"/>
    <mergeCell ref="E96:E99"/>
    <mergeCell ref="A104:A105"/>
    <mergeCell ref="B104:B105"/>
    <mergeCell ref="C104:C105"/>
    <mergeCell ref="D104:D105"/>
    <mergeCell ref="A130:A131"/>
    <mergeCell ref="B130:B131"/>
    <mergeCell ref="C130:C131"/>
    <mergeCell ref="D130:D131"/>
    <mergeCell ref="E130:E131"/>
    <mergeCell ref="J130:J131"/>
    <mergeCell ref="K130:K131"/>
    <mergeCell ref="A117:A118"/>
    <mergeCell ref="B117:B118"/>
    <mergeCell ref="C117:C118"/>
    <mergeCell ref="D117:D118"/>
    <mergeCell ref="E117:E118"/>
    <mergeCell ref="J117:J118"/>
    <mergeCell ref="K117:K118"/>
    <mergeCell ref="A127:A128"/>
    <mergeCell ref="B127:B128"/>
    <mergeCell ref="C127:C128"/>
    <mergeCell ref="D127:D128"/>
    <mergeCell ref="E127:E128"/>
    <mergeCell ref="J127:J128"/>
    <mergeCell ref="K127:K128"/>
    <mergeCell ref="J156:J157"/>
    <mergeCell ref="K156:K157"/>
    <mergeCell ref="K148:K149"/>
    <mergeCell ref="A145:A146"/>
    <mergeCell ref="B145:B146"/>
    <mergeCell ref="C145:C146"/>
    <mergeCell ref="D145:D146"/>
    <mergeCell ref="E145:E146"/>
    <mergeCell ref="A148:A149"/>
    <mergeCell ref="B148:B149"/>
    <mergeCell ref="C148:C149"/>
    <mergeCell ref="D148:D149"/>
    <mergeCell ref="E148:E149"/>
    <mergeCell ref="A156:A157"/>
    <mergeCell ref="B156:B157"/>
    <mergeCell ref="C156:C157"/>
    <mergeCell ref="D156:D157"/>
    <mergeCell ref="E156:E157"/>
    <mergeCell ref="J162:J163"/>
    <mergeCell ref="K162:K163"/>
    <mergeCell ref="A173:A175"/>
    <mergeCell ref="B173:B175"/>
    <mergeCell ref="C173:C175"/>
    <mergeCell ref="D173:D175"/>
    <mergeCell ref="E173:E175"/>
    <mergeCell ref="J173:J175"/>
    <mergeCell ref="K173:K175"/>
    <mergeCell ref="A162:A163"/>
    <mergeCell ref="B162:B163"/>
    <mergeCell ref="C162:C163"/>
    <mergeCell ref="D162:D163"/>
    <mergeCell ref="E162:E163"/>
    <mergeCell ref="A177:A178"/>
    <mergeCell ref="B177:B178"/>
    <mergeCell ref="C177:C178"/>
    <mergeCell ref="D177:D178"/>
    <mergeCell ref="E177:E178"/>
    <mergeCell ref="J177:J178"/>
    <mergeCell ref="K177:K178"/>
    <mergeCell ref="A187:A188"/>
    <mergeCell ref="B187:B188"/>
    <mergeCell ref="C187:C188"/>
    <mergeCell ref="D187:D188"/>
    <mergeCell ref="E187:E188"/>
    <mergeCell ref="A189:A190"/>
    <mergeCell ref="J179:J181"/>
    <mergeCell ref="K179:K181"/>
    <mergeCell ref="B189:B190"/>
    <mergeCell ref="C189:C190"/>
    <mergeCell ref="D189:D190"/>
    <mergeCell ref="E189:E190"/>
    <mergeCell ref="A179:A181"/>
    <mergeCell ref="B179:B181"/>
    <mergeCell ref="C179:C181"/>
    <mergeCell ref="D179:D181"/>
    <mergeCell ref="E179:E181"/>
    <mergeCell ref="J187:J188"/>
    <mergeCell ref="K187:K188"/>
    <mergeCell ref="J189:J190"/>
    <mergeCell ref="K189:K190"/>
    <mergeCell ref="A224:A227"/>
    <mergeCell ref="B224:B227"/>
    <mergeCell ref="C224:C227"/>
    <mergeCell ref="D224:D227"/>
    <mergeCell ref="E224:E227"/>
    <mergeCell ref="J224:J227"/>
    <mergeCell ref="K224:K227"/>
    <mergeCell ref="A219:A220"/>
    <mergeCell ref="B219:B220"/>
    <mergeCell ref="C219:C220"/>
    <mergeCell ref="D219:D220"/>
    <mergeCell ref="E219:E220"/>
    <mergeCell ref="J219:J220"/>
    <mergeCell ref="K219:K220"/>
  </mergeCells>
  <phoneticPr fontId="15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K78"/>
  <sheetViews>
    <sheetView topLeftCell="A46" zoomScale="80" zoomScaleNormal="80" workbookViewId="0">
      <selection activeCell="A78" sqref="A78:E78"/>
    </sheetView>
  </sheetViews>
  <sheetFormatPr baseColWidth="10" defaultColWidth="8.88671875" defaultRowHeight="14.4" x14ac:dyDescent="0.3"/>
  <cols>
    <col min="2" max="2" width="13.88671875" bestFit="1" customWidth="1"/>
    <col min="3" max="3" width="10" customWidth="1"/>
    <col min="4" max="4" width="10.109375" customWidth="1"/>
    <col min="5" max="5" width="13.88671875" bestFit="1" customWidth="1"/>
    <col min="8" max="9" width="0" hidden="1" customWidth="1"/>
    <col min="11" max="11" width="12" bestFit="1" customWidth="1"/>
  </cols>
  <sheetData>
    <row r="1" spans="1:11" ht="33.6" x14ac:dyDescent="0.65">
      <c r="A1" s="104" t="s">
        <v>1184</v>
      </c>
      <c r="D1" s="95"/>
      <c r="E1" s="95"/>
      <c r="F1" s="95"/>
      <c r="G1" s="95"/>
      <c r="H1" s="95"/>
      <c r="I1" s="95"/>
    </row>
    <row r="2" spans="1:11" ht="15" thickBot="1" x14ac:dyDescent="0.35">
      <c r="D2" s="50"/>
      <c r="E2" s="50"/>
      <c r="F2" s="50"/>
      <c r="G2" s="50"/>
    </row>
    <row r="3" spans="1:11" x14ac:dyDescent="0.3">
      <c r="A3" s="1021" t="s">
        <v>1</v>
      </c>
      <c r="B3" s="1022"/>
      <c r="C3" s="1023"/>
      <c r="D3" s="1021" t="s">
        <v>2</v>
      </c>
      <c r="E3" s="1023"/>
      <c r="F3" s="4"/>
      <c r="G3" s="1024" t="s">
        <v>3</v>
      </c>
      <c r="H3" s="5"/>
      <c r="I3" s="5"/>
      <c r="J3" s="915" t="s">
        <v>91</v>
      </c>
      <c r="K3" s="984" t="s">
        <v>92</v>
      </c>
    </row>
    <row r="4" spans="1:11" ht="15" thickBot="1" x14ac:dyDescent="0.35">
      <c r="A4" s="220" t="s">
        <v>5</v>
      </c>
      <c r="B4" s="221" t="s">
        <v>6</v>
      </c>
      <c r="C4" s="222" t="s">
        <v>4</v>
      </c>
      <c r="D4" s="221" t="s">
        <v>7</v>
      </c>
      <c r="E4" s="222" t="s">
        <v>6</v>
      </c>
      <c r="F4" s="17" t="s">
        <v>8</v>
      </c>
      <c r="G4" s="1097"/>
      <c r="H4" s="17" t="s">
        <v>5</v>
      </c>
      <c r="I4" s="17" t="s">
        <v>10</v>
      </c>
      <c r="J4" s="916"/>
      <c r="K4" s="985"/>
    </row>
    <row r="5" spans="1:11" ht="15" thickBot="1" x14ac:dyDescent="0.35">
      <c r="A5" s="180">
        <v>160</v>
      </c>
      <c r="B5" s="191">
        <v>6940</v>
      </c>
      <c r="C5" s="191" t="s">
        <v>1176</v>
      </c>
      <c r="D5" s="12">
        <f>+H5</f>
        <v>160</v>
      </c>
      <c r="E5" s="12">
        <f>+I5</f>
        <v>6493.6</v>
      </c>
      <c r="F5" s="12" t="s">
        <v>1177</v>
      </c>
      <c r="G5" s="12">
        <v>32691</v>
      </c>
      <c r="H5" s="12">
        <v>160</v>
      </c>
      <c r="I5" s="12">
        <v>6493.6</v>
      </c>
      <c r="J5" s="219">
        <f>+A5-D5</f>
        <v>0</v>
      </c>
      <c r="K5" s="33">
        <f>(+B5-E5)/B5</f>
        <v>6.4322766570605136E-2</v>
      </c>
    </row>
    <row r="6" spans="1:11" x14ac:dyDescent="0.3">
      <c r="A6" s="882">
        <v>499</v>
      </c>
      <c r="B6" s="982">
        <v>22677.25</v>
      </c>
      <c r="C6" s="982" t="s">
        <v>1178</v>
      </c>
      <c r="D6" s="873">
        <f>+H6+H7</f>
        <v>496</v>
      </c>
      <c r="E6" s="873">
        <f>+I6+I7</f>
        <v>21234.1</v>
      </c>
      <c r="F6" s="12" t="s">
        <v>1179</v>
      </c>
      <c r="G6" s="12">
        <v>60131</v>
      </c>
      <c r="H6" s="12">
        <v>365</v>
      </c>
      <c r="I6" s="12">
        <v>15693.2</v>
      </c>
      <c r="J6" s="1045">
        <f>+A6-D6</f>
        <v>3</v>
      </c>
      <c r="K6" s="879">
        <f>+((B6/A6)-(E6/D6))/(B6/A6)</f>
        <v>5.7975192915736704E-2</v>
      </c>
    </row>
    <row r="7" spans="1:11" ht="15" thickBot="1" x14ac:dyDescent="0.35">
      <c r="A7" s="884"/>
      <c r="B7" s="983"/>
      <c r="C7" s="983"/>
      <c r="D7" s="874"/>
      <c r="E7" s="874"/>
      <c r="F7" s="10" t="s">
        <v>1179</v>
      </c>
      <c r="G7" s="10">
        <v>60131</v>
      </c>
      <c r="H7" s="10">
        <v>131</v>
      </c>
      <c r="I7" s="10">
        <v>5540.9</v>
      </c>
      <c r="J7" s="1046"/>
      <c r="K7" s="880"/>
    </row>
    <row r="8" spans="1:11" ht="15" thickBot="1" x14ac:dyDescent="0.35">
      <c r="A8" s="190">
        <v>297</v>
      </c>
      <c r="B8" s="161">
        <v>13505.75</v>
      </c>
      <c r="C8" s="161" t="s">
        <v>1180</v>
      </c>
      <c r="D8" s="8">
        <f>+H8</f>
        <v>297</v>
      </c>
      <c r="E8" s="8">
        <f>+I8</f>
        <v>12896.5</v>
      </c>
      <c r="F8" s="8" t="s">
        <v>1181</v>
      </c>
      <c r="G8" s="8">
        <v>60211</v>
      </c>
      <c r="H8" s="8">
        <v>297</v>
      </c>
      <c r="I8" s="8">
        <v>12896.5</v>
      </c>
      <c r="J8" s="219">
        <f t="shared" ref="J8:J37" si="0">+A8-D8</f>
        <v>0</v>
      </c>
      <c r="K8" s="33">
        <f>(+B8-E8)/B8</f>
        <v>4.5110415933954054E-2</v>
      </c>
    </row>
    <row r="9" spans="1:11" ht="15" thickBot="1" x14ac:dyDescent="0.35">
      <c r="A9" s="190">
        <v>447</v>
      </c>
      <c r="B9" s="161">
        <v>20521.72</v>
      </c>
      <c r="C9" s="161" t="s">
        <v>1182</v>
      </c>
      <c r="D9" s="8">
        <v>447</v>
      </c>
      <c r="E9" s="8">
        <v>19673.8</v>
      </c>
      <c r="F9" s="8" t="s">
        <v>1183</v>
      </c>
      <c r="G9" s="8">
        <v>60231</v>
      </c>
      <c r="H9" s="8">
        <v>440</v>
      </c>
      <c r="I9" s="8">
        <v>19428.8</v>
      </c>
      <c r="J9" s="219">
        <f t="shared" si="0"/>
        <v>0</v>
      </c>
      <c r="K9" s="138">
        <f>+((B9/A9)-(E9/D9))/(B9/A9)</f>
        <v>4.1318174110162469E-2</v>
      </c>
    </row>
    <row r="10" spans="1:11" x14ac:dyDescent="0.3">
      <c r="A10" s="982">
        <v>640</v>
      </c>
      <c r="B10" s="982">
        <v>28898.75</v>
      </c>
      <c r="C10" s="982" t="s">
        <v>1271</v>
      </c>
      <c r="D10" s="873">
        <f>+H10+H11</f>
        <v>639</v>
      </c>
      <c r="E10" s="897">
        <f>+I10+I11</f>
        <v>27156.899999999998</v>
      </c>
      <c r="F10" s="12" t="s">
        <v>1272</v>
      </c>
      <c r="G10" s="12">
        <v>60271</v>
      </c>
      <c r="H10" s="12">
        <v>627</v>
      </c>
      <c r="I10" s="12">
        <v>26679.1</v>
      </c>
      <c r="J10" s="1045">
        <f t="shared" si="0"/>
        <v>1</v>
      </c>
      <c r="K10" s="879">
        <f>+((B10/A10)-(E10/D10))/(B10/A10)</f>
        <v>5.8803613961404426E-2</v>
      </c>
    </row>
    <row r="11" spans="1:11" ht="15" thickBot="1" x14ac:dyDescent="0.35">
      <c r="A11" s="983"/>
      <c r="B11" s="983"/>
      <c r="C11" s="983"/>
      <c r="D11" s="874"/>
      <c r="E11" s="890"/>
      <c r="F11" s="10" t="s">
        <v>1272</v>
      </c>
      <c r="G11" s="10">
        <v>60271</v>
      </c>
      <c r="H11" s="10">
        <v>12</v>
      </c>
      <c r="I11" s="10">
        <v>477.8</v>
      </c>
      <c r="J11" s="1046"/>
      <c r="K11" s="880"/>
    </row>
    <row r="12" spans="1:11" ht="15" thickBot="1" x14ac:dyDescent="0.35">
      <c r="A12" s="199">
        <f>+D12</f>
        <v>20</v>
      </c>
      <c r="B12" s="10">
        <f>+E12*1.04</f>
        <v>789.77599999999995</v>
      </c>
      <c r="C12" s="10" t="s">
        <v>1273</v>
      </c>
      <c r="D12" s="10">
        <f>+H12</f>
        <v>20</v>
      </c>
      <c r="E12" s="227">
        <f>+I12</f>
        <v>759.4</v>
      </c>
      <c r="F12" s="10" t="s">
        <v>1274</v>
      </c>
      <c r="G12" s="10">
        <v>10931</v>
      </c>
      <c r="H12" s="10">
        <v>20</v>
      </c>
      <c r="I12" s="10">
        <v>759.4</v>
      </c>
      <c r="J12" s="219">
        <f t="shared" si="0"/>
        <v>0</v>
      </c>
      <c r="K12" s="33">
        <f>(+B12-E12)/B12</f>
        <v>3.8461538461538436E-2</v>
      </c>
    </row>
    <row r="13" spans="1:11" ht="15" thickBot="1" x14ac:dyDescent="0.35">
      <c r="A13" s="175">
        <v>1216</v>
      </c>
      <c r="B13" s="8">
        <v>53587.5</v>
      </c>
      <c r="C13" s="8" t="s">
        <v>1275</v>
      </c>
      <c r="D13" s="8">
        <v>1216</v>
      </c>
      <c r="E13" s="198">
        <v>51900.2</v>
      </c>
      <c r="F13" s="8" t="s">
        <v>1276</v>
      </c>
      <c r="G13" s="9">
        <v>60371</v>
      </c>
      <c r="H13" s="15">
        <v>965</v>
      </c>
      <c r="I13" s="15">
        <v>41141.300000000003</v>
      </c>
      <c r="J13" s="219">
        <f t="shared" si="0"/>
        <v>0</v>
      </c>
      <c r="K13" s="33">
        <f>(+B13-E13)/B13</f>
        <v>3.1486820620480575E-2</v>
      </c>
    </row>
    <row r="14" spans="1:11" x14ac:dyDescent="0.3">
      <c r="A14" s="873">
        <v>526</v>
      </c>
      <c r="B14" s="873">
        <v>24652.75</v>
      </c>
      <c r="C14" s="873" t="s">
        <v>1559</v>
      </c>
      <c r="D14" s="873">
        <f>+H14+H15</f>
        <v>524</v>
      </c>
      <c r="E14" s="873">
        <f>+I14+I15</f>
        <v>23527.9</v>
      </c>
      <c r="F14" s="12" t="s">
        <v>1560</v>
      </c>
      <c r="G14" s="12">
        <v>60511</v>
      </c>
      <c r="H14" s="12">
        <v>414</v>
      </c>
      <c r="I14" s="12">
        <v>18724.5</v>
      </c>
      <c r="J14" s="1045">
        <f t="shared" si="0"/>
        <v>2</v>
      </c>
      <c r="K14" s="879">
        <f>+((B14/A14)-(E14/D14))/(B14/A14)</f>
        <v>4.1985127621130762E-2</v>
      </c>
    </row>
    <row r="15" spans="1:11" ht="15" thickBot="1" x14ac:dyDescent="0.35">
      <c r="A15" s="881"/>
      <c r="B15" s="881"/>
      <c r="C15" s="881"/>
      <c r="D15" s="881"/>
      <c r="E15" s="881"/>
      <c r="F15" s="15" t="s">
        <v>1560</v>
      </c>
      <c r="G15" s="15">
        <v>60511</v>
      </c>
      <c r="H15" s="15">
        <v>110</v>
      </c>
      <c r="I15" s="15">
        <v>4803.3999999999996</v>
      </c>
      <c r="J15" s="1046"/>
      <c r="K15" s="880"/>
    </row>
    <row r="16" spans="1:11" x14ac:dyDescent="0.3">
      <c r="A16" s="871">
        <v>578</v>
      </c>
      <c r="B16" s="873">
        <v>26579.5</v>
      </c>
      <c r="C16" s="873" t="s">
        <v>1561</v>
      </c>
      <c r="D16" s="873">
        <f>+H16+H17</f>
        <v>577</v>
      </c>
      <c r="E16" s="873">
        <f>+I16+I17</f>
        <v>25543.000000000004</v>
      </c>
      <c r="F16" s="12" t="s">
        <v>1562</v>
      </c>
      <c r="G16" s="12">
        <v>60611</v>
      </c>
      <c r="H16" s="12">
        <v>510</v>
      </c>
      <c r="I16" s="12">
        <v>22594.300000000003</v>
      </c>
      <c r="J16" s="1045">
        <f t="shared" si="0"/>
        <v>1</v>
      </c>
      <c r="K16" s="879">
        <f>+((B16/A16)-(E16/D16))/(B16/A16)</f>
        <v>3.7330701072284145E-2</v>
      </c>
    </row>
    <row r="17" spans="1:11" ht="15" thickBot="1" x14ac:dyDescent="0.35">
      <c r="A17" s="872"/>
      <c r="B17" s="874"/>
      <c r="C17" s="874"/>
      <c r="D17" s="874"/>
      <c r="E17" s="874"/>
      <c r="F17" s="10" t="s">
        <v>1562</v>
      </c>
      <c r="G17" s="10">
        <v>60611</v>
      </c>
      <c r="H17" s="10">
        <v>67</v>
      </c>
      <c r="I17" s="10">
        <v>2948.7</v>
      </c>
      <c r="J17" s="1046"/>
      <c r="K17" s="880"/>
    </row>
    <row r="18" spans="1:11" ht="15" thickBot="1" x14ac:dyDescent="0.35">
      <c r="A18" s="181">
        <v>975</v>
      </c>
      <c r="B18" s="15">
        <v>44922.5</v>
      </c>
      <c r="C18" s="10" t="s">
        <v>1755</v>
      </c>
      <c r="D18" s="10">
        <v>961</v>
      </c>
      <c r="E18" s="10">
        <v>37079.1</v>
      </c>
      <c r="F18" s="10" t="s">
        <v>1756</v>
      </c>
      <c r="G18" s="10">
        <v>60851</v>
      </c>
      <c r="H18" s="10"/>
      <c r="I18" s="10"/>
      <c r="J18" s="219">
        <f t="shared" ref="J18" si="1">+A18-D18</f>
        <v>14</v>
      </c>
      <c r="K18" s="53">
        <f>+((B18/A18)-(E18/D18))/(B18/A18)</f>
        <v>0.16257389518507673</v>
      </c>
    </row>
    <row r="19" spans="1:11" ht="15" thickBot="1" x14ac:dyDescent="0.35">
      <c r="A19" s="174">
        <f>1330-704</f>
        <v>626</v>
      </c>
      <c r="B19" s="12">
        <f>59190.5-31289.25</f>
        <v>27901.25</v>
      </c>
      <c r="C19" s="8" t="s">
        <v>1563</v>
      </c>
      <c r="D19" s="8">
        <f>+H19</f>
        <v>626</v>
      </c>
      <c r="E19" s="8">
        <f>+I19</f>
        <v>26568</v>
      </c>
      <c r="F19" s="8" t="s">
        <v>1564</v>
      </c>
      <c r="G19" s="8">
        <v>60911</v>
      </c>
      <c r="H19" s="8">
        <v>626</v>
      </c>
      <c r="I19" s="8">
        <v>26568</v>
      </c>
      <c r="J19" s="219">
        <f t="shared" si="0"/>
        <v>0</v>
      </c>
      <c r="K19" s="33">
        <f>(+B19-E19)/B19</f>
        <v>4.7784597464271314E-2</v>
      </c>
    </row>
    <row r="20" spans="1:11" ht="15" thickBot="1" x14ac:dyDescent="0.35">
      <c r="A20" s="174">
        <v>810</v>
      </c>
      <c r="B20" s="12">
        <v>36641.5</v>
      </c>
      <c r="C20" s="12" t="s">
        <v>1745</v>
      </c>
      <c r="D20" s="12">
        <v>809</v>
      </c>
      <c r="E20" s="12">
        <v>34512</v>
      </c>
      <c r="F20" s="12" t="s">
        <v>1746</v>
      </c>
      <c r="G20" s="12">
        <v>61081</v>
      </c>
      <c r="H20" s="12">
        <v>781</v>
      </c>
      <c r="I20" s="12">
        <v>33313.1</v>
      </c>
      <c r="J20" s="219">
        <f t="shared" si="0"/>
        <v>1</v>
      </c>
      <c r="K20" s="53">
        <f>+((B20/A20)-(E20/D20))/(B20/A20)</f>
        <v>5.695290656316928E-2</v>
      </c>
    </row>
    <row r="21" spans="1:11" ht="15" thickBot="1" x14ac:dyDescent="0.35">
      <c r="A21" s="175">
        <v>468</v>
      </c>
      <c r="B21" s="8">
        <v>24106</v>
      </c>
      <c r="C21" s="8" t="s">
        <v>1747</v>
      </c>
      <c r="D21" s="8">
        <f t="shared" ref="D21:E23" si="2">+H21</f>
        <v>468</v>
      </c>
      <c r="E21" s="8">
        <f t="shared" si="2"/>
        <v>22660.7</v>
      </c>
      <c r="F21" s="8" t="s">
        <v>1748</v>
      </c>
      <c r="G21" s="8">
        <v>61091</v>
      </c>
      <c r="H21" s="8">
        <v>468</v>
      </c>
      <c r="I21" s="8">
        <v>22660.7</v>
      </c>
      <c r="J21" s="219">
        <f t="shared" si="0"/>
        <v>0</v>
      </c>
      <c r="K21" s="33">
        <f t="shared" ref="K21:K24" si="3">(+B21-E21)/B21</f>
        <v>5.9956027545009512E-2</v>
      </c>
    </row>
    <row r="22" spans="1:11" ht="15" thickBot="1" x14ac:dyDescent="0.35">
      <c r="A22" s="175">
        <v>135</v>
      </c>
      <c r="B22" s="8">
        <v>6181.7</v>
      </c>
      <c r="C22" s="8" t="s">
        <v>1749</v>
      </c>
      <c r="D22" s="8">
        <f t="shared" si="2"/>
        <v>135</v>
      </c>
      <c r="E22" s="8">
        <f t="shared" si="2"/>
        <v>5820.9</v>
      </c>
      <c r="F22" s="8" t="s">
        <v>1750</v>
      </c>
      <c r="G22" s="8">
        <v>61101</v>
      </c>
      <c r="H22" s="8">
        <v>135</v>
      </c>
      <c r="I22" s="8">
        <v>5820.9</v>
      </c>
      <c r="J22" s="219">
        <f t="shared" si="0"/>
        <v>0</v>
      </c>
      <c r="K22" s="33">
        <f t="shared" si="3"/>
        <v>5.836582169953252E-2</v>
      </c>
    </row>
    <row r="23" spans="1:11" ht="15" thickBot="1" x14ac:dyDescent="0.35">
      <c r="A23" s="190">
        <f>+D23</f>
        <v>40</v>
      </c>
      <c r="B23" s="161">
        <f>+E23*1.04</f>
        <v>1773.6160000000002</v>
      </c>
      <c r="C23" s="161" t="s">
        <v>1751</v>
      </c>
      <c r="D23" s="8">
        <f t="shared" si="2"/>
        <v>40</v>
      </c>
      <c r="E23" s="8">
        <f t="shared" si="2"/>
        <v>1705.4</v>
      </c>
      <c r="F23" s="8" t="s">
        <v>1752</v>
      </c>
      <c r="G23" s="8">
        <v>10981</v>
      </c>
      <c r="H23" s="8">
        <v>40</v>
      </c>
      <c r="I23" s="8">
        <v>1705.4</v>
      </c>
      <c r="J23" s="219">
        <f t="shared" si="0"/>
        <v>0</v>
      </c>
      <c r="K23" s="33">
        <f t="shared" si="3"/>
        <v>3.8461538461538526E-2</v>
      </c>
    </row>
    <row r="24" spans="1:11" ht="15" thickBot="1" x14ac:dyDescent="0.35">
      <c r="A24" s="175">
        <v>175</v>
      </c>
      <c r="B24" s="8">
        <v>7281.1</v>
      </c>
      <c r="C24" s="8" t="s">
        <v>2126</v>
      </c>
      <c r="D24" s="8">
        <f>+H24</f>
        <v>175</v>
      </c>
      <c r="E24" s="8">
        <f>+I24</f>
        <v>7241.2</v>
      </c>
      <c r="F24" s="8" t="s">
        <v>2127</v>
      </c>
      <c r="G24" s="8">
        <v>61111</v>
      </c>
      <c r="H24" s="8">
        <v>175</v>
      </c>
      <c r="I24" s="8">
        <v>7241.2</v>
      </c>
      <c r="J24" s="219">
        <f t="shared" si="0"/>
        <v>0</v>
      </c>
      <c r="K24" s="33">
        <f t="shared" si="3"/>
        <v>5.4799412176732287E-3</v>
      </c>
    </row>
    <row r="25" spans="1:11" ht="15" thickBot="1" x14ac:dyDescent="0.35">
      <c r="A25" s="175">
        <v>259</v>
      </c>
      <c r="B25" s="8">
        <v>11161.75</v>
      </c>
      <c r="C25" s="8" t="s">
        <v>2128</v>
      </c>
      <c r="D25" s="8">
        <f>+H25</f>
        <v>258</v>
      </c>
      <c r="E25" s="8">
        <f>+I25</f>
        <v>10430.5</v>
      </c>
      <c r="F25" s="8" t="s">
        <v>2129</v>
      </c>
      <c r="G25" s="8">
        <v>61121</v>
      </c>
      <c r="H25" s="8">
        <v>258</v>
      </c>
      <c r="I25" s="8">
        <v>10430.5</v>
      </c>
      <c r="J25" s="219">
        <f t="shared" si="0"/>
        <v>1</v>
      </c>
      <c r="K25" s="53">
        <f>+((B25/A25)-(E25/D25))/(B25/A25)</f>
        <v>6.1891881239622512E-2</v>
      </c>
    </row>
    <row r="26" spans="1:11" x14ac:dyDescent="0.3">
      <c r="A26" s="871">
        <v>542</v>
      </c>
      <c r="B26" s="873">
        <v>25317.5</v>
      </c>
      <c r="C26" s="873" t="s">
        <v>1848</v>
      </c>
      <c r="D26" s="873">
        <f>+H26+H27</f>
        <v>534</v>
      </c>
      <c r="E26" s="873">
        <f>+I26+I27</f>
        <v>22694.3</v>
      </c>
      <c r="F26" s="12" t="s">
        <v>1849</v>
      </c>
      <c r="G26" s="12">
        <v>61201</v>
      </c>
      <c r="H26" s="12">
        <v>450</v>
      </c>
      <c r="I26" s="12">
        <v>19172.8</v>
      </c>
      <c r="J26" s="1045">
        <f t="shared" si="0"/>
        <v>8</v>
      </c>
      <c r="K26" s="879">
        <f>+((B26/A26)-(E26/D26))/(B26/A26)</f>
        <v>9.0183094179574874E-2</v>
      </c>
    </row>
    <row r="27" spans="1:11" ht="15" thickBot="1" x14ac:dyDescent="0.35">
      <c r="A27" s="872"/>
      <c r="B27" s="874"/>
      <c r="C27" s="874"/>
      <c r="D27" s="874"/>
      <c r="E27" s="874"/>
      <c r="F27" s="10" t="s">
        <v>1849</v>
      </c>
      <c r="G27" s="10">
        <v>61201</v>
      </c>
      <c r="H27" s="10">
        <v>84</v>
      </c>
      <c r="I27" s="10">
        <v>3521.5</v>
      </c>
      <c r="J27" s="1046"/>
      <c r="K27" s="880"/>
    </row>
    <row r="28" spans="1:11" ht="15" thickBot="1" x14ac:dyDescent="0.35">
      <c r="A28" s="175">
        <v>1007</v>
      </c>
      <c r="B28" s="8">
        <v>44535.75</v>
      </c>
      <c r="C28" s="8" t="s">
        <v>1850</v>
      </c>
      <c r="D28" s="8">
        <f>+H28+10</f>
        <v>1007</v>
      </c>
      <c r="E28" s="8">
        <f>+I28+375.6</f>
        <v>41741.5</v>
      </c>
      <c r="F28" s="8" t="s">
        <v>1851</v>
      </c>
      <c r="G28" s="8">
        <v>61211</v>
      </c>
      <c r="H28" s="8">
        <v>997</v>
      </c>
      <c r="I28" s="8">
        <v>41365.9</v>
      </c>
      <c r="J28" s="219">
        <f t="shared" si="0"/>
        <v>0</v>
      </c>
      <c r="K28" s="33">
        <f t="shared" ref="K28:K32" si="4">(+B28-E28)/B28</f>
        <v>6.2741729958516471E-2</v>
      </c>
    </row>
    <row r="29" spans="1:11" ht="15" thickBot="1" x14ac:dyDescent="0.35">
      <c r="A29" s="175">
        <v>112</v>
      </c>
      <c r="B29" s="8">
        <v>5283.75</v>
      </c>
      <c r="C29" s="8" t="s">
        <v>1943</v>
      </c>
      <c r="D29" s="8">
        <f>+H29</f>
        <v>112</v>
      </c>
      <c r="E29" s="8">
        <f>+I29</f>
        <v>4531.8999999999996</v>
      </c>
      <c r="F29" s="8" t="s">
        <v>1944</v>
      </c>
      <c r="G29" s="8">
        <v>61361</v>
      </c>
      <c r="H29" s="8">
        <v>112</v>
      </c>
      <c r="I29" s="8">
        <v>4531.8999999999996</v>
      </c>
      <c r="J29" s="219">
        <f t="shared" si="0"/>
        <v>0</v>
      </c>
      <c r="K29" s="33">
        <f t="shared" si="4"/>
        <v>0.14229477170570151</v>
      </c>
    </row>
    <row r="30" spans="1:11" ht="15" thickBot="1" x14ac:dyDescent="0.35">
      <c r="A30" s="175">
        <v>495</v>
      </c>
      <c r="B30" s="8">
        <v>22342.25</v>
      </c>
      <c r="C30" s="8" t="s">
        <v>2116</v>
      </c>
      <c r="D30" s="8">
        <f t="shared" ref="D30:E30" si="5">+H30</f>
        <v>495</v>
      </c>
      <c r="E30" s="8">
        <f t="shared" si="5"/>
        <v>21165.8</v>
      </c>
      <c r="F30" s="8" t="s">
        <v>2117</v>
      </c>
      <c r="G30" s="8">
        <v>61441</v>
      </c>
      <c r="H30" s="8">
        <v>495</v>
      </c>
      <c r="I30" s="8">
        <v>21165.8</v>
      </c>
      <c r="J30" s="219">
        <f t="shared" si="0"/>
        <v>0</v>
      </c>
      <c r="K30" s="33">
        <f t="shared" si="4"/>
        <v>5.2655842629994773E-2</v>
      </c>
    </row>
    <row r="31" spans="1:11" ht="15" thickBot="1" x14ac:dyDescent="0.35">
      <c r="A31" s="175">
        <v>263</v>
      </c>
      <c r="B31" s="8">
        <v>11254.8</v>
      </c>
      <c r="C31" s="8" t="s">
        <v>2118</v>
      </c>
      <c r="D31" s="8">
        <f>+H31+6</f>
        <v>263</v>
      </c>
      <c r="E31" s="8">
        <f>+I31+241.8</f>
        <v>10517.6</v>
      </c>
      <c r="F31" s="8" t="s">
        <v>2119</v>
      </c>
      <c r="G31" s="8">
        <v>61541</v>
      </c>
      <c r="H31" s="8">
        <v>257</v>
      </c>
      <c r="I31" s="8">
        <v>10275.800000000001</v>
      </c>
      <c r="J31" s="219">
        <f t="shared" si="0"/>
        <v>0</v>
      </c>
      <c r="K31" s="33">
        <f t="shared" si="4"/>
        <v>6.5500941820378772E-2</v>
      </c>
    </row>
    <row r="32" spans="1:11" ht="15" thickBot="1" x14ac:dyDescent="0.35">
      <c r="A32" s="175">
        <v>290</v>
      </c>
      <c r="B32" s="8">
        <v>13005.5</v>
      </c>
      <c r="C32" s="8" t="s">
        <v>2120</v>
      </c>
      <c r="D32" s="8">
        <f t="shared" ref="D32:E33" si="6">+H32</f>
        <v>290</v>
      </c>
      <c r="E32" s="8">
        <f t="shared" si="6"/>
        <v>12220.3</v>
      </c>
      <c r="F32" s="8" t="s">
        <v>2121</v>
      </c>
      <c r="G32" s="8">
        <v>61561</v>
      </c>
      <c r="H32" s="8">
        <v>290</v>
      </c>
      <c r="I32" s="8">
        <v>12220.3</v>
      </c>
      <c r="J32" s="219">
        <f t="shared" si="0"/>
        <v>0</v>
      </c>
      <c r="K32" s="33">
        <f t="shared" si="4"/>
        <v>6.0374456960516763E-2</v>
      </c>
    </row>
    <row r="33" spans="1:11" ht="15" thickBot="1" x14ac:dyDescent="0.35">
      <c r="A33" s="175">
        <v>797</v>
      </c>
      <c r="B33" s="8">
        <v>37529</v>
      </c>
      <c r="C33" s="8" t="s">
        <v>2122</v>
      </c>
      <c r="D33" s="8">
        <f t="shared" si="6"/>
        <v>801</v>
      </c>
      <c r="E33" s="8">
        <f t="shared" si="6"/>
        <v>35921.300000000003</v>
      </c>
      <c r="F33" s="8" t="s">
        <v>2123</v>
      </c>
      <c r="G33" s="8">
        <v>61571</v>
      </c>
      <c r="H33" s="8">
        <v>801</v>
      </c>
      <c r="I33" s="8">
        <v>35921.300000000003</v>
      </c>
      <c r="J33" s="219">
        <f t="shared" si="0"/>
        <v>-4</v>
      </c>
      <c r="K33" s="53">
        <f>+((B33/A33)-(E33/D33))/(B33/A33)</f>
        <v>4.7618702127949025E-2</v>
      </c>
    </row>
    <row r="34" spans="1:11" x14ac:dyDescent="0.3">
      <c r="A34" s="871">
        <v>1163</v>
      </c>
      <c r="B34" s="873">
        <v>48199.199999999997</v>
      </c>
      <c r="C34" s="873" t="s">
        <v>2124</v>
      </c>
      <c r="D34" s="873">
        <f>+H34+H35</f>
        <v>1163</v>
      </c>
      <c r="E34" s="873">
        <f>+I34+I35</f>
        <v>45187.8</v>
      </c>
      <c r="F34" s="12" t="s">
        <v>2125</v>
      </c>
      <c r="G34" s="12">
        <v>61671</v>
      </c>
      <c r="H34" s="12">
        <v>400</v>
      </c>
      <c r="I34" s="12">
        <v>15648.5</v>
      </c>
      <c r="J34" s="1045">
        <f t="shared" si="0"/>
        <v>0</v>
      </c>
      <c r="K34" s="879">
        <f>+(B34-E34)/B34</f>
        <v>6.2478215406064713E-2</v>
      </c>
    </row>
    <row r="35" spans="1:11" ht="15" thickBot="1" x14ac:dyDescent="0.35">
      <c r="A35" s="872"/>
      <c r="B35" s="874"/>
      <c r="C35" s="874"/>
      <c r="D35" s="874"/>
      <c r="E35" s="874"/>
      <c r="F35" s="10" t="s">
        <v>2125</v>
      </c>
      <c r="G35" s="10">
        <v>61671</v>
      </c>
      <c r="H35" s="10">
        <v>763</v>
      </c>
      <c r="I35" s="10">
        <v>29539.3</v>
      </c>
      <c r="J35" s="1046"/>
      <c r="K35" s="880"/>
    </row>
    <row r="36" spans="1:11" ht="15" thickBot="1" x14ac:dyDescent="0.35">
      <c r="A36" s="175">
        <v>500</v>
      </c>
      <c r="B36" s="8">
        <v>21239.8</v>
      </c>
      <c r="C36" s="8" t="s">
        <v>2260</v>
      </c>
      <c r="D36" s="8">
        <f t="shared" ref="D36:E37" si="7">+H36</f>
        <v>501</v>
      </c>
      <c r="E36" s="8">
        <f t="shared" si="7"/>
        <v>19673</v>
      </c>
      <c r="F36" s="8" t="s">
        <v>2261</v>
      </c>
      <c r="G36" s="8">
        <v>61711</v>
      </c>
      <c r="H36" s="8">
        <v>501</v>
      </c>
      <c r="I36" s="8">
        <v>19673</v>
      </c>
      <c r="J36" s="219">
        <f t="shared" si="0"/>
        <v>-1</v>
      </c>
      <c r="K36" s="53">
        <f>+((B36/A36)-(E36/D36))/(B36/A36)</f>
        <v>7.5615941066764253E-2</v>
      </c>
    </row>
    <row r="37" spans="1:11" ht="15" thickBot="1" x14ac:dyDescent="0.35">
      <c r="A37" s="175">
        <v>500</v>
      </c>
      <c r="B37" s="8">
        <v>21619.7</v>
      </c>
      <c r="C37" s="8" t="s">
        <v>2262</v>
      </c>
      <c r="D37" s="8">
        <f t="shared" si="7"/>
        <v>500</v>
      </c>
      <c r="E37" s="8">
        <f t="shared" si="7"/>
        <v>20198.7</v>
      </c>
      <c r="F37" s="8" t="s">
        <v>2263</v>
      </c>
      <c r="G37" s="8">
        <v>61751</v>
      </c>
      <c r="H37" s="8">
        <v>500</v>
      </c>
      <c r="I37" s="8">
        <v>20198.7</v>
      </c>
      <c r="J37" s="219">
        <f t="shared" si="0"/>
        <v>0</v>
      </c>
      <c r="K37" s="33">
        <f t="shared" ref="K37" si="8">(+B37-E37)/B37</f>
        <v>6.5727091495256643E-2</v>
      </c>
    </row>
    <row r="38" spans="1:11" x14ac:dyDescent="0.3">
      <c r="A38" s="871">
        <v>462</v>
      </c>
      <c r="B38" s="873">
        <v>20025.900000000001</v>
      </c>
      <c r="C38" s="873" t="s">
        <v>2456</v>
      </c>
      <c r="D38" s="873">
        <f>+H38+H39</f>
        <v>462</v>
      </c>
      <c r="E38" s="873">
        <f>+I38+I39</f>
        <v>18703.8</v>
      </c>
      <c r="F38" s="12" t="s">
        <v>2457</v>
      </c>
      <c r="G38" s="12">
        <v>61821</v>
      </c>
      <c r="H38" s="12">
        <v>212</v>
      </c>
      <c r="I38" s="12">
        <v>8392.7000000000007</v>
      </c>
      <c r="J38" s="1045">
        <f t="shared" ref="J38" si="9">+A38-D38</f>
        <v>0</v>
      </c>
      <c r="K38" s="879">
        <f>+(B38-E38)/B38</f>
        <v>6.6019504741360049E-2</v>
      </c>
    </row>
    <row r="39" spans="1:11" ht="15" thickBot="1" x14ac:dyDescent="0.35">
      <c r="A39" s="872"/>
      <c r="B39" s="874"/>
      <c r="C39" s="874"/>
      <c r="D39" s="874"/>
      <c r="E39" s="874"/>
      <c r="F39" s="10" t="s">
        <v>2457</v>
      </c>
      <c r="G39" s="10">
        <v>61821</v>
      </c>
      <c r="H39" s="10">
        <v>250</v>
      </c>
      <c r="I39" s="10">
        <v>10311.099999999999</v>
      </c>
      <c r="J39" s="1046"/>
      <c r="K39" s="880"/>
    </row>
    <row r="40" spans="1:11" ht="15" thickBot="1" x14ac:dyDescent="0.35">
      <c r="A40" s="199">
        <v>961</v>
      </c>
      <c r="B40" s="10">
        <v>44116.9</v>
      </c>
      <c r="C40" s="10" t="s">
        <v>2458</v>
      </c>
      <c r="D40" s="10">
        <v>963</v>
      </c>
      <c r="E40" s="10">
        <v>41385.1</v>
      </c>
      <c r="F40" s="10" t="s">
        <v>2459</v>
      </c>
      <c r="G40" s="10">
        <v>62021</v>
      </c>
      <c r="H40" s="10">
        <v>441</v>
      </c>
      <c r="I40" s="10">
        <v>18338.3</v>
      </c>
      <c r="J40" s="219">
        <f t="shared" ref="J40:J45" si="10">+A40-D40</f>
        <v>-2</v>
      </c>
      <c r="K40" s="53">
        <f>+((B40/A40)-(E40/D40))/(B40/A40)</f>
        <v>6.3870089771664904E-2</v>
      </c>
    </row>
    <row r="41" spans="1:11" ht="15" thickBot="1" x14ac:dyDescent="0.35">
      <c r="A41" s="175">
        <v>1471</v>
      </c>
      <c r="B41" s="8">
        <v>62282.6</v>
      </c>
      <c r="C41" s="8" t="s">
        <v>2572</v>
      </c>
      <c r="D41" s="8">
        <v>1469</v>
      </c>
      <c r="E41" s="8">
        <v>59911.1</v>
      </c>
      <c r="F41" s="8" t="s">
        <v>2573</v>
      </c>
      <c r="G41" s="8">
        <v>62181</v>
      </c>
      <c r="H41" s="8">
        <v>748</v>
      </c>
      <c r="I41" s="8">
        <v>31776.000000000004</v>
      </c>
      <c r="J41" s="219">
        <f t="shared" si="10"/>
        <v>2</v>
      </c>
      <c r="K41" s="53">
        <f>+((B41/A41)-(E41/D41))/(B41/A41)</f>
        <v>3.676681467113363E-2</v>
      </c>
    </row>
    <row r="42" spans="1:11" x14ac:dyDescent="0.3">
      <c r="A42" s="871">
        <v>1391</v>
      </c>
      <c r="B42" s="873">
        <v>72540</v>
      </c>
      <c r="C42" s="873" t="s">
        <v>2749</v>
      </c>
      <c r="D42" s="873">
        <f>+H42+H43</f>
        <v>1387</v>
      </c>
      <c r="E42" s="873">
        <f>+I42+I43</f>
        <v>66554</v>
      </c>
      <c r="F42" s="12" t="s">
        <v>2750</v>
      </c>
      <c r="G42" s="12">
        <v>62331</v>
      </c>
      <c r="H42" s="12">
        <v>769</v>
      </c>
      <c r="I42" s="12">
        <v>36969.599999999999</v>
      </c>
      <c r="J42" s="1045">
        <f t="shared" si="10"/>
        <v>4</v>
      </c>
      <c r="K42" s="879">
        <f>+((B42/A42)-(E42/D42))/(B42/A42)</f>
        <v>7.9874048060200542E-2</v>
      </c>
    </row>
    <row r="43" spans="1:11" ht="15" thickBot="1" x14ac:dyDescent="0.35">
      <c r="A43" s="872"/>
      <c r="B43" s="874"/>
      <c r="C43" s="874"/>
      <c r="D43" s="874"/>
      <c r="E43" s="874"/>
      <c r="F43" s="10" t="s">
        <v>2750</v>
      </c>
      <c r="G43" s="10">
        <v>62331</v>
      </c>
      <c r="H43" s="10">
        <v>618</v>
      </c>
      <c r="I43" s="10">
        <v>29584.400000000001</v>
      </c>
      <c r="J43" s="1046"/>
      <c r="K43" s="880"/>
    </row>
    <row r="44" spans="1:11" ht="15" thickBot="1" x14ac:dyDescent="0.35">
      <c r="A44" s="175">
        <v>645</v>
      </c>
      <c r="B44" s="8">
        <v>34157.25</v>
      </c>
      <c r="C44" s="8" t="s">
        <v>2880</v>
      </c>
      <c r="D44" s="8">
        <f t="shared" ref="D44:E47" si="11">+H44</f>
        <v>645</v>
      </c>
      <c r="E44" s="8">
        <f t="shared" si="11"/>
        <v>32672.600000000006</v>
      </c>
      <c r="F44" s="8" t="s">
        <v>2881</v>
      </c>
      <c r="G44" s="8">
        <v>62531</v>
      </c>
      <c r="H44" s="8">
        <v>645</v>
      </c>
      <c r="I44" s="8">
        <v>32672.600000000006</v>
      </c>
      <c r="J44" s="219">
        <f t="shared" si="10"/>
        <v>0</v>
      </c>
      <c r="K44" s="33">
        <f t="shared" ref="K44" si="12">(+B44-E44)/B44</f>
        <v>4.3465150151139047E-2</v>
      </c>
    </row>
    <row r="45" spans="1:11" ht="15" thickBot="1" x14ac:dyDescent="0.35">
      <c r="A45" s="175">
        <v>250</v>
      </c>
      <c r="B45" s="8">
        <v>10280</v>
      </c>
      <c r="C45" s="8" t="s">
        <v>2882</v>
      </c>
      <c r="D45" s="8">
        <f t="shared" si="11"/>
        <v>244</v>
      </c>
      <c r="E45" s="8">
        <f t="shared" si="11"/>
        <v>9840.1</v>
      </c>
      <c r="F45" s="8" t="s">
        <v>2883</v>
      </c>
      <c r="G45" s="8">
        <v>62631</v>
      </c>
      <c r="H45" s="8">
        <v>244</v>
      </c>
      <c r="I45" s="8">
        <v>9840.1</v>
      </c>
      <c r="J45" s="219">
        <f t="shared" si="10"/>
        <v>6</v>
      </c>
      <c r="K45" s="53">
        <f t="shared" ref="K45:K50" si="13">+((B45/A45)-(E45/D45))/(B45/A45)</f>
        <v>1.9253922944440813E-2</v>
      </c>
    </row>
    <row r="46" spans="1:11" ht="15" thickBot="1" x14ac:dyDescent="0.35">
      <c r="A46" s="175">
        <v>648</v>
      </c>
      <c r="B46" s="8">
        <v>35153.5</v>
      </c>
      <c r="C46" s="8" t="s">
        <v>3151</v>
      </c>
      <c r="D46" s="8">
        <f t="shared" si="11"/>
        <v>648</v>
      </c>
      <c r="E46" s="8">
        <f t="shared" si="11"/>
        <v>33169.5</v>
      </c>
      <c r="F46" s="8" t="s">
        <v>3152</v>
      </c>
      <c r="G46" s="8">
        <v>62641</v>
      </c>
      <c r="H46" s="8">
        <v>648</v>
      </c>
      <c r="I46" s="8">
        <v>33169.5</v>
      </c>
      <c r="J46" s="219">
        <f t="shared" ref="J46:J47" si="14">+A46-D46</f>
        <v>0</v>
      </c>
      <c r="K46" s="53">
        <f t="shared" si="13"/>
        <v>5.6438192498613211E-2</v>
      </c>
    </row>
    <row r="47" spans="1:11" ht="15" thickBot="1" x14ac:dyDescent="0.35">
      <c r="A47" s="175">
        <v>606</v>
      </c>
      <c r="B47" s="8">
        <v>24714.2</v>
      </c>
      <c r="C47" s="8" t="s">
        <v>3302</v>
      </c>
      <c r="D47" s="8">
        <f t="shared" si="11"/>
        <v>604</v>
      </c>
      <c r="E47" s="8">
        <f t="shared" si="11"/>
        <v>23716.9</v>
      </c>
      <c r="F47" s="8" t="s">
        <v>3303</v>
      </c>
      <c r="G47" s="8">
        <v>62801</v>
      </c>
      <c r="H47" s="8">
        <v>604</v>
      </c>
      <c r="I47" s="8">
        <v>23716.9</v>
      </c>
      <c r="J47" s="219">
        <f t="shared" si="14"/>
        <v>2</v>
      </c>
      <c r="K47" s="53">
        <f t="shared" si="13"/>
        <v>3.7175681128381481E-2</v>
      </c>
    </row>
    <row r="48" spans="1:11" ht="15" thickBot="1" x14ac:dyDescent="0.35">
      <c r="A48" s="313">
        <v>498</v>
      </c>
      <c r="B48" s="27">
        <v>20632.3</v>
      </c>
      <c r="C48" s="27" t="s">
        <v>3549</v>
      </c>
      <c r="D48" s="8">
        <f>+H48</f>
        <v>498</v>
      </c>
      <c r="E48" s="8">
        <f>+I48</f>
        <v>19609.2</v>
      </c>
      <c r="F48" s="8" t="s">
        <v>3550</v>
      </c>
      <c r="G48" s="8">
        <v>63001</v>
      </c>
      <c r="H48" s="8">
        <v>498</v>
      </c>
      <c r="I48" s="8">
        <v>19609.2</v>
      </c>
      <c r="J48" s="219">
        <f t="shared" ref="J48" si="15">+A48-D48</f>
        <v>0</v>
      </c>
      <c r="K48" s="53">
        <f t="shared" si="13"/>
        <v>4.9587297586793373E-2</v>
      </c>
    </row>
    <row r="49" spans="1:11" ht="15" thickBot="1" x14ac:dyDescent="0.35">
      <c r="A49" s="175">
        <v>460</v>
      </c>
      <c r="B49" s="8">
        <v>18601</v>
      </c>
      <c r="C49" s="8" t="s">
        <v>3676</v>
      </c>
      <c r="D49" s="8">
        <f t="shared" ref="D49:E49" si="16">+H49</f>
        <v>460</v>
      </c>
      <c r="E49" s="8">
        <f t="shared" si="16"/>
        <v>17723.400000000001</v>
      </c>
      <c r="F49" s="8" t="s">
        <v>3677</v>
      </c>
      <c r="G49" s="8">
        <v>63471</v>
      </c>
      <c r="H49" s="8">
        <v>460</v>
      </c>
      <c r="I49" s="8">
        <v>17723.400000000001</v>
      </c>
      <c r="J49" s="219">
        <f t="shared" ref="J49:J50" si="17">+A49-D49</f>
        <v>0</v>
      </c>
      <c r="K49" s="53">
        <f t="shared" si="13"/>
        <v>4.7180259125853372E-2</v>
      </c>
    </row>
    <row r="50" spans="1:11" x14ac:dyDescent="0.3">
      <c r="A50" s="871">
        <v>469</v>
      </c>
      <c r="B50" s="873">
        <v>20664.900000000001</v>
      </c>
      <c r="C50" s="873" t="s">
        <v>3894</v>
      </c>
      <c r="D50" s="873">
        <f>+H50+H51</f>
        <v>462</v>
      </c>
      <c r="E50" s="873">
        <f>+I50+I51</f>
        <v>19341.100000000002</v>
      </c>
      <c r="F50" s="12" t="s">
        <v>3895</v>
      </c>
      <c r="G50" s="12">
        <v>63761</v>
      </c>
      <c r="H50" s="12">
        <v>400</v>
      </c>
      <c r="I50" s="12">
        <v>16868.900000000001</v>
      </c>
      <c r="J50" s="1045">
        <f t="shared" si="17"/>
        <v>7</v>
      </c>
      <c r="K50" s="879">
        <f t="shared" si="13"/>
        <v>4.9879410512658227E-2</v>
      </c>
    </row>
    <row r="51" spans="1:11" ht="15" thickBot="1" x14ac:dyDescent="0.35">
      <c r="A51" s="872"/>
      <c r="B51" s="874"/>
      <c r="C51" s="874"/>
      <c r="D51" s="874"/>
      <c r="E51" s="874"/>
      <c r="F51" s="10" t="s">
        <v>3895</v>
      </c>
      <c r="G51" s="10">
        <v>63761</v>
      </c>
      <c r="H51" s="10">
        <v>62</v>
      </c>
      <c r="I51" s="10">
        <v>2472.1999999999998</v>
      </c>
      <c r="J51" s="1046"/>
      <c r="K51" s="880"/>
    </row>
    <row r="52" spans="1:11" ht="15" thickBot="1" x14ac:dyDescent="0.35">
      <c r="A52" s="190">
        <v>2543</v>
      </c>
      <c r="B52" s="161">
        <v>122083</v>
      </c>
      <c r="C52" s="161" t="s">
        <v>3896</v>
      </c>
      <c r="D52" s="8">
        <v>2588</v>
      </c>
      <c r="E52" s="8">
        <v>113556.3</v>
      </c>
      <c r="F52" s="8" t="s">
        <v>3897</v>
      </c>
      <c r="G52" s="8">
        <v>63981</v>
      </c>
      <c r="H52" s="8">
        <v>464</v>
      </c>
      <c r="I52" s="8">
        <v>21203.9</v>
      </c>
      <c r="J52" s="219">
        <f t="shared" ref="J52:J54" si="18">+A52-D52</f>
        <v>-45</v>
      </c>
      <c r="K52" s="53">
        <f>+((B52/A52)-(E52/D52))/(B52/A52)</f>
        <v>8.6016977187372543E-2</v>
      </c>
    </row>
    <row r="53" spans="1:11" ht="15" thickBot="1" x14ac:dyDescent="0.35">
      <c r="A53" s="199">
        <v>140</v>
      </c>
      <c r="B53" s="10">
        <v>5894.98</v>
      </c>
      <c r="C53" s="10" t="s">
        <v>4172</v>
      </c>
      <c r="D53" s="10">
        <f>+H53</f>
        <v>135</v>
      </c>
      <c r="E53" s="10">
        <f>+I53</f>
        <v>5264.9</v>
      </c>
      <c r="F53" s="10" t="s">
        <v>4173</v>
      </c>
      <c r="G53" s="10">
        <v>64111</v>
      </c>
      <c r="H53" s="10">
        <v>135</v>
      </c>
      <c r="I53" s="10">
        <v>5264.9</v>
      </c>
      <c r="J53" s="219">
        <f t="shared" si="18"/>
        <v>5</v>
      </c>
      <c r="K53" s="53">
        <f t="shared" ref="K53:K54" si="19">+((B53/A53)-(E53/D53))/(B53/A53)</f>
        <v>7.380579810342093E-2</v>
      </c>
    </row>
    <row r="54" spans="1:11" ht="15" thickBot="1" x14ac:dyDescent="0.35">
      <c r="A54" s="175">
        <v>880</v>
      </c>
      <c r="B54" s="8">
        <v>34381.1</v>
      </c>
      <c r="C54" s="8" t="s">
        <v>4174</v>
      </c>
      <c r="D54" s="8">
        <v>878</v>
      </c>
      <c r="E54" s="10">
        <v>32508.7</v>
      </c>
      <c r="F54" s="8" t="s">
        <v>4175</v>
      </c>
      <c r="G54" s="8">
        <v>64361</v>
      </c>
      <c r="H54" s="8">
        <v>218</v>
      </c>
      <c r="I54" s="8">
        <v>7569.3</v>
      </c>
      <c r="J54" s="219">
        <f t="shared" si="18"/>
        <v>2</v>
      </c>
      <c r="K54" s="53">
        <f t="shared" si="19"/>
        <v>5.2306304672385513E-2</v>
      </c>
    </row>
    <row r="55" spans="1:11" ht="15" thickBot="1" x14ac:dyDescent="0.35">
      <c r="A55" s="175">
        <v>880</v>
      </c>
      <c r="B55" s="8">
        <v>38284.5</v>
      </c>
      <c r="C55" s="8" t="s">
        <v>4403</v>
      </c>
      <c r="D55" s="8">
        <f>+H55</f>
        <v>881</v>
      </c>
      <c r="E55" s="8">
        <f>+I55</f>
        <v>36041.199999999997</v>
      </c>
      <c r="F55" s="8" t="s">
        <v>4404</v>
      </c>
      <c r="G55" s="8">
        <v>64461</v>
      </c>
      <c r="H55" s="8">
        <v>881</v>
      </c>
      <c r="I55" s="8">
        <v>36041.199999999997</v>
      </c>
      <c r="J55" s="219">
        <f t="shared" ref="J55" si="20">+A55-D55</f>
        <v>-1</v>
      </c>
      <c r="K55" s="53">
        <f t="shared" ref="K55" si="21">+((B55/A55)-(E55/D55))/(B55/A55)</f>
        <v>5.9664078703192625E-2</v>
      </c>
    </row>
    <row r="56" spans="1:11" ht="15" thickBot="1" x14ac:dyDescent="0.35">
      <c r="A56" s="175">
        <v>650</v>
      </c>
      <c r="B56" s="8">
        <v>28764.400000000001</v>
      </c>
      <c r="C56" s="8" t="s">
        <v>4494</v>
      </c>
      <c r="D56" s="8">
        <f>+H56</f>
        <v>646</v>
      </c>
      <c r="E56" s="8">
        <f>+I56</f>
        <v>27070.7</v>
      </c>
      <c r="F56" s="8" t="s">
        <v>4495</v>
      </c>
      <c r="G56" s="8">
        <v>64521</v>
      </c>
      <c r="H56" s="8">
        <v>646</v>
      </c>
      <c r="I56" s="8">
        <v>27070.7</v>
      </c>
      <c r="J56" s="219">
        <f t="shared" ref="J56" si="22">+A56-D56</f>
        <v>4</v>
      </c>
      <c r="K56" s="53">
        <f t="shared" ref="K56" si="23">+((B56/A56)-(E56/D56))/(B56/A56)</f>
        <v>5.3054455040378673E-2</v>
      </c>
    </row>
    <row r="57" spans="1:11" ht="15" thickBot="1" x14ac:dyDescent="0.35">
      <c r="A57" s="190">
        <v>783</v>
      </c>
      <c r="B57" s="161">
        <v>29168.2</v>
      </c>
      <c r="C57" s="161" t="s">
        <v>5688</v>
      </c>
      <c r="D57" s="8">
        <v>780</v>
      </c>
      <c r="E57" s="8">
        <v>28750.5</v>
      </c>
      <c r="F57" s="8" t="s">
        <v>5689</v>
      </c>
      <c r="G57" s="8">
        <v>65861</v>
      </c>
      <c r="H57" s="8">
        <v>437</v>
      </c>
      <c r="I57" s="8">
        <v>16131.400000000001</v>
      </c>
      <c r="J57" s="219">
        <f t="shared" ref="J57" si="24">+A57-D57</f>
        <v>3</v>
      </c>
      <c r="K57" s="53">
        <f t="shared" ref="K57" si="25">+((B57/A57)-(E57/D57))/(B57/A57)</f>
        <v>1.052931459075835E-2</v>
      </c>
    </row>
    <row r="58" spans="1:11" ht="15" thickBot="1" x14ac:dyDescent="0.35">
      <c r="A58" s="175">
        <v>267</v>
      </c>
      <c r="B58" s="8">
        <v>12203.3</v>
      </c>
      <c r="C58" s="8" t="s">
        <v>6062</v>
      </c>
      <c r="D58" s="8">
        <f t="shared" ref="D58:E59" si="26">+H58</f>
        <v>267</v>
      </c>
      <c r="E58" s="8">
        <f t="shared" si="26"/>
        <v>11547.5</v>
      </c>
      <c r="F58" s="8" t="s">
        <v>6063</v>
      </c>
      <c r="G58" s="8">
        <v>65791</v>
      </c>
      <c r="H58" s="8">
        <v>267</v>
      </c>
      <c r="I58" s="8">
        <v>11547.5</v>
      </c>
      <c r="J58" s="219">
        <f t="shared" ref="J58:J60" si="27">+A58-D58</f>
        <v>0</v>
      </c>
      <c r="K58" s="53">
        <f t="shared" ref="K58:K60" si="28">+((B58/A58)-(E58/D58))/(B58/A58)</f>
        <v>5.3739562249555353E-2</v>
      </c>
    </row>
    <row r="59" spans="1:11" ht="15" thickBot="1" x14ac:dyDescent="0.35">
      <c r="A59" s="175">
        <v>296</v>
      </c>
      <c r="B59" s="8">
        <v>11574.2</v>
      </c>
      <c r="C59" s="8" t="s">
        <v>6064</v>
      </c>
      <c r="D59" s="8">
        <f t="shared" si="26"/>
        <v>296</v>
      </c>
      <c r="E59" s="8">
        <f t="shared" si="26"/>
        <v>11128.099999999999</v>
      </c>
      <c r="F59" s="8" t="s">
        <v>6065</v>
      </c>
      <c r="G59" s="8">
        <v>66121</v>
      </c>
      <c r="H59" s="8">
        <v>296</v>
      </c>
      <c r="I59" s="8">
        <v>11128.099999999999</v>
      </c>
      <c r="J59" s="219">
        <f t="shared" si="27"/>
        <v>0</v>
      </c>
      <c r="K59" s="53">
        <f t="shared" si="28"/>
        <v>3.8542620656287344E-2</v>
      </c>
    </row>
    <row r="60" spans="1:11" ht="15" thickBot="1" x14ac:dyDescent="0.35">
      <c r="A60" s="175">
        <v>660</v>
      </c>
      <c r="B60" s="8">
        <v>25585</v>
      </c>
      <c r="C60" s="8" t="s">
        <v>6066</v>
      </c>
      <c r="D60" s="8">
        <f>+H60+440</f>
        <v>660</v>
      </c>
      <c r="E60" s="8">
        <f>+I60+16703</f>
        <v>24834.6</v>
      </c>
      <c r="F60" s="8" t="s">
        <v>6067</v>
      </c>
      <c r="G60" s="8">
        <v>66161</v>
      </c>
      <c r="H60" s="8">
        <v>220</v>
      </c>
      <c r="I60" s="8">
        <v>8131.6</v>
      </c>
      <c r="J60" s="219">
        <f t="shared" si="27"/>
        <v>0</v>
      </c>
      <c r="K60" s="53">
        <f t="shared" si="28"/>
        <v>2.9329685362517184E-2</v>
      </c>
    </row>
    <row r="61" spans="1:11" ht="15" thickBot="1" x14ac:dyDescent="0.35">
      <c r="A61" s="175">
        <v>409</v>
      </c>
      <c r="B61" s="8">
        <v>17839.599999999999</v>
      </c>
      <c r="C61" s="8" t="s">
        <v>6167</v>
      </c>
      <c r="D61" s="8">
        <f>+H61+308</f>
        <v>405</v>
      </c>
      <c r="E61" s="8">
        <f>+I61+13254.1</f>
        <v>17226.599999999999</v>
      </c>
      <c r="F61" s="8" t="s">
        <v>6168</v>
      </c>
      <c r="G61" s="8">
        <v>66231</v>
      </c>
      <c r="H61" s="8">
        <v>97</v>
      </c>
      <c r="I61" s="8">
        <v>3972.5</v>
      </c>
      <c r="J61" s="219">
        <f t="shared" ref="J61" si="29">+A61-D61</f>
        <v>4</v>
      </c>
      <c r="K61" s="53">
        <f t="shared" ref="K61" si="30">+((B61/A61)-(E61/D61))/(B61/A61)</f>
        <v>2.4824589157870287E-2</v>
      </c>
    </row>
    <row r="62" spans="1:11" ht="15" thickBot="1" x14ac:dyDescent="0.35">
      <c r="A62" s="575">
        <v>207</v>
      </c>
      <c r="B62" s="577">
        <v>9319.2999999999993</v>
      </c>
      <c r="C62" s="577" t="s">
        <v>6303</v>
      </c>
      <c r="D62" s="8">
        <v>208</v>
      </c>
      <c r="E62" s="8">
        <v>9029</v>
      </c>
      <c r="F62" s="8" t="s">
        <v>6304</v>
      </c>
      <c r="G62" s="8">
        <v>66481</v>
      </c>
      <c r="H62" s="582">
        <v>106</v>
      </c>
      <c r="I62" s="582">
        <v>4177.3999999999996</v>
      </c>
      <c r="J62" s="219">
        <f t="shared" ref="J62:J63" si="31">+A62-D62</f>
        <v>-1</v>
      </c>
      <c r="K62" s="53">
        <f t="shared" ref="K62:K63" si="32">+((B62/A62)-(E62/D62))/(B62/A62)</f>
        <v>3.5808339021831365E-2</v>
      </c>
    </row>
    <row r="63" spans="1:11" x14ac:dyDescent="0.3">
      <c r="A63" s="871">
        <v>770</v>
      </c>
      <c r="B63" s="873">
        <v>31829</v>
      </c>
      <c r="C63" s="873" t="s">
        <v>6382</v>
      </c>
      <c r="D63" s="873">
        <f>+H64+H65+H63</f>
        <v>770</v>
      </c>
      <c r="E63" s="873">
        <f>+I64+I65+I63</f>
        <v>30763.599999999999</v>
      </c>
      <c r="F63" s="592" t="s">
        <v>6383</v>
      </c>
      <c r="G63" s="592">
        <v>66641</v>
      </c>
      <c r="H63" s="587">
        <v>106</v>
      </c>
      <c r="I63" s="587">
        <v>4177.3999999999996</v>
      </c>
      <c r="J63" s="1045">
        <f t="shared" si="31"/>
        <v>0</v>
      </c>
      <c r="K63" s="879">
        <f t="shared" si="32"/>
        <v>3.3472619309434772E-2</v>
      </c>
    </row>
    <row r="64" spans="1:11" x14ac:dyDescent="0.3">
      <c r="A64" s="875"/>
      <c r="B64" s="881"/>
      <c r="C64" s="881"/>
      <c r="D64" s="881"/>
      <c r="E64" s="881"/>
      <c r="F64" s="593" t="s">
        <v>6383</v>
      </c>
      <c r="G64" s="593">
        <v>66641</v>
      </c>
      <c r="H64" s="588">
        <v>114</v>
      </c>
      <c r="I64" s="588">
        <v>4623.1000000000004</v>
      </c>
      <c r="J64" s="1047"/>
      <c r="K64" s="885"/>
    </row>
    <row r="65" spans="1:11" ht="15" thickBot="1" x14ac:dyDescent="0.35">
      <c r="A65" s="872"/>
      <c r="B65" s="874"/>
      <c r="C65" s="874"/>
      <c r="D65" s="874"/>
      <c r="E65" s="874"/>
      <c r="F65" s="594" t="s">
        <v>6383</v>
      </c>
      <c r="G65" s="594">
        <v>66641</v>
      </c>
      <c r="H65" s="589">
        <v>550</v>
      </c>
      <c r="I65" s="589">
        <v>21963.1</v>
      </c>
      <c r="J65" s="1046"/>
      <c r="K65" s="880"/>
    </row>
    <row r="66" spans="1:11" x14ac:dyDescent="0.3">
      <c r="A66" s="871">
        <v>455</v>
      </c>
      <c r="B66" s="873">
        <v>22291.5</v>
      </c>
      <c r="C66" s="873" t="s">
        <v>6626</v>
      </c>
      <c r="D66" s="873">
        <f>+H66+H67+H68</f>
        <v>455</v>
      </c>
      <c r="E66" s="873">
        <f>+I66+I67+I68</f>
        <v>21751.8</v>
      </c>
      <c r="F66" s="649" t="s">
        <v>6627</v>
      </c>
      <c r="G66" s="649">
        <v>66831</v>
      </c>
      <c r="H66" s="649">
        <v>189</v>
      </c>
      <c r="I66" s="649">
        <v>8979.7000000000007</v>
      </c>
      <c r="J66" s="1045">
        <f t="shared" ref="J66" si="33">+A66-D66</f>
        <v>0</v>
      </c>
      <c r="K66" s="879">
        <f t="shared" ref="K66" si="34">+((B66/A66)-(E66/D66))/(B66/A66)</f>
        <v>2.4211022138483217E-2</v>
      </c>
    </row>
    <row r="67" spans="1:11" x14ac:dyDescent="0.3">
      <c r="A67" s="875"/>
      <c r="B67" s="881"/>
      <c r="C67" s="881"/>
      <c r="D67" s="881"/>
      <c r="E67" s="881"/>
      <c r="F67" s="650" t="s">
        <v>6627</v>
      </c>
      <c r="G67" s="650">
        <v>66831</v>
      </c>
      <c r="H67" s="650">
        <v>203</v>
      </c>
      <c r="I67" s="650">
        <v>9728.5</v>
      </c>
      <c r="J67" s="1047"/>
      <c r="K67" s="885"/>
    </row>
    <row r="68" spans="1:11" ht="15" thickBot="1" x14ac:dyDescent="0.35">
      <c r="A68" s="872"/>
      <c r="B68" s="874"/>
      <c r="C68" s="874"/>
      <c r="D68" s="874"/>
      <c r="E68" s="874"/>
      <c r="F68" s="651" t="s">
        <v>6627</v>
      </c>
      <c r="G68" s="651">
        <v>66831</v>
      </c>
      <c r="H68" s="651">
        <v>63</v>
      </c>
      <c r="I68" s="651">
        <v>3043.6</v>
      </c>
      <c r="J68" s="1046"/>
      <c r="K68" s="880"/>
    </row>
    <row r="69" spans="1:11" ht="15" thickBot="1" x14ac:dyDescent="0.35">
      <c r="A69" s="175">
        <v>578</v>
      </c>
      <c r="B69" s="8">
        <v>28656.5</v>
      </c>
      <c r="C69" s="8" t="s">
        <v>6628</v>
      </c>
      <c r="D69" s="8">
        <v>580</v>
      </c>
      <c r="E69" s="8">
        <v>27862.400000000001</v>
      </c>
      <c r="F69" s="8" t="s">
        <v>6629</v>
      </c>
      <c r="G69" s="8">
        <v>66961</v>
      </c>
      <c r="H69" s="8">
        <v>140</v>
      </c>
      <c r="I69" s="8">
        <v>6883.5</v>
      </c>
      <c r="J69" s="219">
        <f t="shared" ref="J69" si="35">+A69-D69</f>
        <v>-2</v>
      </c>
      <c r="K69" s="53">
        <f t="shared" ref="K69" si="36">+((B69/A69)-(E69/D69))/(B69/A69)</f>
        <v>3.1063711248034757E-2</v>
      </c>
    </row>
    <row r="70" spans="1:11" ht="15" thickBot="1" x14ac:dyDescent="0.35">
      <c r="A70" s="175">
        <v>212</v>
      </c>
      <c r="B70" s="8">
        <v>10874</v>
      </c>
      <c r="C70" s="8" t="s">
        <v>6749</v>
      </c>
      <c r="D70" s="8">
        <f t="shared" ref="D70:E70" si="37">+H70</f>
        <v>212</v>
      </c>
      <c r="E70" s="8">
        <f t="shared" si="37"/>
        <v>10650</v>
      </c>
      <c r="F70" s="8" t="s">
        <v>6750</v>
      </c>
      <c r="G70" s="8">
        <v>67141</v>
      </c>
      <c r="H70" s="8">
        <v>212</v>
      </c>
      <c r="I70" s="8">
        <v>10650</v>
      </c>
      <c r="J70" s="219">
        <f t="shared" ref="J70:J71" si="38">+A70-D70</f>
        <v>0</v>
      </c>
      <c r="K70" s="53">
        <f t="shared" ref="K70:K71" si="39">+((B70/A70)-(E70/D70))/(B70/A70)</f>
        <v>2.0599595365091004E-2</v>
      </c>
    </row>
    <row r="71" spans="1:11" ht="15" thickBot="1" x14ac:dyDescent="0.35">
      <c r="A71" s="667">
        <v>360</v>
      </c>
      <c r="B71" s="668">
        <v>17740.25</v>
      </c>
      <c r="C71" s="668" t="s">
        <v>6745</v>
      </c>
      <c r="D71" s="8">
        <v>359</v>
      </c>
      <c r="E71" s="8">
        <v>17246.2</v>
      </c>
      <c r="F71" s="668" t="s">
        <v>6746</v>
      </c>
      <c r="G71" s="668">
        <v>67181</v>
      </c>
      <c r="H71" s="668">
        <v>50</v>
      </c>
      <c r="I71" s="668">
        <v>2453.4</v>
      </c>
      <c r="J71" s="219">
        <f t="shared" si="38"/>
        <v>1</v>
      </c>
      <c r="K71" s="53">
        <f t="shared" si="39"/>
        <v>2.5141158984932546E-2</v>
      </c>
    </row>
    <row r="72" spans="1:11" ht="15" thickBot="1" x14ac:dyDescent="0.35">
      <c r="A72" s="175">
        <v>166</v>
      </c>
      <c r="B72" s="8">
        <v>8634.75</v>
      </c>
      <c r="C72" s="8" t="s">
        <v>7267</v>
      </c>
      <c r="D72" s="8">
        <f t="shared" ref="D72:E73" si="40">+H72</f>
        <v>166</v>
      </c>
      <c r="E72" s="8">
        <f t="shared" si="40"/>
        <v>8476.7999999999993</v>
      </c>
      <c r="F72" s="8" t="s">
        <v>7268</v>
      </c>
      <c r="G72" s="8">
        <v>67371</v>
      </c>
      <c r="H72" s="8">
        <v>166</v>
      </c>
      <c r="I72" s="8">
        <v>8476.7999999999993</v>
      </c>
      <c r="J72" s="219">
        <f t="shared" ref="J72:J74" si="41">+A72-D72</f>
        <v>0</v>
      </c>
      <c r="K72" s="53">
        <f t="shared" ref="K72:K74" si="42">+((B72/A72)-(E72/D72))/(B72/A72)</f>
        <v>1.8292365152436443E-2</v>
      </c>
    </row>
    <row r="73" spans="1:11" ht="15" thickBot="1" x14ac:dyDescent="0.35">
      <c r="A73" s="175">
        <v>200</v>
      </c>
      <c r="B73" s="8">
        <v>9158</v>
      </c>
      <c r="C73" s="8" t="s">
        <v>7269</v>
      </c>
      <c r="D73" s="8">
        <f t="shared" si="40"/>
        <v>200</v>
      </c>
      <c r="E73" s="8">
        <f t="shared" si="40"/>
        <v>8967.7999999999993</v>
      </c>
      <c r="F73" s="8" t="s">
        <v>7270</v>
      </c>
      <c r="G73" s="8">
        <v>67431</v>
      </c>
      <c r="H73" s="8">
        <v>200</v>
      </c>
      <c r="I73" s="8">
        <v>8967.7999999999993</v>
      </c>
      <c r="J73" s="219">
        <f t="shared" si="41"/>
        <v>0</v>
      </c>
      <c r="K73" s="53">
        <f t="shared" si="42"/>
        <v>2.0768726796243732E-2</v>
      </c>
    </row>
    <row r="74" spans="1:11" x14ac:dyDescent="0.3">
      <c r="A74" s="871">
        <v>363</v>
      </c>
      <c r="B74" s="873">
        <v>18761.75</v>
      </c>
      <c r="C74" s="873" t="s">
        <v>7271</v>
      </c>
      <c r="D74" s="873">
        <f>+H74+H75+H76</f>
        <v>361</v>
      </c>
      <c r="E74" s="873">
        <f>+I74+I75+I76</f>
        <v>18206.8</v>
      </c>
      <c r="F74" s="809" t="s">
        <v>7272</v>
      </c>
      <c r="G74" s="809">
        <v>67531</v>
      </c>
      <c r="H74" s="809">
        <v>78</v>
      </c>
      <c r="I74" s="809">
        <v>3859.8</v>
      </c>
      <c r="J74" s="1045">
        <f t="shared" si="41"/>
        <v>2</v>
      </c>
      <c r="K74" s="879">
        <f t="shared" si="42"/>
        <v>2.4202502535161059E-2</v>
      </c>
    </row>
    <row r="75" spans="1:11" x14ac:dyDescent="0.3">
      <c r="A75" s="875"/>
      <c r="B75" s="881"/>
      <c r="C75" s="881"/>
      <c r="D75" s="881"/>
      <c r="E75" s="881"/>
      <c r="F75" s="810" t="s">
        <v>7272</v>
      </c>
      <c r="G75" s="810">
        <v>67531</v>
      </c>
      <c r="H75" s="810">
        <v>183</v>
      </c>
      <c r="I75" s="810">
        <v>9032.7000000000007</v>
      </c>
      <c r="J75" s="1047"/>
      <c r="K75" s="885"/>
    </row>
    <row r="76" spans="1:11" ht="15" thickBot="1" x14ac:dyDescent="0.35">
      <c r="A76" s="872"/>
      <c r="B76" s="874"/>
      <c r="C76" s="874"/>
      <c r="D76" s="874"/>
      <c r="E76" s="874"/>
      <c r="F76" s="812" t="s">
        <v>7272</v>
      </c>
      <c r="G76" s="812">
        <v>67531</v>
      </c>
      <c r="H76" s="812">
        <v>100</v>
      </c>
      <c r="I76" s="812">
        <v>5314.3</v>
      </c>
      <c r="J76" s="1046"/>
      <c r="K76" s="880"/>
    </row>
    <row r="77" spans="1:11" x14ac:dyDescent="0.3">
      <c r="A77" s="15"/>
      <c r="B77" s="15"/>
      <c r="C77" s="15"/>
      <c r="D77" s="15"/>
      <c r="E77" s="15"/>
      <c r="F77" s="15"/>
      <c r="G77" s="15"/>
      <c r="H77" s="15"/>
      <c r="I77" s="15"/>
    </row>
    <row r="78" spans="1:11" x14ac:dyDescent="0.3">
      <c r="A78" s="156">
        <f>SUM(A5:A77)</f>
        <v>32220</v>
      </c>
      <c r="B78" s="155">
        <f>SUM(B5:B77)</f>
        <v>1454661.5419999999</v>
      </c>
      <c r="C78" s="156"/>
      <c r="D78" s="156">
        <f>SUM(D5:D77)</f>
        <v>32203</v>
      </c>
      <c r="E78" s="155">
        <f>SUM(E5:E77)</f>
        <v>1372565.7000000004</v>
      </c>
    </row>
  </sheetData>
  <mergeCells count="89">
    <mergeCell ref="J66:J68"/>
    <mergeCell ref="K66:K68"/>
    <mergeCell ref="A66:A68"/>
    <mergeCell ref="B66:B68"/>
    <mergeCell ref="C66:C68"/>
    <mergeCell ref="D66:D68"/>
    <mergeCell ref="E66:E68"/>
    <mergeCell ref="J50:J51"/>
    <mergeCell ref="K50:K51"/>
    <mergeCell ref="A50:A51"/>
    <mergeCell ref="B50:B51"/>
    <mergeCell ref="C50:C51"/>
    <mergeCell ref="D50:D51"/>
    <mergeCell ref="E50:E51"/>
    <mergeCell ref="J42:J43"/>
    <mergeCell ref="K42:K43"/>
    <mergeCell ref="A42:A43"/>
    <mergeCell ref="B42:B43"/>
    <mergeCell ref="C42:C43"/>
    <mergeCell ref="D42:D43"/>
    <mergeCell ref="E42:E43"/>
    <mergeCell ref="J34:J35"/>
    <mergeCell ref="K34:K35"/>
    <mergeCell ref="A34:A35"/>
    <mergeCell ref="B34:B35"/>
    <mergeCell ref="C34:C35"/>
    <mergeCell ref="D34:D35"/>
    <mergeCell ref="E34:E35"/>
    <mergeCell ref="J10:J11"/>
    <mergeCell ref="K10:K11"/>
    <mergeCell ref="A10:A11"/>
    <mergeCell ref="B10:B11"/>
    <mergeCell ref="C10:C11"/>
    <mergeCell ref="D10:D11"/>
    <mergeCell ref="E10:E11"/>
    <mergeCell ref="J6:J7"/>
    <mergeCell ref="K6:K7"/>
    <mergeCell ref="A3:C3"/>
    <mergeCell ref="D3:E3"/>
    <mergeCell ref="G3:G4"/>
    <mergeCell ref="J3:J4"/>
    <mergeCell ref="K3:K4"/>
    <mergeCell ref="A6:A7"/>
    <mergeCell ref="B6:B7"/>
    <mergeCell ref="C6:C7"/>
    <mergeCell ref="D6:D7"/>
    <mergeCell ref="E6:E7"/>
    <mergeCell ref="J14:J15"/>
    <mergeCell ref="J16:J17"/>
    <mergeCell ref="K14:K15"/>
    <mergeCell ref="K16:K17"/>
    <mergeCell ref="A16:A17"/>
    <mergeCell ref="B16:B17"/>
    <mergeCell ref="C16:C17"/>
    <mergeCell ref="D16:D17"/>
    <mergeCell ref="E16:E17"/>
    <mergeCell ref="A14:A15"/>
    <mergeCell ref="B14:B15"/>
    <mergeCell ref="C14:C15"/>
    <mergeCell ref="D14:D15"/>
    <mergeCell ref="E14:E15"/>
    <mergeCell ref="J26:J27"/>
    <mergeCell ref="K26:K27"/>
    <mergeCell ref="A26:A27"/>
    <mergeCell ref="B26:B27"/>
    <mergeCell ref="C26:C27"/>
    <mergeCell ref="D26:D27"/>
    <mergeCell ref="E26:E27"/>
    <mergeCell ref="J38:J39"/>
    <mergeCell ref="K38:K39"/>
    <mergeCell ref="A38:A39"/>
    <mergeCell ref="B38:B39"/>
    <mergeCell ref="C38:C39"/>
    <mergeCell ref="D38:D39"/>
    <mergeCell ref="E38:E39"/>
    <mergeCell ref="J63:J65"/>
    <mergeCell ref="K63:K65"/>
    <mergeCell ref="A63:A65"/>
    <mergeCell ref="B63:B65"/>
    <mergeCell ref="C63:C65"/>
    <mergeCell ref="D63:D65"/>
    <mergeCell ref="E63:E65"/>
    <mergeCell ref="J74:J76"/>
    <mergeCell ref="K74:K76"/>
    <mergeCell ref="A74:A76"/>
    <mergeCell ref="B74:B76"/>
    <mergeCell ref="C74:C76"/>
    <mergeCell ref="D74:D76"/>
    <mergeCell ref="E74:E76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K151"/>
  <sheetViews>
    <sheetView topLeftCell="A112" zoomScale="80" zoomScaleNormal="80" workbookViewId="0">
      <selection activeCell="J148" sqref="J148:J149"/>
    </sheetView>
  </sheetViews>
  <sheetFormatPr baseColWidth="10" defaultColWidth="8.88671875" defaultRowHeight="14.4" x14ac:dyDescent="0.3"/>
  <cols>
    <col min="2" max="2" width="12" bestFit="1" customWidth="1"/>
    <col min="4" max="4" width="11.88671875" customWidth="1"/>
    <col min="5" max="5" width="13.6640625" customWidth="1"/>
    <col min="8" max="9" width="0" hidden="1" customWidth="1"/>
    <col min="11" max="11" width="12" bestFit="1" customWidth="1"/>
  </cols>
  <sheetData>
    <row r="1" spans="1:11" ht="33.6" x14ac:dyDescent="0.65">
      <c r="A1" s="104" t="s">
        <v>1185</v>
      </c>
      <c r="D1" s="95"/>
      <c r="E1" s="95"/>
      <c r="F1" s="95"/>
      <c r="G1" s="95"/>
      <c r="H1" s="95"/>
      <c r="I1" s="95"/>
    </row>
    <row r="2" spans="1:11" ht="15" thickBot="1" x14ac:dyDescent="0.35">
      <c r="D2" s="50"/>
      <c r="E2" s="50"/>
      <c r="F2" s="50"/>
      <c r="G2" s="50"/>
    </row>
    <row r="3" spans="1:11" x14ac:dyDescent="0.3">
      <c r="A3" s="1021" t="s">
        <v>1</v>
      </c>
      <c r="B3" s="1022"/>
      <c r="C3" s="1023"/>
      <c r="D3" s="1021" t="s">
        <v>2</v>
      </c>
      <c r="E3" s="1023"/>
      <c r="F3" s="4"/>
      <c r="G3" s="1024" t="s">
        <v>3</v>
      </c>
      <c r="H3" s="5"/>
      <c r="I3" s="5"/>
      <c r="J3" s="915" t="s">
        <v>91</v>
      </c>
      <c r="K3" s="984" t="s">
        <v>92</v>
      </c>
    </row>
    <row r="4" spans="1:11" ht="15" thickBot="1" x14ac:dyDescent="0.35">
      <c r="A4" s="220" t="s">
        <v>5</v>
      </c>
      <c r="B4" s="221" t="s">
        <v>6</v>
      </c>
      <c r="C4" s="222" t="s">
        <v>4</v>
      </c>
      <c r="D4" s="221" t="s">
        <v>7</v>
      </c>
      <c r="E4" s="222" t="s">
        <v>6</v>
      </c>
      <c r="F4" s="17" t="s">
        <v>8</v>
      </c>
      <c r="G4" s="1097"/>
      <c r="H4" s="17" t="s">
        <v>5</v>
      </c>
      <c r="I4" s="17" t="s">
        <v>10</v>
      </c>
      <c r="J4" s="916"/>
      <c r="K4" s="985"/>
    </row>
    <row r="5" spans="1:11" ht="15" thickBot="1" x14ac:dyDescent="0.35">
      <c r="A5" s="175">
        <v>190</v>
      </c>
      <c r="B5" s="175">
        <v>8349.75</v>
      </c>
      <c r="C5" s="8" t="s">
        <v>1186</v>
      </c>
      <c r="D5" s="8">
        <f t="shared" ref="D5:E5" si="0">+H5</f>
        <v>182</v>
      </c>
      <c r="E5" s="8">
        <f t="shared" si="0"/>
        <v>7675.7</v>
      </c>
      <c r="F5" s="8" t="s">
        <v>1187</v>
      </c>
      <c r="G5" s="8">
        <v>35461</v>
      </c>
      <c r="H5" s="8">
        <v>182</v>
      </c>
      <c r="I5" s="161">
        <v>7675.7</v>
      </c>
      <c r="J5" s="52">
        <f>+A5-D5</f>
        <v>8</v>
      </c>
      <c r="K5" s="138">
        <f>+((B5/A5)-(E5/D5))/(B5/A5)</f>
        <v>4.0319362065522162E-2</v>
      </c>
    </row>
    <row r="6" spans="1:11" x14ac:dyDescent="0.3">
      <c r="A6" s="871">
        <v>376</v>
      </c>
      <c r="B6" s="873">
        <v>16993.75</v>
      </c>
      <c r="C6" s="873" t="s">
        <v>1188</v>
      </c>
      <c r="D6" s="873">
        <f>+H6+H7</f>
        <v>371</v>
      </c>
      <c r="E6" s="873">
        <f>+I6+I7</f>
        <v>16194.7</v>
      </c>
      <c r="F6" s="12" t="s">
        <v>1189</v>
      </c>
      <c r="G6" s="12">
        <v>60151</v>
      </c>
      <c r="H6" s="12">
        <v>300</v>
      </c>
      <c r="I6" s="12">
        <v>13167.5</v>
      </c>
      <c r="J6" s="877">
        <f>+A6-D6</f>
        <v>5</v>
      </c>
      <c r="K6" s="879">
        <f>+((B6/A6)-(E6/D6))/(B6/A6)</f>
        <v>3.4176834871707376E-2</v>
      </c>
    </row>
    <row r="7" spans="1:11" ht="15" thickBot="1" x14ac:dyDescent="0.35">
      <c r="A7" s="872"/>
      <c r="B7" s="874"/>
      <c r="C7" s="874"/>
      <c r="D7" s="874"/>
      <c r="E7" s="874"/>
      <c r="F7" s="10" t="s">
        <v>1189</v>
      </c>
      <c r="G7" s="10">
        <v>60151</v>
      </c>
      <c r="H7" s="10">
        <v>71</v>
      </c>
      <c r="I7" s="10">
        <v>3027.2</v>
      </c>
      <c r="J7" s="878"/>
      <c r="K7" s="880"/>
    </row>
    <row r="8" spans="1:11" ht="15" thickBot="1" x14ac:dyDescent="0.35">
      <c r="A8" s="175">
        <v>302</v>
      </c>
      <c r="B8" s="8">
        <v>13375.5</v>
      </c>
      <c r="C8" s="8" t="s">
        <v>1190</v>
      </c>
      <c r="D8" s="8">
        <f t="shared" ref="D8:E9" si="1">+H8</f>
        <v>302</v>
      </c>
      <c r="E8" s="8">
        <f t="shared" si="1"/>
        <v>13028.2</v>
      </c>
      <c r="F8" s="8" t="s">
        <v>1191</v>
      </c>
      <c r="G8" s="8">
        <v>60201</v>
      </c>
      <c r="H8" s="8">
        <f>210+92</f>
        <v>302</v>
      </c>
      <c r="I8" s="8">
        <f>9084.7+3943.5</f>
        <v>13028.2</v>
      </c>
      <c r="J8" s="52">
        <f t="shared" ref="J8:J21" si="2">+A8-D8</f>
        <v>0</v>
      </c>
      <c r="K8" s="33">
        <f>(+B8-E8)/B8</f>
        <v>2.5965384471608483E-2</v>
      </c>
    </row>
    <row r="9" spans="1:11" ht="15" thickBot="1" x14ac:dyDescent="0.35">
      <c r="A9" s="174">
        <v>447</v>
      </c>
      <c r="B9" s="12">
        <v>19748.8</v>
      </c>
      <c r="C9" s="12" t="s">
        <v>1192</v>
      </c>
      <c r="D9" s="12">
        <f t="shared" si="1"/>
        <v>432</v>
      </c>
      <c r="E9" s="12">
        <f t="shared" si="1"/>
        <v>18519.099999999999</v>
      </c>
      <c r="F9" s="12" t="s">
        <v>1193</v>
      </c>
      <c r="G9" s="12">
        <v>60241</v>
      </c>
      <c r="H9" s="12">
        <v>432</v>
      </c>
      <c r="I9" s="12">
        <v>18519.099999999999</v>
      </c>
      <c r="J9" s="52">
        <f t="shared" si="2"/>
        <v>15</v>
      </c>
      <c r="K9" s="138">
        <f>+((B9/A9)-(E9/D9))/(B9/A9)</f>
        <v>2.9706903429294211E-2</v>
      </c>
    </row>
    <row r="10" spans="1:11" x14ac:dyDescent="0.3">
      <c r="A10" s="871">
        <v>819</v>
      </c>
      <c r="B10" s="873">
        <v>36110.5</v>
      </c>
      <c r="C10" s="873" t="s">
        <v>1194</v>
      </c>
      <c r="D10" s="873">
        <v>816</v>
      </c>
      <c r="E10" s="873">
        <v>34753.699999999997</v>
      </c>
      <c r="F10" s="12" t="s">
        <v>1195</v>
      </c>
      <c r="G10" s="12">
        <v>60291</v>
      </c>
      <c r="H10" s="12">
        <v>228</v>
      </c>
      <c r="I10" s="12">
        <v>9481</v>
      </c>
      <c r="J10" s="877">
        <f t="shared" si="2"/>
        <v>3</v>
      </c>
      <c r="K10" s="879">
        <f>+((B10/A10)-(E10/D10))/(B10/A10)</f>
        <v>3.4035226433243755E-2</v>
      </c>
    </row>
    <row r="11" spans="1:11" ht="15" thickBot="1" x14ac:dyDescent="0.35">
      <c r="A11" s="872"/>
      <c r="B11" s="874"/>
      <c r="C11" s="874"/>
      <c r="D11" s="874"/>
      <c r="E11" s="874"/>
      <c r="F11" s="10" t="s">
        <v>1195</v>
      </c>
      <c r="G11" s="10">
        <v>60291</v>
      </c>
      <c r="H11" s="10">
        <v>250</v>
      </c>
      <c r="I11" s="10">
        <v>10869.2</v>
      </c>
      <c r="J11" s="878"/>
      <c r="K11" s="880"/>
    </row>
    <row r="12" spans="1:11" ht="15" thickBot="1" x14ac:dyDescent="0.35">
      <c r="A12" s="175">
        <v>27</v>
      </c>
      <c r="B12" s="8">
        <v>1213.5</v>
      </c>
      <c r="C12" s="8" t="s">
        <v>1253</v>
      </c>
      <c r="D12" s="8">
        <f>+H12</f>
        <v>27</v>
      </c>
      <c r="E12" s="8">
        <f>+I12</f>
        <v>1177.2</v>
      </c>
      <c r="F12" s="8" t="s">
        <v>1254</v>
      </c>
      <c r="G12" s="8">
        <v>60351</v>
      </c>
      <c r="H12" s="8">
        <v>27</v>
      </c>
      <c r="I12" s="8">
        <v>1177.2</v>
      </c>
      <c r="J12" s="52">
        <f t="shared" si="2"/>
        <v>0</v>
      </c>
      <c r="K12" s="33">
        <f t="shared" ref="K12:K19" si="3">(+B12-E12)/B12</f>
        <v>2.9913473423980184E-2</v>
      </c>
    </row>
    <row r="13" spans="1:11" ht="15" thickBot="1" x14ac:dyDescent="0.35">
      <c r="A13" s="175">
        <v>927</v>
      </c>
      <c r="B13" s="8">
        <v>41811</v>
      </c>
      <c r="C13" s="8" t="s">
        <v>1255</v>
      </c>
      <c r="D13" s="8">
        <f>+H13</f>
        <v>927</v>
      </c>
      <c r="E13" s="8">
        <f>+I13</f>
        <v>40864</v>
      </c>
      <c r="F13" s="8" t="s">
        <v>1256</v>
      </c>
      <c r="G13" s="8">
        <v>60361</v>
      </c>
      <c r="H13" s="8">
        <v>927</v>
      </c>
      <c r="I13" s="8">
        <v>40864</v>
      </c>
      <c r="J13" s="52">
        <f t="shared" si="2"/>
        <v>0</v>
      </c>
      <c r="K13" s="33">
        <f t="shared" si="3"/>
        <v>2.2649541986558563E-2</v>
      </c>
    </row>
    <row r="14" spans="1:11" x14ac:dyDescent="0.3">
      <c r="A14" s="873">
        <v>587</v>
      </c>
      <c r="B14" s="873">
        <v>26620</v>
      </c>
      <c r="C14" s="873" t="s">
        <v>1358</v>
      </c>
      <c r="D14" s="873">
        <f>+H14+H15</f>
        <v>587</v>
      </c>
      <c r="E14" s="873">
        <f>+I14+I15</f>
        <v>25716.799999999999</v>
      </c>
      <c r="F14" s="12" t="s">
        <v>1359</v>
      </c>
      <c r="G14" s="12">
        <v>60411</v>
      </c>
      <c r="H14" s="12">
        <v>400</v>
      </c>
      <c r="I14" s="12">
        <v>17459.099999999999</v>
      </c>
      <c r="J14" s="877">
        <f t="shared" si="2"/>
        <v>0</v>
      </c>
      <c r="K14" s="879">
        <f t="shared" si="3"/>
        <v>3.3929376408715281E-2</v>
      </c>
    </row>
    <row r="15" spans="1:11" ht="15" thickBot="1" x14ac:dyDescent="0.35">
      <c r="A15" s="874"/>
      <c r="B15" s="874"/>
      <c r="C15" s="874"/>
      <c r="D15" s="874"/>
      <c r="E15" s="874"/>
      <c r="F15" s="10" t="s">
        <v>1359</v>
      </c>
      <c r="G15" s="10">
        <v>60411</v>
      </c>
      <c r="H15" s="10">
        <v>187</v>
      </c>
      <c r="I15" s="10">
        <v>8257.7000000000007</v>
      </c>
      <c r="J15" s="878"/>
      <c r="K15" s="880"/>
    </row>
    <row r="16" spans="1:11" ht="15" thickBot="1" x14ac:dyDescent="0.35">
      <c r="A16" s="175">
        <v>222</v>
      </c>
      <c r="B16" s="8">
        <v>9752.25</v>
      </c>
      <c r="C16" s="8" t="s">
        <v>1360</v>
      </c>
      <c r="D16" s="8">
        <f t="shared" ref="D16:E19" si="4">+H16</f>
        <v>222</v>
      </c>
      <c r="E16" s="8">
        <f t="shared" si="4"/>
        <v>9429</v>
      </c>
      <c r="F16" s="8" t="s">
        <v>1361</v>
      </c>
      <c r="G16" s="8">
        <v>60491</v>
      </c>
      <c r="H16" s="8">
        <v>222</v>
      </c>
      <c r="I16" s="8">
        <v>9429</v>
      </c>
      <c r="J16" s="52">
        <f t="shared" si="2"/>
        <v>0</v>
      </c>
      <c r="K16" s="33">
        <f t="shared" si="3"/>
        <v>3.3146197031454279E-2</v>
      </c>
    </row>
    <row r="17" spans="1:11" ht="15" thickBot="1" x14ac:dyDescent="0.35">
      <c r="A17" s="174">
        <v>97</v>
      </c>
      <c r="B17" s="12">
        <v>4320.25</v>
      </c>
      <c r="C17" s="12" t="s">
        <v>1362</v>
      </c>
      <c r="D17" s="12">
        <f t="shared" si="4"/>
        <v>97</v>
      </c>
      <c r="E17" s="12">
        <f t="shared" si="4"/>
        <v>4121.7</v>
      </c>
      <c r="F17" s="12" t="s">
        <v>1363</v>
      </c>
      <c r="G17" s="12">
        <v>60501</v>
      </c>
      <c r="H17" s="12">
        <v>97</v>
      </c>
      <c r="I17" s="12">
        <v>4121.7</v>
      </c>
      <c r="J17" s="52">
        <f t="shared" si="2"/>
        <v>0</v>
      </c>
      <c r="K17" s="33">
        <f t="shared" si="3"/>
        <v>4.595798854232977E-2</v>
      </c>
    </row>
    <row r="18" spans="1:11" ht="15" thickBot="1" x14ac:dyDescent="0.35">
      <c r="A18" s="175">
        <v>951</v>
      </c>
      <c r="B18" s="8">
        <v>43071</v>
      </c>
      <c r="C18" s="8" t="s">
        <v>1364</v>
      </c>
      <c r="D18" s="8">
        <f t="shared" si="4"/>
        <v>951</v>
      </c>
      <c r="E18" s="8">
        <f t="shared" si="4"/>
        <v>41019.300000000003</v>
      </c>
      <c r="F18" s="8" t="s">
        <v>1365</v>
      </c>
      <c r="G18" s="8">
        <v>60591</v>
      </c>
      <c r="H18" s="8">
        <v>951</v>
      </c>
      <c r="I18" s="8">
        <v>41019.300000000003</v>
      </c>
      <c r="J18" s="52">
        <f t="shared" si="2"/>
        <v>0</v>
      </c>
      <c r="K18" s="33">
        <f t="shared" si="3"/>
        <v>4.7635299853729822E-2</v>
      </c>
    </row>
    <row r="19" spans="1:11" ht="15" thickBot="1" x14ac:dyDescent="0.35">
      <c r="A19" s="175">
        <v>339</v>
      </c>
      <c r="B19" s="8">
        <v>15262.25</v>
      </c>
      <c r="C19" s="8" t="s">
        <v>1366</v>
      </c>
      <c r="D19" s="8">
        <f t="shared" si="4"/>
        <v>339</v>
      </c>
      <c r="E19" s="8">
        <f t="shared" si="4"/>
        <v>14776.4</v>
      </c>
      <c r="F19" s="8" t="s">
        <v>1367</v>
      </c>
      <c r="G19" s="8">
        <v>60601</v>
      </c>
      <c r="H19" s="8">
        <v>339</v>
      </c>
      <c r="I19" s="8">
        <v>14776.4</v>
      </c>
      <c r="J19" s="52">
        <f t="shared" si="2"/>
        <v>0</v>
      </c>
      <c r="K19" s="33">
        <f t="shared" si="3"/>
        <v>3.1833445265278731E-2</v>
      </c>
    </row>
    <row r="20" spans="1:11" ht="15" thickBot="1" x14ac:dyDescent="0.35">
      <c r="A20" s="174">
        <v>394</v>
      </c>
      <c r="B20" s="12">
        <v>17068.5</v>
      </c>
      <c r="C20" s="12" t="s">
        <v>1580</v>
      </c>
      <c r="D20" s="12">
        <f>+H20</f>
        <v>392</v>
      </c>
      <c r="E20" s="12">
        <f>+I20</f>
        <v>16451.2</v>
      </c>
      <c r="F20" s="12" t="s">
        <v>1581</v>
      </c>
      <c r="G20" s="12">
        <v>60641</v>
      </c>
      <c r="H20" s="12">
        <v>392</v>
      </c>
      <c r="I20" s="12">
        <v>16451.2</v>
      </c>
      <c r="J20" s="52">
        <f t="shared" si="2"/>
        <v>2</v>
      </c>
      <c r="K20" s="138">
        <f t="shared" ref="K20:K21" si="5">+((B20/A20)-(E20/D20))/(B20/A20)</f>
        <v>3.1248516631364701E-2</v>
      </c>
    </row>
    <row r="21" spans="1:11" x14ac:dyDescent="0.3">
      <c r="A21" s="873">
        <v>744</v>
      </c>
      <c r="B21" s="873">
        <v>32727.25</v>
      </c>
      <c r="C21" s="873" t="s">
        <v>1582</v>
      </c>
      <c r="D21" s="873">
        <f>+H21+H22</f>
        <v>740</v>
      </c>
      <c r="E21" s="873">
        <f>+I21+I22</f>
        <v>31404.400000000001</v>
      </c>
      <c r="F21" s="12" t="s">
        <v>1583</v>
      </c>
      <c r="G21" s="12">
        <v>60651</v>
      </c>
      <c r="H21" s="12">
        <v>641</v>
      </c>
      <c r="I21" s="12">
        <v>27190.9</v>
      </c>
      <c r="J21" s="877">
        <f t="shared" si="2"/>
        <v>4</v>
      </c>
      <c r="K21" s="879">
        <f t="shared" si="5"/>
        <v>3.5233528221481542E-2</v>
      </c>
    </row>
    <row r="22" spans="1:11" ht="15" thickBot="1" x14ac:dyDescent="0.35">
      <c r="A22" s="874"/>
      <c r="B22" s="874"/>
      <c r="C22" s="874"/>
      <c r="D22" s="874"/>
      <c r="E22" s="874"/>
      <c r="F22" s="10" t="s">
        <v>1583</v>
      </c>
      <c r="G22" s="10">
        <v>60651</v>
      </c>
      <c r="H22" s="10">
        <v>99</v>
      </c>
      <c r="I22" s="10">
        <v>4213.5</v>
      </c>
      <c r="J22" s="878"/>
      <c r="K22" s="880"/>
    </row>
    <row r="23" spans="1:11" ht="15" thickBot="1" x14ac:dyDescent="0.35">
      <c r="A23" s="175">
        <v>303</v>
      </c>
      <c r="B23" s="8">
        <v>13113.25</v>
      </c>
      <c r="C23" s="8" t="s">
        <v>1468</v>
      </c>
      <c r="D23" s="8">
        <f>+H23</f>
        <v>303</v>
      </c>
      <c r="E23" s="8">
        <f>+I23</f>
        <v>12680.6</v>
      </c>
      <c r="F23" s="8" t="s">
        <v>1469</v>
      </c>
      <c r="G23" s="8">
        <v>60661</v>
      </c>
      <c r="H23" s="8">
        <v>303</v>
      </c>
      <c r="I23" s="8">
        <v>12680.6</v>
      </c>
      <c r="J23" s="52">
        <f t="shared" ref="J23:J28" si="6">+A23-D23</f>
        <v>0</v>
      </c>
      <c r="K23" s="33">
        <f t="shared" ref="K23:K24" si="7">(+B23-E23)/B23</f>
        <v>3.2993346424418021E-2</v>
      </c>
    </row>
    <row r="24" spans="1:11" ht="15" thickBot="1" x14ac:dyDescent="0.35">
      <c r="A24" s="175">
        <v>320</v>
      </c>
      <c r="B24" s="8">
        <v>14056.25</v>
      </c>
      <c r="C24" s="8" t="s">
        <v>1565</v>
      </c>
      <c r="D24" s="8">
        <f t="shared" ref="D24:E25" si="8">+H24</f>
        <v>320</v>
      </c>
      <c r="E24" s="8">
        <f t="shared" si="8"/>
        <v>13514.2</v>
      </c>
      <c r="F24" s="8" t="s">
        <v>1566</v>
      </c>
      <c r="G24" s="8">
        <v>60691</v>
      </c>
      <c r="H24" s="8">
        <v>320</v>
      </c>
      <c r="I24" s="8">
        <v>13514.2</v>
      </c>
      <c r="J24" s="52">
        <f t="shared" si="6"/>
        <v>0</v>
      </c>
      <c r="K24" s="33">
        <f t="shared" si="7"/>
        <v>3.8562916851934144E-2</v>
      </c>
    </row>
    <row r="25" spans="1:11" ht="15" thickBot="1" x14ac:dyDescent="0.35">
      <c r="A25" s="175">
        <v>273</v>
      </c>
      <c r="B25" s="8">
        <v>12117.25</v>
      </c>
      <c r="C25" s="8" t="s">
        <v>1567</v>
      </c>
      <c r="D25" s="8">
        <f t="shared" si="8"/>
        <v>263</v>
      </c>
      <c r="E25" s="8">
        <f t="shared" si="8"/>
        <v>11156.599999999999</v>
      </c>
      <c r="F25" s="8" t="s">
        <v>1568</v>
      </c>
      <c r="G25" s="8">
        <v>60701</v>
      </c>
      <c r="H25" s="8">
        <v>263</v>
      </c>
      <c r="I25" s="9">
        <v>11156.599999999999</v>
      </c>
      <c r="J25" s="52">
        <f t="shared" si="6"/>
        <v>10</v>
      </c>
      <c r="K25" s="138">
        <f>+((B25/A25)-(E25/D25))/(B25/A25)</f>
        <v>4.4271156970936892E-2</v>
      </c>
    </row>
    <row r="26" spans="1:11" x14ac:dyDescent="0.3">
      <c r="A26" s="871">
        <v>975</v>
      </c>
      <c r="B26" s="873">
        <v>40813.5</v>
      </c>
      <c r="C26" s="873" t="s">
        <v>1645</v>
      </c>
      <c r="D26" s="873">
        <f>+H26+H27</f>
        <v>920</v>
      </c>
      <c r="E26" s="873">
        <f>+I26+I27</f>
        <v>36231.1</v>
      </c>
      <c r="F26" s="12" t="s">
        <v>1646</v>
      </c>
      <c r="G26" s="12">
        <v>60781</v>
      </c>
      <c r="H26" s="12">
        <v>800</v>
      </c>
      <c r="I26" s="12">
        <v>31313.9</v>
      </c>
      <c r="J26" s="877">
        <f t="shared" si="6"/>
        <v>55</v>
      </c>
      <c r="K26" s="879">
        <f t="shared" ref="K26" si="9">+((B26/A26)-(E26/D26))/(B26/A26)</f>
        <v>5.9206153015226755E-2</v>
      </c>
    </row>
    <row r="27" spans="1:11" ht="15" thickBot="1" x14ac:dyDescent="0.35">
      <c r="A27" s="872"/>
      <c r="B27" s="874"/>
      <c r="C27" s="874"/>
      <c r="D27" s="874"/>
      <c r="E27" s="874"/>
      <c r="F27" s="10" t="s">
        <v>1646</v>
      </c>
      <c r="G27" s="10">
        <v>60781</v>
      </c>
      <c r="H27" s="10">
        <v>120</v>
      </c>
      <c r="I27" s="10">
        <v>4917.2</v>
      </c>
      <c r="J27" s="878"/>
      <c r="K27" s="880"/>
    </row>
    <row r="28" spans="1:11" ht="15" thickBot="1" x14ac:dyDescent="0.35">
      <c r="A28" s="175">
        <v>950</v>
      </c>
      <c r="B28" s="8">
        <v>42101.8</v>
      </c>
      <c r="C28" s="8" t="s">
        <v>1647</v>
      </c>
      <c r="D28" s="8">
        <f>+H28</f>
        <v>950</v>
      </c>
      <c r="E28" s="8">
        <f>+I28</f>
        <v>40026.400000000001</v>
      </c>
      <c r="F28" s="8" t="s">
        <v>1648</v>
      </c>
      <c r="G28" s="8">
        <v>60811</v>
      </c>
      <c r="H28" s="8">
        <v>950</v>
      </c>
      <c r="I28" s="8">
        <v>40026.400000000001</v>
      </c>
      <c r="J28" s="52">
        <f t="shared" si="6"/>
        <v>0</v>
      </c>
      <c r="K28" s="33">
        <f t="shared" ref="K28" si="10">(+B28-E28)/B28</f>
        <v>4.9294804497669965E-2</v>
      </c>
    </row>
    <row r="29" spans="1:11" x14ac:dyDescent="0.3">
      <c r="A29" s="871">
        <v>1891</v>
      </c>
      <c r="B29" s="873">
        <v>81409.5</v>
      </c>
      <c r="C29" s="873" t="s">
        <v>1753</v>
      </c>
      <c r="D29" s="873">
        <v>1876</v>
      </c>
      <c r="E29" s="873">
        <v>76856.399999999994</v>
      </c>
      <c r="F29" s="12" t="s">
        <v>1754</v>
      </c>
      <c r="G29" s="12">
        <v>60981</v>
      </c>
      <c r="H29" s="12">
        <v>330</v>
      </c>
      <c r="I29" s="12">
        <v>13708.5</v>
      </c>
      <c r="J29" s="877">
        <f t="shared" ref="J29" si="11">+A29-D29</f>
        <v>15</v>
      </c>
      <c r="K29" s="879">
        <f>+((B29/A29)-(E29/D29))/(B29/A29)</f>
        <v>4.8379814958232382E-2</v>
      </c>
    </row>
    <row r="30" spans="1:11" x14ac:dyDescent="0.3">
      <c r="A30" s="875"/>
      <c r="B30" s="881"/>
      <c r="C30" s="881"/>
      <c r="D30" s="881"/>
      <c r="E30" s="881"/>
      <c r="F30" s="15" t="s">
        <v>1754</v>
      </c>
      <c r="G30" s="15">
        <v>60981</v>
      </c>
      <c r="H30" s="15">
        <v>600</v>
      </c>
      <c r="I30" s="15">
        <v>24414.6</v>
      </c>
      <c r="J30" s="886"/>
      <c r="K30" s="885"/>
    </row>
    <row r="31" spans="1:11" ht="15" thickBot="1" x14ac:dyDescent="0.35">
      <c r="A31" s="872"/>
      <c r="B31" s="874"/>
      <c r="C31" s="874"/>
      <c r="D31" s="874"/>
      <c r="E31" s="874"/>
      <c r="F31" s="10" t="s">
        <v>1754</v>
      </c>
      <c r="G31" s="10">
        <v>60981</v>
      </c>
      <c r="H31" s="10">
        <v>171</v>
      </c>
      <c r="I31" s="10">
        <v>7057.6</v>
      </c>
      <c r="J31" s="878"/>
      <c r="K31" s="880"/>
    </row>
    <row r="32" spans="1:11" ht="15" thickBot="1" x14ac:dyDescent="0.35">
      <c r="A32" s="175">
        <v>350</v>
      </c>
      <c r="B32" s="8">
        <v>18523.5</v>
      </c>
      <c r="C32" s="8" t="s">
        <v>1995</v>
      </c>
      <c r="D32" s="8">
        <f>+H32</f>
        <v>348</v>
      </c>
      <c r="E32" s="8">
        <f>+I32</f>
        <v>16582.2</v>
      </c>
      <c r="F32" s="8" t="s">
        <v>1996</v>
      </c>
      <c r="G32" s="8">
        <v>61071</v>
      </c>
      <c r="H32" s="8">
        <v>348</v>
      </c>
      <c r="I32" s="8">
        <v>16582.2</v>
      </c>
      <c r="J32" s="52">
        <f t="shared" ref="J32" si="12">+A32-D32</f>
        <v>2</v>
      </c>
      <c r="K32" s="138">
        <f>+((B32/A32)-(E32/D32))/(B32/A32)</f>
        <v>9.9657192215294149E-2</v>
      </c>
    </row>
    <row r="33" spans="1:11" ht="15" thickBot="1" x14ac:dyDescent="0.35">
      <c r="A33" s="175">
        <v>2529</v>
      </c>
      <c r="B33" s="8">
        <v>115609.60000000001</v>
      </c>
      <c r="C33" s="8" t="s">
        <v>1852</v>
      </c>
      <c r="D33" s="8">
        <v>2528</v>
      </c>
      <c r="E33" s="8">
        <v>110401.60000000001</v>
      </c>
      <c r="F33" s="8" t="s">
        <v>1853</v>
      </c>
      <c r="G33" s="8">
        <v>61191</v>
      </c>
      <c r="H33" s="8">
        <v>468</v>
      </c>
      <c r="I33" s="8">
        <v>20413</v>
      </c>
      <c r="J33" s="52">
        <f t="shared" ref="J33:J41" si="13">+A33-D33</f>
        <v>1</v>
      </c>
      <c r="K33" s="138">
        <f>+((B33/A33)-(E33/D33))/(B33/A33)</f>
        <v>4.4670412154463469E-2</v>
      </c>
    </row>
    <row r="34" spans="1:11" x14ac:dyDescent="0.3">
      <c r="A34" s="871">
        <v>813</v>
      </c>
      <c r="B34" s="873">
        <v>38733.25</v>
      </c>
      <c r="C34" s="873" t="s">
        <v>1997</v>
      </c>
      <c r="D34" s="873">
        <f>+H34+H35</f>
        <v>813</v>
      </c>
      <c r="E34" s="873">
        <f>+I34+I35</f>
        <v>36448.600000000006</v>
      </c>
      <c r="F34" s="12" t="s">
        <v>1998</v>
      </c>
      <c r="G34" s="12">
        <v>61421</v>
      </c>
      <c r="H34" s="12">
        <v>202</v>
      </c>
      <c r="I34" s="12">
        <v>8761.2000000000007</v>
      </c>
      <c r="J34" s="877">
        <f t="shared" si="13"/>
        <v>0</v>
      </c>
      <c r="K34" s="879">
        <f t="shared" ref="K34:K36" si="14">(+B34-E34)/B34</f>
        <v>5.898420607617471E-2</v>
      </c>
    </row>
    <row r="35" spans="1:11" ht="15" thickBot="1" x14ac:dyDescent="0.35">
      <c r="A35" s="872"/>
      <c r="B35" s="874"/>
      <c r="C35" s="874"/>
      <c r="D35" s="874"/>
      <c r="E35" s="874"/>
      <c r="F35" s="10" t="s">
        <v>1998</v>
      </c>
      <c r="G35" s="10">
        <v>61421</v>
      </c>
      <c r="H35" s="10">
        <v>611</v>
      </c>
      <c r="I35" s="10">
        <v>27687.4</v>
      </c>
      <c r="J35" s="878"/>
      <c r="K35" s="880"/>
    </row>
    <row r="36" spans="1:11" x14ac:dyDescent="0.3">
      <c r="A36" s="871">
        <v>615</v>
      </c>
      <c r="B36" s="873">
        <v>30023.75</v>
      </c>
      <c r="C36" s="873" t="s">
        <v>2130</v>
      </c>
      <c r="D36" s="873">
        <f>+H36+H37</f>
        <v>615</v>
      </c>
      <c r="E36" s="873">
        <f>+I36+I37</f>
        <v>28629.699999999997</v>
      </c>
      <c r="F36" s="12" t="s">
        <v>2131</v>
      </c>
      <c r="G36" s="12">
        <v>61431</v>
      </c>
      <c r="H36" s="12">
        <v>400</v>
      </c>
      <c r="I36" s="12">
        <v>18784.099999999999</v>
      </c>
      <c r="J36" s="877">
        <f t="shared" si="13"/>
        <v>0</v>
      </c>
      <c r="K36" s="879">
        <f t="shared" si="14"/>
        <v>4.6431575003122623E-2</v>
      </c>
    </row>
    <row r="37" spans="1:11" ht="15" thickBot="1" x14ac:dyDescent="0.35">
      <c r="A37" s="872"/>
      <c r="B37" s="874"/>
      <c r="C37" s="874"/>
      <c r="D37" s="874"/>
      <c r="E37" s="874"/>
      <c r="F37" s="10" t="s">
        <v>2131</v>
      </c>
      <c r="G37" s="10">
        <v>61431</v>
      </c>
      <c r="H37" s="10">
        <v>215</v>
      </c>
      <c r="I37" s="10">
        <v>9845.6</v>
      </c>
      <c r="J37" s="878"/>
      <c r="K37" s="880"/>
    </row>
    <row r="38" spans="1:11" ht="15" thickBot="1" x14ac:dyDescent="0.35">
      <c r="A38" s="175">
        <v>520</v>
      </c>
      <c r="B38" s="8">
        <v>25364</v>
      </c>
      <c r="C38" s="8" t="s">
        <v>2132</v>
      </c>
      <c r="D38" s="8">
        <f t="shared" ref="D38:E40" si="15">+H38</f>
        <v>520</v>
      </c>
      <c r="E38" s="8">
        <f t="shared" si="15"/>
        <v>24261.3</v>
      </c>
      <c r="F38" s="8" t="s">
        <v>2133</v>
      </c>
      <c r="G38" s="8">
        <v>61551</v>
      </c>
      <c r="H38" s="8">
        <v>520</v>
      </c>
      <c r="I38" s="8">
        <v>24261.3</v>
      </c>
      <c r="J38" s="52">
        <f t="shared" si="13"/>
        <v>0</v>
      </c>
      <c r="K38" s="33">
        <f t="shared" ref="K38:K40" si="16">(+B38-E38)/B38</f>
        <v>4.3475003942595833E-2</v>
      </c>
    </row>
    <row r="39" spans="1:11" ht="15" thickBot="1" x14ac:dyDescent="0.35">
      <c r="A39" s="175">
        <v>311</v>
      </c>
      <c r="B39" s="8">
        <v>14506</v>
      </c>
      <c r="C39" s="8" t="s">
        <v>2134</v>
      </c>
      <c r="D39" s="8">
        <f t="shared" si="15"/>
        <v>311</v>
      </c>
      <c r="E39" s="8">
        <f t="shared" si="15"/>
        <v>13736.2</v>
      </c>
      <c r="F39" s="8" t="s">
        <v>2135</v>
      </c>
      <c r="G39" s="8">
        <v>61581</v>
      </c>
      <c r="H39" s="8">
        <v>311</v>
      </c>
      <c r="I39" s="8">
        <v>13736.2</v>
      </c>
      <c r="J39" s="52">
        <f t="shared" si="13"/>
        <v>0</v>
      </c>
      <c r="K39" s="33">
        <f t="shared" si="16"/>
        <v>5.3067696125741019E-2</v>
      </c>
    </row>
    <row r="40" spans="1:11" ht="15" thickBot="1" x14ac:dyDescent="0.35">
      <c r="A40" s="175">
        <v>224</v>
      </c>
      <c r="B40" s="8">
        <v>10580.75</v>
      </c>
      <c r="C40" s="8" t="s">
        <v>2136</v>
      </c>
      <c r="D40" s="8">
        <f t="shared" si="15"/>
        <v>224</v>
      </c>
      <c r="E40" s="8">
        <f t="shared" si="15"/>
        <v>9887.5</v>
      </c>
      <c r="F40" s="8" t="s">
        <v>2137</v>
      </c>
      <c r="G40" s="8">
        <v>61651</v>
      </c>
      <c r="H40" s="8">
        <v>224</v>
      </c>
      <c r="I40" s="8">
        <v>9887.5</v>
      </c>
      <c r="J40" s="52">
        <f t="shared" si="13"/>
        <v>0</v>
      </c>
      <c r="K40" s="33">
        <f t="shared" si="16"/>
        <v>6.5519930061668591E-2</v>
      </c>
    </row>
    <row r="41" spans="1:11" x14ac:dyDescent="0.3">
      <c r="A41" s="871">
        <v>1420</v>
      </c>
      <c r="B41" s="873">
        <v>63542.1</v>
      </c>
      <c r="C41" s="873" t="s">
        <v>2138</v>
      </c>
      <c r="D41" s="873">
        <f>+H41+H42+H43+450</f>
        <v>1421</v>
      </c>
      <c r="E41" s="873">
        <f>+I41+I42+I43+18875.4</f>
        <v>60780.700000000004</v>
      </c>
      <c r="F41" s="12" t="s">
        <v>2139</v>
      </c>
      <c r="G41" s="12">
        <v>61661</v>
      </c>
      <c r="H41" s="12">
        <v>504</v>
      </c>
      <c r="I41" s="12">
        <v>21689.8</v>
      </c>
      <c r="J41" s="877">
        <f t="shared" si="13"/>
        <v>-1</v>
      </c>
      <c r="K41" s="879">
        <f>+((B41/A41)-(E41/D41))/(B41/A41)</f>
        <v>4.4130949211559682E-2</v>
      </c>
    </row>
    <row r="42" spans="1:11" x14ac:dyDescent="0.3">
      <c r="A42" s="875"/>
      <c r="B42" s="881"/>
      <c r="C42" s="881"/>
      <c r="D42" s="881"/>
      <c r="E42" s="881"/>
      <c r="F42" s="15" t="s">
        <v>2139</v>
      </c>
      <c r="G42" s="15">
        <v>61661</v>
      </c>
      <c r="H42" s="15">
        <v>250</v>
      </c>
      <c r="I42" s="15">
        <v>10861.3</v>
      </c>
      <c r="J42" s="886"/>
      <c r="K42" s="885"/>
    </row>
    <row r="43" spans="1:11" ht="15" thickBot="1" x14ac:dyDescent="0.35">
      <c r="A43" s="872"/>
      <c r="B43" s="874"/>
      <c r="C43" s="874"/>
      <c r="D43" s="874"/>
      <c r="E43" s="874"/>
      <c r="F43" s="10" t="s">
        <v>2139</v>
      </c>
      <c r="G43" s="10">
        <v>61661</v>
      </c>
      <c r="H43" s="10">
        <v>217</v>
      </c>
      <c r="I43" s="10">
        <v>9354.2000000000007</v>
      </c>
      <c r="J43" s="878"/>
      <c r="K43" s="880"/>
    </row>
    <row r="44" spans="1:11" ht="15" thickBot="1" x14ac:dyDescent="0.35">
      <c r="A44" s="175">
        <v>503</v>
      </c>
      <c r="B44" s="8">
        <v>22761.5</v>
      </c>
      <c r="C44" s="8" t="s">
        <v>2250</v>
      </c>
      <c r="D44" s="8">
        <f t="shared" ref="D44:E44" si="17">+H44</f>
        <v>488</v>
      </c>
      <c r="E44" s="8">
        <f t="shared" si="17"/>
        <v>21061.7</v>
      </c>
      <c r="F44" s="8" t="s">
        <v>2251</v>
      </c>
      <c r="G44" s="8">
        <v>61691</v>
      </c>
      <c r="H44" s="8">
        <v>488</v>
      </c>
      <c r="I44" s="8">
        <v>21061.7</v>
      </c>
      <c r="J44" s="52">
        <f t="shared" ref="J44:J45" si="18">+A44-D44</f>
        <v>15</v>
      </c>
      <c r="K44" s="138">
        <f>+((B44/A44)-(E44/D44))/(B44/A44)</f>
        <v>4.6236481792846104E-2</v>
      </c>
    </row>
    <row r="45" spans="1:11" x14ac:dyDescent="0.3">
      <c r="A45" s="871">
        <v>982</v>
      </c>
      <c r="B45" s="873">
        <v>43548.4</v>
      </c>
      <c r="C45" s="873" t="s">
        <v>2252</v>
      </c>
      <c r="D45" s="873">
        <f>+H45+H46</f>
        <v>982</v>
      </c>
      <c r="E45" s="873">
        <f>+I45+I46</f>
        <v>41797.699999999997</v>
      </c>
      <c r="F45" s="12" t="s">
        <v>2253</v>
      </c>
      <c r="G45" s="12">
        <v>61741</v>
      </c>
      <c r="H45" s="12">
        <v>600</v>
      </c>
      <c r="I45" s="12">
        <v>24146.5</v>
      </c>
      <c r="J45" s="877">
        <f t="shared" si="18"/>
        <v>0</v>
      </c>
      <c r="K45" s="879">
        <f t="shared" ref="K45" si="19">(+B45-E45)/B45</f>
        <v>4.0201247347778662E-2</v>
      </c>
    </row>
    <row r="46" spans="1:11" ht="15" thickBot="1" x14ac:dyDescent="0.35">
      <c r="A46" s="872"/>
      <c r="B46" s="874"/>
      <c r="C46" s="874"/>
      <c r="D46" s="874"/>
      <c r="E46" s="874"/>
      <c r="F46" s="10" t="s">
        <v>2253</v>
      </c>
      <c r="G46" s="10">
        <v>61741</v>
      </c>
      <c r="H46" s="10">
        <v>382</v>
      </c>
      <c r="I46" s="10">
        <v>17651.2</v>
      </c>
      <c r="J46" s="878"/>
      <c r="K46" s="880"/>
    </row>
    <row r="47" spans="1:11" ht="15" thickBot="1" x14ac:dyDescent="0.35">
      <c r="A47" s="175">
        <v>499</v>
      </c>
      <c r="B47" s="8">
        <v>24018.5</v>
      </c>
      <c r="C47" s="8" t="s">
        <v>2254</v>
      </c>
      <c r="D47" s="8">
        <f>+H47</f>
        <v>499</v>
      </c>
      <c r="E47" s="8">
        <f>+I47</f>
        <v>22766.1</v>
      </c>
      <c r="F47" s="8" t="s">
        <v>2255</v>
      </c>
      <c r="G47" s="8">
        <v>61771</v>
      </c>
      <c r="H47" s="8">
        <v>499</v>
      </c>
      <c r="I47" s="8">
        <v>22766.1</v>
      </c>
      <c r="J47" s="52">
        <f t="shared" ref="J47:J53" si="20">+A47-D47</f>
        <v>0</v>
      </c>
      <c r="K47" s="33">
        <f t="shared" ref="K47:K49" si="21">(+B47-E47)/B47</f>
        <v>5.2143139663176359E-2</v>
      </c>
    </row>
    <row r="48" spans="1:11" ht="15" thickBot="1" x14ac:dyDescent="0.35">
      <c r="A48" s="175">
        <v>100</v>
      </c>
      <c r="B48" s="8">
        <v>4594</v>
      </c>
      <c r="C48" s="8" t="s">
        <v>2256</v>
      </c>
      <c r="D48" s="8">
        <f>+H48</f>
        <v>100</v>
      </c>
      <c r="E48" s="8">
        <f>+I48</f>
        <v>4401.3999999999996</v>
      </c>
      <c r="F48" s="8" t="s">
        <v>2257</v>
      </c>
      <c r="G48" s="8">
        <v>61801</v>
      </c>
      <c r="H48" s="8">
        <v>100</v>
      </c>
      <c r="I48" s="8">
        <v>4401.3999999999996</v>
      </c>
      <c r="J48" s="52">
        <f t="shared" si="20"/>
        <v>0</v>
      </c>
      <c r="K48" s="33">
        <f t="shared" si="21"/>
        <v>4.1924249020461553E-2</v>
      </c>
    </row>
    <row r="49" spans="1:11" x14ac:dyDescent="0.3">
      <c r="A49" s="871">
        <v>916</v>
      </c>
      <c r="B49" s="873">
        <v>39454.269999999997</v>
      </c>
      <c r="C49" s="873" t="s">
        <v>2258</v>
      </c>
      <c r="D49" s="873">
        <v>916</v>
      </c>
      <c r="E49" s="873">
        <v>37535.599999999999</v>
      </c>
      <c r="F49" s="12" t="s">
        <v>2259</v>
      </c>
      <c r="G49" s="12">
        <v>61811</v>
      </c>
      <c r="H49" s="12">
        <v>200</v>
      </c>
      <c r="I49" s="12">
        <v>8469.9</v>
      </c>
      <c r="J49" s="877">
        <f t="shared" si="20"/>
        <v>0</v>
      </c>
      <c r="K49" s="879">
        <f t="shared" si="21"/>
        <v>4.8630224307787177E-2</v>
      </c>
    </row>
    <row r="50" spans="1:11" ht="15" thickBot="1" x14ac:dyDescent="0.35">
      <c r="A50" s="872"/>
      <c r="B50" s="874"/>
      <c r="C50" s="874"/>
      <c r="D50" s="874"/>
      <c r="E50" s="874"/>
      <c r="F50" s="10" t="s">
        <v>2259</v>
      </c>
      <c r="G50" s="10">
        <v>61811</v>
      </c>
      <c r="H50" s="10">
        <v>452</v>
      </c>
      <c r="I50" s="10">
        <v>18981.2</v>
      </c>
      <c r="J50" s="878"/>
      <c r="K50" s="880"/>
    </row>
    <row r="51" spans="1:11" ht="15" thickBot="1" x14ac:dyDescent="0.35">
      <c r="A51" s="175">
        <v>121</v>
      </c>
      <c r="B51" s="8">
        <v>5308.5</v>
      </c>
      <c r="C51" s="8" t="s">
        <v>2460</v>
      </c>
      <c r="D51" s="8">
        <f>+H51</f>
        <v>121</v>
      </c>
      <c r="E51" s="8">
        <f>+I51</f>
        <v>4951.3</v>
      </c>
      <c r="F51" s="8" t="s">
        <v>2461</v>
      </c>
      <c r="G51" s="8">
        <v>61831</v>
      </c>
      <c r="H51" s="8">
        <v>121</v>
      </c>
      <c r="I51" s="8">
        <v>4951.3</v>
      </c>
      <c r="J51" s="52">
        <f t="shared" si="20"/>
        <v>0</v>
      </c>
      <c r="K51" s="33">
        <f t="shared" ref="K51:K53" si="22">(+B51-E51)/B51</f>
        <v>6.7288311199020401E-2</v>
      </c>
    </row>
    <row r="52" spans="1:11" ht="15" thickBot="1" x14ac:dyDescent="0.35">
      <c r="A52" s="174">
        <v>310</v>
      </c>
      <c r="B52" s="12">
        <v>14016.5</v>
      </c>
      <c r="C52" s="12" t="s">
        <v>2462</v>
      </c>
      <c r="D52" s="12">
        <f>+H52</f>
        <v>310</v>
      </c>
      <c r="E52" s="12">
        <f>+I52</f>
        <v>13278.599999999999</v>
      </c>
      <c r="F52" s="12" t="s">
        <v>2463</v>
      </c>
      <c r="G52" s="12">
        <v>61841</v>
      </c>
      <c r="H52" s="12">
        <v>310</v>
      </c>
      <c r="I52" s="12">
        <v>13278.599999999999</v>
      </c>
      <c r="J52" s="52">
        <f t="shared" si="20"/>
        <v>0</v>
      </c>
      <c r="K52" s="33">
        <f t="shared" si="22"/>
        <v>5.2645096850141009E-2</v>
      </c>
    </row>
    <row r="53" spans="1:11" x14ac:dyDescent="0.3">
      <c r="A53" s="871">
        <v>900</v>
      </c>
      <c r="B53" s="873">
        <v>38235.800000000003</v>
      </c>
      <c r="C53" s="873" t="s">
        <v>2464</v>
      </c>
      <c r="D53" s="873">
        <f>+H53+H54+H55</f>
        <v>900</v>
      </c>
      <c r="E53" s="873">
        <f>+I53+I54+I55</f>
        <v>36471.399999999994</v>
      </c>
      <c r="F53" s="12" t="s">
        <v>2465</v>
      </c>
      <c r="G53" s="12">
        <v>61871</v>
      </c>
      <c r="H53" s="12">
        <v>400</v>
      </c>
      <c r="I53" s="12">
        <v>16143.8</v>
      </c>
      <c r="J53" s="877">
        <f t="shared" si="20"/>
        <v>0</v>
      </c>
      <c r="K53" s="879">
        <f t="shared" si="22"/>
        <v>4.6145235616882829E-2</v>
      </c>
    </row>
    <row r="54" spans="1:11" x14ac:dyDescent="0.3">
      <c r="A54" s="875"/>
      <c r="B54" s="881"/>
      <c r="C54" s="881"/>
      <c r="D54" s="881"/>
      <c r="E54" s="881"/>
      <c r="F54" s="15" t="s">
        <v>2465</v>
      </c>
      <c r="G54" s="15">
        <v>61871</v>
      </c>
      <c r="H54" s="15">
        <v>60</v>
      </c>
      <c r="I54" s="15">
        <v>2472.6</v>
      </c>
      <c r="J54" s="886"/>
      <c r="K54" s="885"/>
    </row>
    <row r="55" spans="1:11" ht="15" thickBot="1" x14ac:dyDescent="0.35">
      <c r="A55" s="872"/>
      <c r="B55" s="874"/>
      <c r="C55" s="874"/>
      <c r="D55" s="874"/>
      <c r="E55" s="874"/>
      <c r="F55" s="10" t="s">
        <v>2465</v>
      </c>
      <c r="G55" s="10">
        <v>61871</v>
      </c>
      <c r="H55" s="10">
        <v>440</v>
      </c>
      <c r="I55" s="10">
        <v>17855</v>
      </c>
      <c r="J55" s="878"/>
      <c r="K55" s="880"/>
    </row>
    <row r="56" spans="1:11" x14ac:dyDescent="0.3">
      <c r="A56" s="871">
        <v>767</v>
      </c>
      <c r="B56" s="873">
        <v>35687.75</v>
      </c>
      <c r="C56" s="873" t="s">
        <v>2574</v>
      </c>
      <c r="D56" s="873">
        <f>+H56+H57</f>
        <v>768</v>
      </c>
      <c r="E56" s="873">
        <f>+I56+I57</f>
        <v>31856.75</v>
      </c>
      <c r="F56" s="12" t="s">
        <v>2575</v>
      </c>
      <c r="G56" s="12">
        <v>61911</v>
      </c>
      <c r="H56" s="12">
        <v>444</v>
      </c>
      <c r="I56" s="12">
        <v>18169.599999999999</v>
      </c>
      <c r="J56" s="877">
        <f t="shared" ref="J56" si="23">+A56-D56</f>
        <v>-1</v>
      </c>
      <c r="K56" s="879">
        <f t="shared" ref="K56" si="24">+((B56/A56)-(E56/D56))/(B56/A56)</f>
        <v>0.10851006699019043</v>
      </c>
    </row>
    <row r="57" spans="1:11" ht="15" thickBot="1" x14ac:dyDescent="0.35">
      <c r="A57" s="872"/>
      <c r="B57" s="874"/>
      <c r="C57" s="874"/>
      <c r="D57" s="874"/>
      <c r="E57" s="874"/>
      <c r="F57" s="10" t="s">
        <v>2575</v>
      </c>
      <c r="G57" s="10">
        <v>61911</v>
      </c>
      <c r="H57" s="10">
        <v>324</v>
      </c>
      <c r="I57" s="10">
        <v>13687.15</v>
      </c>
      <c r="J57" s="878"/>
      <c r="K57" s="880"/>
    </row>
    <row r="58" spans="1:11" ht="15" thickBot="1" x14ac:dyDescent="0.35">
      <c r="A58" s="175">
        <v>48</v>
      </c>
      <c r="B58" s="8">
        <v>2117.25</v>
      </c>
      <c r="C58" s="8" t="s">
        <v>2581</v>
      </c>
      <c r="D58" s="8">
        <f>+H58</f>
        <v>48</v>
      </c>
      <c r="E58" s="8">
        <f>+I58</f>
        <v>2027.6</v>
      </c>
      <c r="F58" s="8" t="s">
        <v>2582</v>
      </c>
      <c r="G58" s="8">
        <v>61951</v>
      </c>
      <c r="H58" s="8">
        <v>48</v>
      </c>
      <c r="I58" s="8">
        <v>2027.6</v>
      </c>
      <c r="J58" s="52">
        <f t="shared" ref="J58:J60" si="25">+A58-D58</f>
        <v>0</v>
      </c>
      <c r="K58" s="33">
        <f t="shared" ref="K58:K60" si="26">(+B58-E58)/B58</f>
        <v>4.2342661471248128E-2</v>
      </c>
    </row>
    <row r="59" spans="1:11" ht="15" thickBot="1" x14ac:dyDescent="0.35">
      <c r="A59" s="175">
        <v>73</v>
      </c>
      <c r="B59" s="8">
        <v>3382.5</v>
      </c>
      <c r="C59" s="8" t="s">
        <v>2583</v>
      </c>
      <c r="D59" s="8">
        <f>+H59</f>
        <v>71</v>
      </c>
      <c r="E59" s="8">
        <f>+I59</f>
        <v>3134.6</v>
      </c>
      <c r="F59" s="8" t="s">
        <v>2584</v>
      </c>
      <c r="G59" s="8">
        <v>61961</v>
      </c>
      <c r="H59" s="8">
        <v>71</v>
      </c>
      <c r="I59" s="9">
        <v>3134.6</v>
      </c>
      <c r="J59" s="58">
        <f t="shared" si="25"/>
        <v>2</v>
      </c>
      <c r="K59" s="138">
        <f>+((B59/A59)-(E59/D59))/(B59/A59)</f>
        <v>4.7184451870126799E-2</v>
      </c>
    </row>
    <row r="60" spans="1:11" x14ac:dyDescent="0.3">
      <c r="A60" s="871">
        <v>1063</v>
      </c>
      <c r="B60" s="873">
        <v>45425.3</v>
      </c>
      <c r="C60" s="873" t="s">
        <v>2751</v>
      </c>
      <c r="D60" s="873">
        <f>+H60+H61</f>
        <v>1063</v>
      </c>
      <c r="E60" s="873">
        <f>+I60+I61</f>
        <v>43385</v>
      </c>
      <c r="F60" s="12" t="s">
        <v>2752</v>
      </c>
      <c r="G60" s="12">
        <v>62101</v>
      </c>
      <c r="H60" s="12">
        <v>679</v>
      </c>
      <c r="I60" s="12">
        <v>27889.1</v>
      </c>
      <c r="J60" s="877">
        <f t="shared" si="25"/>
        <v>0</v>
      </c>
      <c r="K60" s="879">
        <f t="shared" si="26"/>
        <v>4.4915498631819775E-2</v>
      </c>
    </row>
    <row r="61" spans="1:11" ht="15" thickBot="1" x14ac:dyDescent="0.35">
      <c r="A61" s="872"/>
      <c r="B61" s="874"/>
      <c r="C61" s="874"/>
      <c r="D61" s="874"/>
      <c r="E61" s="874"/>
      <c r="F61" s="10" t="s">
        <v>2752</v>
      </c>
      <c r="G61" s="10">
        <v>62102</v>
      </c>
      <c r="H61" s="10">
        <v>384</v>
      </c>
      <c r="I61" s="10">
        <v>15495.9</v>
      </c>
      <c r="J61" s="878"/>
      <c r="K61" s="880"/>
    </row>
    <row r="62" spans="1:11" x14ac:dyDescent="0.3">
      <c r="A62" s="871">
        <v>810</v>
      </c>
      <c r="B62" s="873">
        <v>32124.9</v>
      </c>
      <c r="C62" s="873" t="s">
        <v>2753</v>
      </c>
      <c r="D62" s="873">
        <f>+H62+H63+H64</f>
        <v>810</v>
      </c>
      <c r="E62" s="873">
        <f>+I62+I63+I64</f>
        <v>30553.7</v>
      </c>
      <c r="F62" s="12" t="s">
        <v>2754</v>
      </c>
      <c r="G62" s="12">
        <v>62211</v>
      </c>
      <c r="H62" s="12">
        <v>360</v>
      </c>
      <c r="I62" s="12">
        <v>13558.6</v>
      </c>
      <c r="J62" s="877">
        <f t="shared" ref="J62" si="27">+A62-D62</f>
        <v>0</v>
      </c>
      <c r="K62" s="879">
        <f t="shared" ref="K62" si="28">(+B62-E62)/B62</f>
        <v>4.8909101662573291E-2</v>
      </c>
    </row>
    <row r="63" spans="1:11" x14ac:dyDescent="0.3">
      <c r="A63" s="875"/>
      <c r="B63" s="881"/>
      <c r="C63" s="881"/>
      <c r="D63" s="881"/>
      <c r="E63" s="881"/>
      <c r="F63" s="15" t="s">
        <v>2754</v>
      </c>
      <c r="G63" s="15">
        <v>62211</v>
      </c>
      <c r="H63" s="15">
        <v>366</v>
      </c>
      <c r="I63" s="15">
        <v>13851.3</v>
      </c>
      <c r="J63" s="886"/>
      <c r="K63" s="885"/>
    </row>
    <row r="64" spans="1:11" ht="15" thickBot="1" x14ac:dyDescent="0.35">
      <c r="A64" s="875"/>
      <c r="B64" s="881"/>
      <c r="C64" s="881"/>
      <c r="D64" s="881"/>
      <c r="E64" s="881"/>
      <c r="F64" s="15" t="s">
        <v>2754</v>
      </c>
      <c r="G64" s="15">
        <v>62211</v>
      </c>
      <c r="H64" s="15">
        <v>84</v>
      </c>
      <c r="I64" s="15">
        <v>3143.8</v>
      </c>
      <c r="J64" s="878"/>
      <c r="K64" s="880"/>
    </row>
    <row r="65" spans="1:11" x14ac:dyDescent="0.3">
      <c r="A65" s="871">
        <v>1000</v>
      </c>
      <c r="B65" s="873">
        <v>44507.6</v>
      </c>
      <c r="C65" s="873" t="s">
        <v>2755</v>
      </c>
      <c r="D65" s="873">
        <v>994</v>
      </c>
      <c r="E65" s="873">
        <v>41703.5</v>
      </c>
      <c r="F65" s="12" t="s">
        <v>2756</v>
      </c>
      <c r="G65" s="12">
        <v>62241</v>
      </c>
      <c r="H65" s="12">
        <v>200</v>
      </c>
      <c r="I65" s="12">
        <v>8180.8</v>
      </c>
      <c r="J65" s="877">
        <f t="shared" ref="J65" si="29">+A65-D65</f>
        <v>6</v>
      </c>
      <c r="K65" s="879">
        <f t="shared" ref="K65" si="30">+((B65/A65)-(E65/D65))/(B65/A65)</f>
        <v>5.7346803954156575E-2</v>
      </c>
    </row>
    <row r="66" spans="1:11" ht="15" thickBot="1" x14ac:dyDescent="0.35">
      <c r="A66" s="872"/>
      <c r="B66" s="874"/>
      <c r="C66" s="874"/>
      <c r="D66" s="874"/>
      <c r="E66" s="874"/>
      <c r="F66" s="10" t="s">
        <v>2756</v>
      </c>
      <c r="G66" s="10">
        <v>62241</v>
      </c>
      <c r="H66" s="10">
        <v>400</v>
      </c>
      <c r="I66" s="10">
        <v>16843.099999999999</v>
      </c>
      <c r="J66" s="878"/>
      <c r="K66" s="880"/>
    </row>
    <row r="67" spans="1:11" ht="15" thickBot="1" x14ac:dyDescent="0.35">
      <c r="A67" s="175">
        <v>737</v>
      </c>
      <c r="B67" s="8">
        <v>32572.75</v>
      </c>
      <c r="C67" s="8" t="s">
        <v>2986</v>
      </c>
      <c r="D67" s="8">
        <f>+H67</f>
        <v>737</v>
      </c>
      <c r="E67" s="8">
        <f>+I67</f>
        <v>32005.5</v>
      </c>
      <c r="F67" s="8" t="s">
        <v>2987</v>
      </c>
      <c r="G67" s="8">
        <v>62271</v>
      </c>
      <c r="H67" s="8">
        <v>737</v>
      </c>
      <c r="I67" s="8">
        <v>32005.5</v>
      </c>
      <c r="J67" s="58">
        <f t="shared" ref="J67:J72" si="31">+A67-D67</f>
        <v>0</v>
      </c>
      <c r="K67" s="33">
        <f t="shared" ref="K67" si="32">(+B67-E67)/B67</f>
        <v>1.741486365136502E-2</v>
      </c>
    </row>
    <row r="68" spans="1:11" ht="15" thickBot="1" x14ac:dyDescent="0.35">
      <c r="A68" s="175">
        <v>724</v>
      </c>
      <c r="B68" s="8">
        <v>32091.75</v>
      </c>
      <c r="C68" s="8" t="s">
        <v>2988</v>
      </c>
      <c r="D68" s="8">
        <f>+H68</f>
        <v>723</v>
      </c>
      <c r="E68" s="8">
        <f>+I68</f>
        <v>31418.3</v>
      </c>
      <c r="F68" s="8" t="s">
        <v>2989</v>
      </c>
      <c r="G68" s="8">
        <v>62311</v>
      </c>
      <c r="H68" s="8">
        <v>723</v>
      </c>
      <c r="I68" s="8">
        <v>31418.3</v>
      </c>
      <c r="J68" s="58">
        <f t="shared" si="31"/>
        <v>1</v>
      </c>
      <c r="K68" s="138">
        <f>+((B68/A68)-(E68/D68))/(B68/A68)</f>
        <v>1.9631043388186695E-2</v>
      </c>
    </row>
    <row r="69" spans="1:11" x14ac:dyDescent="0.3">
      <c r="A69" s="871">
        <v>1025</v>
      </c>
      <c r="B69" s="873">
        <v>45443</v>
      </c>
      <c r="C69" s="873" t="s">
        <v>3153</v>
      </c>
      <c r="D69" s="873">
        <f>+H69+H70</f>
        <v>1025</v>
      </c>
      <c r="E69" s="873">
        <f>+I69+I70</f>
        <v>44667.600000000006</v>
      </c>
      <c r="F69" s="12" t="s">
        <v>3154</v>
      </c>
      <c r="G69" s="12">
        <v>62381</v>
      </c>
      <c r="H69" s="12">
        <v>529</v>
      </c>
      <c r="I69" s="12">
        <v>22815.9</v>
      </c>
      <c r="J69" s="877">
        <f t="shared" si="31"/>
        <v>0</v>
      </c>
      <c r="K69" s="879">
        <f t="shared" ref="K69" si="33">+((B69/A69)-(E69/D69))/(B69/A69)</f>
        <v>1.7063134036044991E-2</v>
      </c>
    </row>
    <row r="70" spans="1:11" ht="15" thickBot="1" x14ac:dyDescent="0.35">
      <c r="A70" s="872"/>
      <c r="B70" s="874"/>
      <c r="C70" s="874"/>
      <c r="D70" s="874"/>
      <c r="E70" s="874"/>
      <c r="F70" s="10" t="s">
        <v>3154</v>
      </c>
      <c r="G70" s="10">
        <v>62381</v>
      </c>
      <c r="H70" s="10">
        <v>496</v>
      </c>
      <c r="I70" s="10">
        <v>21851.7</v>
      </c>
      <c r="J70" s="878"/>
      <c r="K70" s="880"/>
    </row>
    <row r="71" spans="1:11" ht="15" thickBot="1" x14ac:dyDescent="0.35">
      <c r="A71" s="175">
        <v>363</v>
      </c>
      <c r="B71" s="8">
        <v>15274.75</v>
      </c>
      <c r="C71" s="8" t="s">
        <v>3304</v>
      </c>
      <c r="D71" s="8">
        <f>+H71</f>
        <v>364</v>
      </c>
      <c r="E71" s="8">
        <f>+I71</f>
        <v>14854.7</v>
      </c>
      <c r="F71" s="8" t="s">
        <v>3305</v>
      </c>
      <c r="G71" s="8">
        <v>62421</v>
      </c>
      <c r="H71" s="8">
        <v>364</v>
      </c>
      <c r="I71" s="45">
        <v>14854.7</v>
      </c>
      <c r="J71" s="58">
        <f t="shared" si="31"/>
        <v>-1</v>
      </c>
      <c r="K71" s="138">
        <f>+((B71/A71)-(E71/D71))/(B71/A71)</f>
        <v>3.0171336053592773E-2</v>
      </c>
    </row>
    <row r="72" spans="1:11" x14ac:dyDescent="0.3">
      <c r="A72" s="871">
        <v>666</v>
      </c>
      <c r="B72" s="873">
        <v>27866.400000000001</v>
      </c>
      <c r="C72" s="873" t="s">
        <v>3306</v>
      </c>
      <c r="D72" s="873">
        <f>+H72+H73</f>
        <v>666</v>
      </c>
      <c r="E72" s="873">
        <f>+I72+I73</f>
        <v>27171</v>
      </c>
      <c r="F72" s="12" t="s">
        <v>3307</v>
      </c>
      <c r="G72" s="12">
        <v>62441</v>
      </c>
      <c r="H72" s="12">
        <v>200</v>
      </c>
      <c r="I72" s="12">
        <v>8292.6</v>
      </c>
      <c r="J72" s="877">
        <f t="shared" si="31"/>
        <v>0</v>
      </c>
      <c r="K72" s="879">
        <f t="shared" ref="K72" si="34">+((B72/A72)-(E72/D72))/(B72/A72)</f>
        <v>2.495478425630877E-2</v>
      </c>
    </row>
    <row r="73" spans="1:11" ht="15" thickBot="1" x14ac:dyDescent="0.35">
      <c r="A73" s="872"/>
      <c r="B73" s="874"/>
      <c r="C73" s="874"/>
      <c r="D73" s="874"/>
      <c r="E73" s="874"/>
      <c r="F73" s="10" t="s">
        <v>3307</v>
      </c>
      <c r="G73" s="10">
        <v>62441</v>
      </c>
      <c r="H73" s="10">
        <v>466</v>
      </c>
      <c r="I73" s="10">
        <v>18878.400000000001</v>
      </c>
      <c r="J73" s="878"/>
      <c r="K73" s="880"/>
    </row>
    <row r="74" spans="1:11" x14ac:dyDescent="0.3">
      <c r="A74" s="871">
        <v>1500</v>
      </c>
      <c r="B74" s="873">
        <v>59983.5</v>
      </c>
      <c r="C74" s="873" t="s">
        <v>3308</v>
      </c>
      <c r="D74" s="873">
        <f>+H74+H75</f>
        <v>1499</v>
      </c>
      <c r="E74" s="873">
        <f>+I74+I75</f>
        <v>58119.1</v>
      </c>
      <c r="F74" s="12" t="s">
        <v>3309</v>
      </c>
      <c r="G74" s="12">
        <v>62851</v>
      </c>
      <c r="H74" s="12">
        <v>750</v>
      </c>
      <c r="I74" s="12">
        <v>28910.1</v>
      </c>
      <c r="J74" s="877">
        <f t="shared" ref="J74" si="35">+A74-D74</f>
        <v>1</v>
      </c>
      <c r="K74" s="879">
        <f t="shared" ref="K74" si="36">+((B74/A74)-(E74/D74))/(B74/A74)</f>
        <v>3.0435504520247406E-2</v>
      </c>
    </row>
    <row r="75" spans="1:11" ht="15" thickBot="1" x14ac:dyDescent="0.35">
      <c r="A75" s="872"/>
      <c r="B75" s="874"/>
      <c r="C75" s="874"/>
      <c r="D75" s="874"/>
      <c r="E75" s="874"/>
      <c r="F75" s="10" t="s">
        <v>3309</v>
      </c>
      <c r="G75" s="10">
        <v>62851</v>
      </c>
      <c r="H75" s="10">
        <v>749</v>
      </c>
      <c r="I75" s="10">
        <v>29209</v>
      </c>
      <c r="J75" s="878"/>
      <c r="K75" s="880"/>
    </row>
    <row r="76" spans="1:11" ht="15" thickBot="1" x14ac:dyDescent="0.35">
      <c r="A76" s="175">
        <v>570</v>
      </c>
      <c r="B76" s="8">
        <v>25379.75</v>
      </c>
      <c r="C76" s="8" t="s">
        <v>3401</v>
      </c>
      <c r="D76" s="8">
        <f t="shared" ref="D76:E83" si="37">+H76</f>
        <v>570</v>
      </c>
      <c r="E76" s="8">
        <f t="shared" si="37"/>
        <v>24606.2</v>
      </c>
      <c r="F76" s="8" t="s">
        <v>3402</v>
      </c>
      <c r="G76" s="8">
        <v>63081</v>
      </c>
      <c r="H76" s="8">
        <v>570</v>
      </c>
      <c r="I76" s="8">
        <v>24606.2</v>
      </c>
      <c r="J76" s="58">
        <f t="shared" ref="J76" si="38">+A76-D76</f>
        <v>0</v>
      </c>
      <c r="K76" s="138">
        <f>+((B76/A76)-(E76/D76))/(B76/A76)</f>
        <v>3.0479023631044346E-2</v>
      </c>
    </row>
    <row r="77" spans="1:11" ht="15" thickBot="1" x14ac:dyDescent="0.35">
      <c r="A77" s="313">
        <v>458</v>
      </c>
      <c r="B77" s="27">
        <v>20130.5</v>
      </c>
      <c r="C77" s="27" t="s">
        <v>3551</v>
      </c>
      <c r="D77" s="8">
        <f t="shared" si="37"/>
        <v>457</v>
      </c>
      <c r="E77" s="8">
        <f t="shared" si="37"/>
        <v>19027.399999999998</v>
      </c>
      <c r="F77" s="161" t="s">
        <v>3552</v>
      </c>
      <c r="G77" s="161">
        <v>63131</v>
      </c>
      <c r="H77" s="8">
        <v>457</v>
      </c>
      <c r="I77" s="8">
        <v>19027.399999999998</v>
      </c>
      <c r="J77" s="58">
        <f t="shared" ref="J77:J79" si="39">+A77-D77</f>
        <v>1</v>
      </c>
      <c r="K77" s="138">
        <f t="shared" ref="K77:K79" si="40">+((B77/A77)-(E77/D77))/(B77/A77)</f>
        <v>5.272916973857189E-2</v>
      </c>
    </row>
    <row r="78" spans="1:11" ht="15" thickBot="1" x14ac:dyDescent="0.35">
      <c r="A78" s="306">
        <v>361</v>
      </c>
      <c r="B78" s="29">
        <v>16167</v>
      </c>
      <c r="C78" s="29" t="s">
        <v>3553</v>
      </c>
      <c r="D78" s="8">
        <f t="shared" si="37"/>
        <v>361</v>
      </c>
      <c r="E78" s="8">
        <f t="shared" si="37"/>
        <v>15408.900000000001</v>
      </c>
      <c r="F78" s="12" t="s">
        <v>3554</v>
      </c>
      <c r="G78" s="12">
        <v>63221</v>
      </c>
      <c r="H78" s="12">
        <v>361</v>
      </c>
      <c r="I78" s="12">
        <v>15408.900000000001</v>
      </c>
      <c r="J78" s="58">
        <f t="shared" si="39"/>
        <v>0</v>
      </c>
      <c r="K78" s="138">
        <f t="shared" si="40"/>
        <v>4.6891816663573817E-2</v>
      </c>
    </row>
    <row r="79" spans="1:11" ht="15" thickBot="1" x14ac:dyDescent="0.35">
      <c r="A79" s="175">
        <v>355</v>
      </c>
      <c r="B79" s="8">
        <v>15283.25</v>
      </c>
      <c r="C79" s="8" t="s">
        <v>3555</v>
      </c>
      <c r="D79" s="8">
        <f t="shared" si="37"/>
        <v>355</v>
      </c>
      <c r="E79" s="8">
        <f t="shared" si="37"/>
        <v>14484</v>
      </c>
      <c r="F79" s="8" t="s">
        <v>3556</v>
      </c>
      <c r="G79" s="8">
        <v>63411</v>
      </c>
      <c r="H79" s="8">
        <v>355</v>
      </c>
      <c r="I79" s="8">
        <v>14484</v>
      </c>
      <c r="J79" s="58">
        <f t="shared" si="39"/>
        <v>0</v>
      </c>
      <c r="K79" s="138">
        <f t="shared" si="40"/>
        <v>5.22958140447876E-2</v>
      </c>
    </row>
    <row r="80" spans="1:11" ht="15" thickBot="1" x14ac:dyDescent="0.35">
      <c r="A80" s="175">
        <v>68</v>
      </c>
      <c r="B80" s="8">
        <v>2665.5</v>
      </c>
      <c r="C80" s="8" t="s">
        <v>3678</v>
      </c>
      <c r="D80" s="8">
        <f t="shared" si="37"/>
        <v>67</v>
      </c>
      <c r="E80" s="8">
        <f t="shared" si="37"/>
        <v>2495.8000000000002</v>
      </c>
      <c r="F80" s="8" t="s">
        <v>3679</v>
      </c>
      <c r="G80" s="8">
        <v>63451</v>
      </c>
      <c r="H80" s="8">
        <v>67</v>
      </c>
      <c r="I80" s="8">
        <v>2495.8000000000002</v>
      </c>
      <c r="J80" s="58">
        <f t="shared" ref="J80:J81" si="41">+A80-D80</f>
        <v>1</v>
      </c>
      <c r="K80" s="138">
        <f t="shared" ref="K80:K81" si="42">+((B80/A80)-(E80/D80))/(B80/A80)</f>
        <v>4.9690209615960566E-2</v>
      </c>
    </row>
    <row r="81" spans="1:11" ht="15" thickBot="1" x14ac:dyDescent="0.35">
      <c r="A81" s="175">
        <v>466</v>
      </c>
      <c r="B81" s="8">
        <v>20469</v>
      </c>
      <c r="C81" s="8" t="s">
        <v>3680</v>
      </c>
      <c r="D81" s="8">
        <f t="shared" si="37"/>
        <v>466</v>
      </c>
      <c r="E81" s="8">
        <f t="shared" si="37"/>
        <v>19661</v>
      </c>
      <c r="F81" s="8" t="s">
        <v>3681</v>
      </c>
      <c r="G81" s="8">
        <v>63491</v>
      </c>
      <c r="H81" s="8">
        <v>466</v>
      </c>
      <c r="I81" s="8">
        <v>19661</v>
      </c>
      <c r="J81" s="58">
        <f t="shared" si="41"/>
        <v>0</v>
      </c>
      <c r="K81" s="138">
        <f t="shared" si="42"/>
        <v>3.9474327031120242E-2</v>
      </c>
    </row>
    <row r="82" spans="1:11" ht="15" thickBot="1" x14ac:dyDescent="0.35">
      <c r="A82" s="175">
        <v>101</v>
      </c>
      <c r="B82" s="8">
        <v>4490.5</v>
      </c>
      <c r="C82" s="8" t="s">
        <v>3898</v>
      </c>
      <c r="D82" s="8">
        <f t="shared" si="37"/>
        <v>101</v>
      </c>
      <c r="E82" s="8">
        <f t="shared" si="37"/>
        <v>4150.5</v>
      </c>
      <c r="F82" s="8" t="s">
        <v>3899</v>
      </c>
      <c r="G82" s="8">
        <v>63671</v>
      </c>
      <c r="H82" s="8">
        <v>101</v>
      </c>
      <c r="I82" s="8">
        <v>4150.5</v>
      </c>
      <c r="J82" s="58">
        <f t="shared" ref="J82:J84" si="43">+A82-D82</f>
        <v>0</v>
      </c>
      <c r="K82" s="138">
        <f t="shared" ref="K82:K84" si="44">+((B82/A82)-(E82/D82))/(B82/A82)</f>
        <v>7.571539917603845E-2</v>
      </c>
    </row>
    <row r="83" spans="1:11" ht="15" thickBot="1" x14ac:dyDescent="0.35">
      <c r="A83" s="174">
        <v>86</v>
      </c>
      <c r="B83" s="12">
        <v>2943.25</v>
      </c>
      <c r="C83" s="12" t="s">
        <v>3900</v>
      </c>
      <c r="D83" s="12">
        <f t="shared" si="37"/>
        <v>86</v>
      </c>
      <c r="E83" s="12">
        <f t="shared" si="37"/>
        <v>2746</v>
      </c>
      <c r="F83" s="12" t="s">
        <v>3901</v>
      </c>
      <c r="G83" s="12">
        <v>63681</v>
      </c>
      <c r="H83" s="12">
        <v>86</v>
      </c>
      <c r="I83" s="12">
        <v>2746</v>
      </c>
      <c r="J83" s="58">
        <f t="shared" si="43"/>
        <v>0</v>
      </c>
      <c r="K83" s="138">
        <f t="shared" si="44"/>
        <v>6.7017752484498344E-2</v>
      </c>
    </row>
    <row r="84" spans="1:11" x14ac:dyDescent="0.3">
      <c r="A84" s="871">
        <v>430</v>
      </c>
      <c r="B84" s="873">
        <v>19458.5</v>
      </c>
      <c r="C84" s="873" t="s">
        <v>3902</v>
      </c>
      <c r="D84" s="873">
        <f>+H84+H85</f>
        <v>430</v>
      </c>
      <c r="E84" s="873">
        <f>+I84+I85</f>
        <v>18460.8</v>
      </c>
      <c r="F84" s="12" t="s">
        <v>3903</v>
      </c>
      <c r="G84" s="12">
        <v>63751</v>
      </c>
      <c r="H84" s="12">
        <v>314</v>
      </c>
      <c r="I84" s="12">
        <v>13596.099999999999</v>
      </c>
      <c r="J84" s="877">
        <f t="shared" si="43"/>
        <v>0</v>
      </c>
      <c r="K84" s="879">
        <f t="shared" si="44"/>
        <v>5.1273222499164939E-2</v>
      </c>
    </row>
    <row r="85" spans="1:11" ht="15" thickBot="1" x14ac:dyDescent="0.35">
      <c r="A85" s="872"/>
      <c r="B85" s="874"/>
      <c r="C85" s="874"/>
      <c r="D85" s="874"/>
      <c r="E85" s="874"/>
      <c r="F85" s="10" t="s">
        <v>3903</v>
      </c>
      <c r="G85" s="10">
        <v>63751</v>
      </c>
      <c r="H85" s="10">
        <v>116</v>
      </c>
      <c r="I85" s="10">
        <v>4864.7</v>
      </c>
      <c r="J85" s="878"/>
      <c r="K85" s="880"/>
    </row>
    <row r="86" spans="1:11" ht="15" thickBot="1" x14ac:dyDescent="0.35">
      <c r="A86" s="175">
        <v>555</v>
      </c>
      <c r="B86" s="8">
        <v>24801</v>
      </c>
      <c r="C86" s="8" t="s">
        <v>3904</v>
      </c>
      <c r="D86" s="8">
        <f>+H86</f>
        <v>554</v>
      </c>
      <c r="E86" s="8">
        <f>+I86</f>
        <v>23957.7</v>
      </c>
      <c r="F86" s="8" t="s">
        <v>3905</v>
      </c>
      <c r="G86" s="8">
        <v>63831</v>
      </c>
      <c r="H86" s="8">
        <v>554</v>
      </c>
      <c r="I86" s="8">
        <v>23957.7</v>
      </c>
      <c r="J86" s="58">
        <f t="shared" ref="J86:J87" si="45">+A86-D86</f>
        <v>1</v>
      </c>
      <c r="K86" s="138">
        <f t="shared" ref="K86" si="46">+((B86/A86)-(E86/D86))/(B86/A86)</f>
        <v>3.2258983676126965E-2</v>
      </c>
    </row>
    <row r="87" spans="1:11" x14ac:dyDescent="0.3">
      <c r="A87" s="871">
        <v>687</v>
      </c>
      <c r="B87" s="873">
        <v>28121.75</v>
      </c>
      <c r="C87" s="873" t="s">
        <v>4176</v>
      </c>
      <c r="D87" s="873">
        <f>+H87+H88+H89</f>
        <v>687</v>
      </c>
      <c r="E87" s="873">
        <f>+I87+I88+I89</f>
        <v>27533.600000000002</v>
      </c>
      <c r="F87" s="12" t="s">
        <v>4177</v>
      </c>
      <c r="G87" s="12">
        <v>63911</v>
      </c>
      <c r="H87" s="12">
        <v>328</v>
      </c>
      <c r="I87" s="12">
        <v>13083.8</v>
      </c>
      <c r="J87" s="877">
        <f t="shared" si="45"/>
        <v>0</v>
      </c>
      <c r="K87" s="879">
        <f t="shared" ref="K87" si="47">(+B87-E87)/B87</f>
        <v>2.0914416777049714E-2</v>
      </c>
    </row>
    <row r="88" spans="1:11" x14ac:dyDescent="0.3">
      <c r="A88" s="875"/>
      <c r="B88" s="881"/>
      <c r="C88" s="881"/>
      <c r="D88" s="881"/>
      <c r="E88" s="881"/>
      <c r="F88" s="15" t="s">
        <v>4177</v>
      </c>
      <c r="G88" s="15">
        <v>63911</v>
      </c>
      <c r="H88" s="15">
        <v>184</v>
      </c>
      <c r="I88" s="15">
        <v>7441.6</v>
      </c>
      <c r="J88" s="886"/>
      <c r="K88" s="885"/>
    </row>
    <row r="89" spans="1:11" ht="15" thickBot="1" x14ac:dyDescent="0.35">
      <c r="A89" s="872"/>
      <c r="B89" s="874"/>
      <c r="C89" s="874"/>
      <c r="D89" s="874"/>
      <c r="E89" s="874"/>
      <c r="F89" s="10" t="s">
        <v>4177</v>
      </c>
      <c r="G89" s="10">
        <v>63911</v>
      </c>
      <c r="H89" s="10">
        <v>175</v>
      </c>
      <c r="I89" s="10">
        <v>7008.2</v>
      </c>
      <c r="J89" s="878"/>
      <c r="K89" s="880"/>
    </row>
    <row r="90" spans="1:11" ht="15" thickBot="1" x14ac:dyDescent="0.35">
      <c r="A90" s="175">
        <v>180</v>
      </c>
      <c r="B90" s="8">
        <v>6071.25</v>
      </c>
      <c r="C90" s="8" t="s">
        <v>4178</v>
      </c>
      <c r="D90" s="8">
        <f>+H90</f>
        <v>160</v>
      </c>
      <c r="E90" s="8">
        <f>+I90</f>
        <v>5208.8999999999996</v>
      </c>
      <c r="F90" s="8" t="s">
        <v>4179</v>
      </c>
      <c r="G90" s="8">
        <v>64011</v>
      </c>
      <c r="H90" s="8">
        <v>160</v>
      </c>
      <c r="I90" s="8">
        <v>5208.8999999999996</v>
      </c>
      <c r="J90" s="58">
        <f t="shared" ref="J90:J91" si="48">+A90-D90</f>
        <v>20</v>
      </c>
      <c r="K90" s="138">
        <f t="shared" ref="K90:K91" si="49">+((B90/A90)-(E90/D90))/(B90/A90)</f>
        <v>3.4793082149474942E-2</v>
      </c>
    </row>
    <row r="91" spans="1:11" x14ac:dyDescent="0.3">
      <c r="A91" s="871">
        <v>242</v>
      </c>
      <c r="B91" s="873">
        <v>11085.75</v>
      </c>
      <c r="C91" s="873" t="s">
        <v>4180</v>
      </c>
      <c r="D91" s="873">
        <f>+H91+H92</f>
        <v>242</v>
      </c>
      <c r="E91" s="873">
        <f>+I91+I92</f>
        <v>10770.5</v>
      </c>
      <c r="F91" s="12" t="s">
        <v>4181</v>
      </c>
      <c r="G91" s="12">
        <v>64241</v>
      </c>
      <c r="H91" s="12">
        <v>169</v>
      </c>
      <c r="I91" s="12">
        <v>7459.3</v>
      </c>
      <c r="J91" s="877">
        <f t="shared" si="48"/>
        <v>0</v>
      </c>
      <c r="K91" s="879">
        <f t="shared" si="49"/>
        <v>2.8437408384638031E-2</v>
      </c>
    </row>
    <row r="92" spans="1:11" ht="15" thickBot="1" x14ac:dyDescent="0.35">
      <c r="A92" s="872"/>
      <c r="B92" s="874"/>
      <c r="C92" s="881"/>
      <c r="D92" s="881"/>
      <c r="E92" s="881"/>
      <c r="F92" s="15" t="s">
        <v>4181</v>
      </c>
      <c r="G92" s="15">
        <v>64241</v>
      </c>
      <c r="H92" s="15">
        <v>73</v>
      </c>
      <c r="I92" s="15">
        <v>3311.2</v>
      </c>
      <c r="J92" s="878"/>
      <c r="K92" s="880"/>
    </row>
    <row r="93" spans="1:11" x14ac:dyDescent="0.3">
      <c r="A93" s="871">
        <v>1243</v>
      </c>
      <c r="B93" s="873">
        <v>52912.25</v>
      </c>
      <c r="C93" s="873" t="s">
        <v>4182</v>
      </c>
      <c r="D93" s="873">
        <v>1239</v>
      </c>
      <c r="E93" s="873">
        <v>51023.5</v>
      </c>
      <c r="F93" s="12" t="s">
        <v>4183</v>
      </c>
      <c r="G93" s="12">
        <v>64281</v>
      </c>
      <c r="H93" s="12">
        <v>256</v>
      </c>
      <c r="I93" s="12">
        <v>10572.400000000001</v>
      </c>
      <c r="J93" s="877">
        <f t="shared" ref="J93" si="50">+A93-D93</f>
        <v>4</v>
      </c>
      <c r="K93" s="879">
        <f t="shared" ref="K93" si="51">+((B93/A93)-(E93/D93))/(B93/A93)</f>
        <v>3.2582723697313833E-2</v>
      </c>
    </row>
    <row r="94" spans="1:11" ht="15" thickBot="1" x14ac:dyDescent="0.35">
      <c r="A94" s="872"/>
      <c r="B94" s="874"/>
      <c r="C94" s="874"/>
      <c r="D94" s="874"/>
      <c r="E94" s="874"/>
      <c r="F94" s="10" t="s">
        <v>4183</v>
      </c>
      <c r="G94" s="10">
        <v>64281</v>
      </c>
      <c r="H94" s="10">
        <v>600</v>
      </c>
      <c r="I94" s="10">
        <v>24812.9</v>
      </c>
      <c r="J94" s="878"/>
      <c r="K94" s="880"/>
    </row>
    <row r="95" spans="1:11" ht="15" thickBot="1" x14ac:dyDescent="0.35">
      <c r="A95" s="174">
        <v>284</v>
      </c>
      <c r="B95" s="318">
        <v>13509.7</v>
      </c>
      <c r="C95" s="12" t="s">
        <v>4405</v>
      </c>
      <c r="D95" s="12">
        <f>+H95</f>
        <v>284</v>
      </c>
      <c r="E95" s="12">
        <f>+I95</f>
        <v>12863.7</v>
      </c>
      <c r="F95" s="12" t="s">
        <v>4406</v>
      </c>
      <c r="G95" s="12">
        <v>64351</v>
      </c>
      <c r="H95" s="12">
        <v>284</v>
      </c>
      <c r="I95" s="12">
        <v>12863.7</v>
      </c>
      <c r="J95" s="58">
        <f t="shared" ref="J95" si="52">+A95-D95</f>
        <v>0</v>
      </c>
      <c r="K95" s="138">
        <f t="shared" ref="K95" si="53">+((B95/A95)-(E95/D95))/(B95/A95)</f>
        <v>4.7817494096834133E-2</v>
      </c>
    </row>
    <row r="96" spans="1:11" x14ac:dyDescent="0.3">
      <c r="A96" s="871">
        <v>250</v>
      </c>
      <c r="B96" s="1040">
        <v>11037</v>
      </c>
      <c r="C96" s="873" t="s">
        <v>4407</v>
      </c>
      <c r="D96" s="873">
        <f>+H96+H97</f>
        <v>248</v>
      </c>
      <c r="E96" s="873">
        <f>+I96+I97</f>
        <v>10508.6</v>
      </c>
      <c r="F96" s="12" t="s">
        <v>4408</v>
      </c>
      <c r="G96" s="12">
        <v>64381</v>
      </c>
      <c r="H96" s="12">
        <v>168</v>
      </c>
      <c r="I96" s="12">
        <v>7020.6</v>
      </c>
      <c r="J96" s="877">
        <f t="shared" ref="J96" si="54">+A96-D96</f>
        <v>2</v>
      </c>
      <c r="K96" s="879">
        <f t="shared" ref="K96" si="55">+((B96/A96)-(E96/D96))/(B96/A96)</f>
        <v>4.0196903670059979E-2</v>
      </c>
    </row>
    <row r="97" spans="1:11" ht="15" thickBot="1" x14ac:dyDescent="0.35">
      <c r="A97" s="872"/>
      <c r="B97" s="1101"/>
      <c r="C97" s="874"/>
      <c r="D97" s="874"/>
      <c r="E97" s="874"/>
      <c r="F97" s="10" t="s">
        <v>4408</v>
      </c>
      <c r="G97" s="10">
        <v>64381</v>
      </c>
      <c r="H97" s="10">
        <v>80</v>
      </c>
      <c r="I97" s="10">
        <v>3488</v>
      </c>
      <c r="J97" s="878"/>
      <c r="K97" s="880"/>
    </row>
    <row r="98" spans="1:11" ht="15" thickBot="1" x14ac:dyDescent="0.35">
      <c r="A98" s="175">
        <v>500</v>
      </c>
      <c r="B98" s="317">
        <v>21525.75</v>
      </c>
      <c r="C98" s="8" t="s">
        <v>4496</v>
      </c>
      <c r="D98" s="8">
        <f t="shared" ref="D98:E99" si="56">+H98</f>
        <v>500</v>
      </c>
      <c r="E98" s="8">
        <f t="shared" si="56"/>
        <v>20816</v>
      </c>
      <c r="F98" s="8" t="s">
        <v>4497</v>
      </c>
      <c r="G98" s="8">
        <v>64511</v>
      </c>
      <c r="H98" s="8">
        <v>500</v>
      </c>
      <c r="I98" s="8">
        <v>20816</v>
      </c>
      <c r="J98" s="58">
        <f t="shared" ref="J98:J100" si="57">+A98-D98</f>
        <v>0</v>
      </c>
      <c r="K98" s="138">
        <f t="shared" ref="K98:K100" si="58">+((B98/A98)-(E98/D98))/(B98/A98)</f>
        <v>3.2972138020742586E-2</v>
      </c>
    </row>
    <row r="99" spans="1:11" ht="15" thickBot="1" x14ac:dyDescent="0.35">
      <c r="A99" s="199">
        <v>154</v>
      </c>
      <c r="B99" s="343">
        <v>5157.5</v>
      </c>
      <c r="C99" s="10" t="s">
        <v>4498</v>
      </c>
      <c r="D99" s="10">
        <f t="shared" si="56"/>
        <v>154</v>
      </c>
      <c r="E99" s="10">
        <f t="shared" si="56"/>
        <v>4993</v>
      </c>
      <c r="F99" s="10" t="s">
        <v>4499</v>
      </c>
      <c r="G99" s="10">
        <v>64551</v>
      </c>
      <c r="H99" s="10">
        <v>154</v>
      </c>
      <c r="I99" s="10">
        <v>4993</v>
      </c>
      <c r="J99" s="58">
        <f t="shared" si="57"/>
        <v>0</v>
      </c>
      <c r="K99" s="138">
        <f t="shared" si="58"/>
        <v>3.1895298109549046E-2</v>
      </c>
    </row>
    <row r="100" spans="1:11" x14ac:dyDescent="0.3">
      <c r="A100" s="871">
        <v>805</v>
      </c>
      <c r="B100" s="1040">
        <v>34284.25</v>
      </c>
      <c r="C100" s="873" t="s">
        <v>4680</v>
      </c>
      <c r="D100" s="873">
        <f>+H100+H101</f>
        <v>805</v>
      </c>
      <c r="E100" s="873">
        <f>+I100+I101</f>
        <v>33226.6</v>
      </c>
      <c r="F100" s="12" t="s">
        <v>4681</v>
      </c>
      <c r="G100" s="12">
        <v>64571</v>
      </c>
      <c r="H100" s="12">
        <v>312</v>
      </c>
      <c r="I100" s="12">
        <v>12885.9</v>
      </c>
      <c r="J100" s="877">
        <f t="shared" si="57"/>
        <v>0</v>
      </c>
      <c r="K100" s="879">
        <f t="shared" si="58"/>
        <v>3.0849442528274769E-2</v>
      </c>
    </row>
    <row r="101" spans="1:11" ht="15" thickBot="1" x14ac:dyDescent="0.35">
      <c r="A101" s="872"/>
      <c r="B101" s="1101"/>
      <c r="C101" s="874"/>
      <c r="D101" s="874"/>
      <c r="E101" s="874"/>
      <c r="F101" s="10" t="s">
        <v>4681</v>
      </c>
      <c r="G101" s="10">
        <v>64571</v>
      </c>
      <c r="H101" s="10">
        <v>493</v>
      </c>
      <c r="I101" s="10">
        <v>20340.7</v>
      </c>
      <c r="J101" s="878"/>
      <c r="K101" s="880"/>
    </row>
    <row r="102" spans="1:11" ht="15" thickBot="1" x14ac:dyDescent="0.35">
      <c r="A102" s="175">
        <v>1204</v>
      </c>
      <c r="B102" s="317">
        <v>50416.58</v>
      </c>
      <c r="C102" s="8" t="s">
        <v>4829</v>
      </c>
      <c r="D102" s="10">
        <v>1202</v>
      </c>
      <c r="E102" s="10">
        <v>48771.8</v>
      </c>
      <c r="F102" s="8" t="s">
        <v>4830</v>
      </c>
      <c r="G102" s="8">
        <v>64851</v>
      </c>
      <c r="H102" s="8">
        <v>100</v>
      </c>
      <c r="I102" s="8">
        <v>3999.2</v>
      </c>
      <c r="J102" s="58">
        <f t="shared" ref="J102" si="59">+A102-D102</f>
        <v>2</v>
      </c>
      <c r="K102" s="138">
        <f t="shared" ref="K102" si="60">+((B102/A102)-(E102/D102))/(B102/A102)</f>
        <v>3.1014180622113099E-2</v>
      </c>
    </row>
    <row r="103" spans="1:11" ht="15" thickBot="1" x14ac:dyDescent="0.35">
      <c r="A103" s="175">
        <v>236</v>
      </c>
      <c r="B103" s="8">
        <v>7868.5</v>
      </c>
      <c r="C103" s="8" t="s">
        <v>5362</v>
      </c>
      <c r="D103" s="8">
        <f>+H103</f>
        <v>232</v>
      </c>
      <c r="E103" s="8">
        <f>+I103</f>
        <v>7533.5</v>
      </c>
      <c r="F103" s="8" t="s">
        <v>5363</v>
      </c>
      <c r="G103" s="8">
        <v>65221</v>
      </c>
      <c r="H103" s="8">
        <v>232</v>
      </c>
      <c r="I103" s="8">
        <v>7533.5</v>
      </c>
      <c r="J103" s="58">
        <f t="shared" ref="J103" si="61">+A103-D103</f>
        <v>4</v>
      </c>
      <c r="K103" s="138">
        <f t="shared" ref="K103" si="62">+((B103/A103)-(E103/D103))/(B103/A103)</f>
        <v>2.6067493037493384E-2</v>
      </c>
    </row>
    <row r="104" spans="1:11" ht="15" thickBot="1" x14ac:dyDescent="0.35">
      <c r="A104" s="175">
        <v>500</v>
      </c>
      <c r="B104" s="8">
        <v>19442.75</v>
      </c>
      <c r="C104" s="8" t="s">
        <v>5494</v>
      </c>
      <c r="D104" s="8">
        <f t="shared" ref="D104:E104" si="63">+H104</f>
        <v>500</v>
      </c>
      <c r="E104" s="8">
        <f t="shared" si="63"/>
        <v>18771.599999999999</v>
      </c>
      <c r="F104" s="8" t="s">
        <v>5495</v>
      </c>
      <c r="G104" s="8">
        <v>65341</v>
      </c>
      <c r="H104" s="8">
        <v>500</v>
      </c>
      <c r="I104" s="8">
        <v>18771.599999999999</v>
      </c>
      <c r="J104" s="58">
        <f t="shared" ref="J104:J105" si="64">+A104-D104</f>
        <v>0</v>
      </c>
      <c r="K104" s="138">
        <f t="shared" ref="K104:K105" si="65">+((B104/A104)-(E104/D104))/(B104/A104)</f>
        <v>3.451929382417615E-2</v>
      </c>
    </row>
    <row r="105" spans="1:11" x14ac:dyDescent="0.3">
      <c r="A105" s="871">
        <v>294</v>
      </c>
      <c r="B105" s="873">
        <v>12313</v>
      </c>
      <c r="C105" s="873" t="s">
        <v>5496</v>
      </c>
      <c r="D105" s="873">
        <f>+H105+H106</f>
        <v>294</v>
      </c>
      <c r="E105" s="873">
        <f>+I105+I106</f>
        <v>12047.099999999999</v>
      </c>
      <c r="F105" s="404" t="s">
        <v>5497</v>
      </c>
      <c r="G105" s="404">
        <v>65451</v>
      </c>
      <c r="H105" s="404">
        <v>100</v>
      </c>
      <c r="I105" s="404">
        <v>4136.3999999999996</v>
      </c>
      <c r="J105" s="877">
        <f t="shared" si="64"/>
        <v>0</v>
      </c>
      <c r="K105" s="879">
        <f t="shared" si="65"/>
        <v>2.1595062129456749E-2</v>
      </c>
    </row>
    <row r="106" spans="1:11" ht="15" thickBot="1" x14ac:dyDescent="0.35">
      <c r="A106" s="872"/>
      <c r="B106" s="874"/>
      <c r="C106" s="874"/>
      <c r="D106" s="874"/>
      <c r="E106" s="874"/>
      <c r="F106" s="407" t="s">
        <v>5497</v>
      </c>
      <c r="G106" s="407">
        <v>65451</v>
      </c>
      <c r="H106" s="407">
        <v>194</v>
      </c>
      <c r="I106" s="407">
        <v>7910.7</v>
      </c>
      <c r="J106" s="878"/>
      <c r="K106" s="880"/>
    </row>
    <row r="107" spans="1:11" ht="15" thickBot="1" x14ac:dyDescent="0.35">
      <c r="A107" s="175">
        <v>461</v>
      </c>
      <c r="B107" s="8">
        <v>18560.5</v>
      </c>
      <c r="C107" s="8" t="s">
        <v>5498</v>
      </c>
      <c r="D107" s="8">
        <v>461</v>
      </c>
      <c r="E107" s="8">
        <v>17902.2</v>
      </c>
      <c r="F107" s="8" t="s">
        <v>5499</v>
      </c>
      <c r="G107" s="8">
        <v>65481</v>
      </c>
      <c r="H107" s="8">
        <v>200</v>
      </c>
      <c r="I107" s="8">
        <v>7731.5</v>
      </c>
      <c r="J107" s="58">
        <f t="shared" ref="J107" si="66">+A107-D107</f>
        <v>0</v>
      </c>
      <c r="K107" s="138">
        <f t="shared" ref="K107" si="67">+((B107/A107)-(E107/D107))/(B107/A107)</f>
        <v>3.5467794509846141E-2</v>
      </c>
    </row>
    <row r="108" spans="1:11" ht="15" thickBot="1" x14ac:dyDescent="0.35">
      <c r="A108" s="175">
        <v>167</v>
      </c>
      <c r="B108" s="8">
        <v>5623.75</v>
      </c>
      <c r="C108" s="8" t="s">
        <v>5690</v>
      </c>
      <c r="D108" s="8">
        <f>+H108</f>
        <v>167</v>
      </c>
      <c r="E108" s="8">
        <f>+I108</f>
        <v>5357.5</v>
      </c>
      <c r="F108" s="8" t="s">
        <v>5691</v>
      </c>
      <c r="G108" s="8">
        <v>65521</v>
      </c>
      <c r="H108" s="8">
        <v>167</v>
      </c>
      <c r="I108" s="8">
        <v>5357.5</v>
      </c>
      <c r="J108" s="58">
        <f t="shared" ref="J108:J110" si="68">+A108-D108</f>
        <v>0</v>
      </c>
      <c r="K108" s="138">
        <f t="shared" ref="K108:K110" si="69">+((B108/A108)-(E108/D108))/(B108/A108)</f>
        <v>4.7343854189820012E-2</v>
      </c>
    </row>
    <row r="109" spans="1:11" ht="15" thickBot="1" x14ac:dyDescent="0.35">
      <c r="A109" s="175">
        <v>263</v>
      </c>
      <c r="B109" s="8">
        <v>10937.5</v>
      </c>
      <c r="C109" s="8" t="s">
        <v>5692</v>
      </c>
      <c r="D109" s="8">
        <f>+H109</f>
        <v>263</v>
      </c>
      <c r="E109" s="8">
        <f>+I109</f>
        <v>10712.5</v>
      </c>
      <c r="F109" s="8" t="s">
        <v>5693</v>
      </c>
      <c r="G109" s="8">
        <v>65571</v>
      </c>
      <c r="H109" s="8">
        <v>263</v>
      </c>
      <c r="I109" s="8">
        <v>10712.5</v>
      </c>
      <c r="J109" s="58">
        <f t="shared" si="68"/>
        <v>0</v>
      </c>
      <c r="K109" s="138">
        <f t="shared" si="69"/>
        <v>2.0571428571428633E-2</v>
      </c>
    </row>
    <row r="110" spans="1:11" x14ac:dyDescent="0.3">
      <c r="A110" s="871">
        <v>600</v>
      </c>
      <c r="B110" s="873">
        <v>27819.75</v>
      </c>
      <c r="C110" s="873" t="s">
        <v>5694</v>
      </c>
      <c r="D110" s="873">
        <f>+H110+H111</f>
        <v>600</v>
      </c>
      <c r="E110" s="873">
        <f>+I110+I111</f>
        <v>26758.399999999994</v>
      </c>
      <c r="F110" s="442" t="s">
        <v>5671</v>
      </c>
      <c r="G110" s="442">
        <v>65621</v>
      </c>
      <c r="H110" s="442">
        <v>200</v>
      </c>
      <c r="I110" s="442">
        <v>8596.6999999999989</v>
      </c>
      <c r="J110" s="877">
        <f t="shared" si="68"/>
        <v>0</v>
      </c>
      <c r="K110" s="879">
        <f t="shared" si="69"/>
        <v>3.8150953908644251E-2</v>
      </c>
    </row>
    <row r="111" spans="1:11" ht="15" thickBot="1" x14ac:dyDescent="0.35">
      <c r="A111" s="872"/>
      <c r="B111" s="874"/>
      <c r="C111" s="874"/>
      <c r="D111" s="874"/>
      <c r="E111" s="874"/>
      <c r="F111" s="444" t="s">
        <v>5671</v>
      </c>
      <c r="G111" s="444">
        <v>65621</v>
      </c>
      <c r="H111" s="444">
        <v>400</v>
      </c>
      <c r="I111" s="444">
        <v>18161.699999999997</v>
      </c>
      <c r="J111" s="878"/>
      <c r="K111" s="880"/>
    </row>
    <row r="112" spans="1:11" x14ac:dyDescent="0.3">
      <c r="A112" s="871">
        <v>691</v>
      </c>
      <c r="B112" s="873">
        <v>27520.400000000001</v>
      </c>
      <c r="C112" s="873" t="s">
        <v>5814</v>
      </c>
      <c r="D112" s="873">
        <f>+H112+H113+42+150</f>
        <v>692</v>
      </c>
      <c r="E112" s="873">
        <f>+I112+I113+1644.5+5720</f>
        <v>26740.300000000003</v>
      </c>
      <c r="F112" s="458" t="s">
        <v>5675</v>
      </c>
      <c r="G112" s="13">
        <v>65691</v>
      </c>
      <c r="H112" s="458">
        <v>300</v>
      </c>
      <c r="I112" s="458">
        <v>11568.600000000002</v>
      </c>
      <c r="J112" s="877">
        <f t="shared" ref="J112" si="70">+A112-D112</f>
        <v>-1</v>
      </c>
      <c r="K112" s="879">
        <f t="shared" ref="K112" si="71">+((B112/A112)-(E112/D112))/(B112/A112)</f>
        <v>2.9750368890827144E-2</v>
      </c>
    </row>
    <row r="113" spans="1:11" ht="15" thickBot="1" x14ac:dyDescent="0.35">
      <c r="A113" s="872"/>
      <c r="B113" s="874"/>
      <c r="C113" s="874"/>
      <c r="D113" s="874"/>
      <c r="E113" s="874"/>
      <c r="F113" s="461" t="s">
        <v>5675</v>
      </c>
      <c r="G113" s="11">
        <v>65692</v>
      </c>
      <c r="H113" s="459">
        <v>200</v>
      </c>
      <c r="I113" s="459">
        <v>7807.2</v>
      </c>
      <c r="J113" s="878"/>
      <c r="K113" s="880"/>
    </row>
    <row r="114" spans="1:11" ht="15" thickBot="1" x14ac:dyDescent="0.35">
      <c r="A114" s="175">
        <v>260</v>
      </c>
      <c r="B114" s="8">
        <v>11379.75</v>
      </c>
      <c r="C114" s="8" t="s">
        <v>5967</v>
      </c>
      <c r="D114" s="8">
        <f>+H114</f>
        <v>260</v>
      </c>
      <c r="E114" s="8">
        <f>+I114</f>
        <v>10979.3</v>
      </c>
      <c r="F114" s="8" t="s">
        <v>5968</v>
      </c>
      <c r="G114" s="8">
        <v>65781</v>
      </c>
      <c r="H114" s="8">
        <v>260</v>
      </c>
      <c r="I114" s="8">
        <v>10979.3</v>
      </c>
      <c r="J114" s="58">
        <f t="shared" ref="J114" si="72">+A114-D114</f>
        <v>0</v>
      </c>
      <c r="K114" s="138">
        <f t="shared" ref="K114" si="73">+((B114/A114)-(E114/D114))/(B114/A114)</f>
        <v>3.5189701003976379E-2</v>
      </c>
    </row>
    <row r="115" spans="1:11" ht="15" thickBot="1" x14ac:dyDescent="0.35">
      <c r="A115" s="493">
        <v>400</v>
      </c>
      <c r="B115" s="495">
        <v>18774.25</v>
      </c>
      <c r="C115" s="495" t="s">
        <v>6068</v>
      </c>
      <c r="D115" s="495">
        <f t="shared" ref="D115:E116" si="74">+H115</f>
        <v>400</v>
      </c>
      <c r="E115" s="495">
        <f t="shared" si="74"/>
        <v>18204.5</v>
      </c>
      <c r="F115" s="495" t="s">
        <v>6069</v>
      </c>
      <c r="G115" s="495">
        <v>66031</v>
      </c>
      <c r="H115" s="495">
        <v>400</v>
      </c>
      <c r="I115" s="495">
        <v>18204.5</v>
      </c>
      <c r="J115" s="58">
        <f t="shared" ref="J115:J117" si="75">+A115-D115</f>
        <v>0</v>
      </c>
      <c r="K115" s="138">
        <f t="shared" ref="K115:K117" si="76">+((B115/A115)-(E115/D115))/(B115/A115)</f>
        <v>3.034741734024006E-2</v>
      </c>
    </row>
    <row r="116" spans="1:11" ht="15" thickBot="1" x14ac:dyDescent="0.35">
      <c r="A116" s="175">
        <v>658</v>
      </c>
      <c r="B116" s="8">
        <v>29955.25</v>
      </c>
      <c r="C116" s="8" t="s">
        <v>6042</v>
      </c>
      <c r="D116" s="8">
        <f t="shared" si="74"/>
        <v>655</v>
      </c>
      <c r="E116" s="8">
        <f t="shared" si="74"/>
        <v>28668.699999999997</v>
      </c>
      <c r="F116" s="8" t="s">
        <v>6070</v>
      </c>
      <c r="G116" s="8">
        <v>66171</v>
      </c>
      <c r="H116" s="8">
        <v>655</v>
      </c>
      <c r="I116" s="8">
        <v>28668.699999999997</v>
      </c>
      <c r="J116" s="58">
        <f t="shared" si="75"/>
        <v>3</v>
      </c>
      <c r="K116" s="138">
        <f t="shared" si="76"/>
        <v>3.8565626295866025E-2</v>
      </c>
    </row>
    <row r="117" spans="1:11" x14ac:dyDescent="0.3">
      <c r="A117" s="871">
        <v>482</v>
      </c>
      <c r="B117" s="873">
        <v>19429.900000000001</v>
      </c>
      <c r="C117" s="873" t="s">
        <v>6169</v>
      </c>
      <c r="D117" s="873">
        <f>+H117+H118</f>
        <v>482</v>
      </c>
      <c r="E117" s="873">
        <f>+I117+I118</f>
        <v>18519.099999999999</v>
      </c>
      <c r="F117" s="510" t="s">
        <v>6170</v>
      </c>
      <c r="G117" s="510">
        <v>66221</v>
      </c>
      <c r="H117" s="510">
        <v>200</v>
      </c>
      <c r="I117" s="510">
        <v>7777.1</v>
      </c>
      <c r="J117" s="877">
        <f t="shared" si="75"/>
        <v>0</v>
      </c>
      <c r="K117" s="879">
        <f t="shared" si="76"/>
        <v>4.6876206259425172E-2</v>
      </c>
    </row>
    <row r="118" spans="1:11" ht="15" thickBot="1" x14ac:dyDescent="0.35">
      <c r="A118" s="875"/>
      <c r="B118" s="881"/>
      <c r="C118" s="881"/>
      <c r="D118" s="881"/>
      <c r="E118" s="881"/>
      <c r="F118" s="513" t="s">
        <v>6170</v>
      </c>
      <c r="G118" s="513">
        <v>66221</v>
      </c>
      <c r="H118" s="513">
        <v>282</v>
      </c>
      <c r="I118" s="513">
        <v>10742</v>
      </c>
      <c r="J118" s="878"/>
      <c r="K118" s="880"/>
    </row>
    <row r="119" spans="1:11" x14ac:dyDescent="0.3">
      <c r="A119" s="871">
        <v>291</v>
      </c>
      <c r="B119" s="873">
        <v>12808</v>
      </c>
      <c r="C119" s="873" t="s">
        <v>6171</v>
      </c>
      <c r="D119" s="873">
        <f>+H119+H120</f>
        <v>291</v>
      </c>
      <c r="E119" s="873">
        <f>+I119+I120</f>
        <v>12393.8</v>
      </c>
      <c r="F119" s="510" t="s">
        <v>6172</v>
      </c>
      <c r="G119" s="510">
        <v>66261</v>
      </c>
      <c r="H119" s="510">
        <v>266</v>
      </c>
      <c r="I119" s="510">
        <v>11331.599999999999</v>
      </c>
      <c r="J119" s="877">
        <f t="shared" ref="J119" si="77">+A119-D119</f>
        <v>0</v>
      </c>
      <c r="K119" s="879">
        <f t="shared" ref="K119" si="78">+((B119/A119)-(E119/D119))/(B119/A119)</f>
        <v>3.2339163023110684E-2</v>
      </c>
    </row>
    <row r="120" spans="1:11" ht="15" thickBot="1" x14ac:dyDescent="0.35">
      <c r="A120" s="872"/>
      <c r="B120" s="874"/>
      <c r="C120" s="874"/>
      <c r="D120" s="874"/>
      <c r="E120" s="874"/>
      <c r="F120" s="511" t="s">
        <v>6172</v>
      </c>
      <c r="G120" s="511">
        <v>66261</v>
      </c>
      <c r="H120" s="511">
        <v>25</v>
      </c>
      <c r="I120" s="511">
        <v>1062.2</v>
      </c>
      <c r="J120" s="878"/>
      <c r="K120" s="880"/>
    </row>
    <row r="121" spans="1:11" ht="15" thickBot="1" x14ac:dyDescent="0.35">
      <c r="A121" s="508">
        <v>55</v>
      </c>
      <c r="B121" s="510">
        <v>2396.5</v>
      </c>
      <c r="C121" s="510" t="s">
        <v>6173</v>
      </c>
      <c r="D121" s="510">
        <f>+H121</f>
        <v>55</v>
      </c>
      <c r="E121" s="510">
        <f>+I121</f>
        <v>2299.6</v>
      </c>
      <c r="F121" s="510" t="s">
        <v>6174</v>
      </c>
      <c r="G121" s="510">
        <v>66301</v>
      </c>
      <c r="H121" s="510">
        <v>55</v>
      </c>
      <c r="I121" s="510">
        <v>2299.6</v>
      </c>
      <c r="J121" s="58">
        <f t="shared" ref="J121:J122" si="79">+A121-D121</f>
        <v>0</v>
      </c>
      <c r="K121" s="138">
        <f t="shared" ref="K121" si="80">+((B121/A121)-(E121/D121))/(B121/A121)</f>
        <v>4.0433966200709284E-2</v>
      </c>
    </row>
    <row r="122" spans="1:11" x14ac:dyDescent="0.3">
      <c r="A122" s="871">
        <v>1335</v>
      </c>
      <c r="B122" s="873">
        <v>50114.2</v>
      </c>
      <c r="C122" s="873" t="s">
        <v>6175</v>
      </c>
      <c r="D122" s="873">
        <f>+H122+H124+H123</f>
        <v>1336</v>
      </c>
      <c r="E122" s="873">
        <f>+I122+I124+I123</f>
        <v>48722.9</v>
      </c>
      <c r="F122" s="510" t="s">
        <v>6176</v>
      </c>
      <c r="G122" s="510">
        <v>66311</v>
      </c>
      <c r="H122" s="510">
        <v>495</v>
      </c>
      <c r="I122" s="510">
        <v>18126.5</v>
      </c>
      <c r="J122" s="877">
        <f t="shared" si="79"/>
        <v>-1</v>
      </c>
      <c r="K122" s="879">
        <f t="shared" ref="K122" si="81">(+B122-E122)/B122</f>
        <v>2.7762590243882886E-2</v>
      </c>
    </row>
    <row r="123" spans="1:11" x14ac:dyDescent="0.3">
      <c r="A123" s="875"/>
      <c r="B123" s="881"/>
      <c r="C123" s="881"/>
      <c r="D123" s="881"/>
      <c r="E123" s="881"/>
      <c r="F123" s="513" t="s">
        <v>6176</v>
      </c>
      <c r="G123" s="513">
        <v>66311</v>
      </c>
      <c r="H123" s="513">
        <v>606</v>
      </c>
      <c r="I123" s="513">
        <v>22038.9</v>
      </c>
      <c r="J123" s="886"/>
      <c r="K123" s="885"/>
    </row>
    <row r="124" spans="1:11" ht="15" thickBot="1" x14ac:dyDescent="0.35">
      <c r="A124" s="872"/>
      <c r="B124" s="874"/>
      <c r="C124" s="874"/>
      <c r="D124" s="874"/>
      <c r="E124" s="874"/>
      <c r="F124" s="511" t="s">
        <v>6176</v>
      </c>
      <c r="G124" s="511">
        <v>66311</v>
      </c>
      <c r="H124" s="511">
        <v>235</v>
      </c>
      <c r="I124" s="511">
        <v>8557.5</v>
      </c>
      <c r="J124" s="878"/>
      <c r="K124" s="880"/>
    </row>
    <row r="125" spans="1:11" ht="15" thickBot="1" x14ac:dyDescent="0.35">
      <c r="A125" s="175">
        <v>267</v>
      </c>
      <c r="B125" s="8">
        <v>13295</v>
      </c>
      <c r="C125" s="8" t="s">
        <v>6177</v>
      </c>
      <c r="D125" s="8">
        <f t="shared" ref="D125:E127" si="82">+H125</f>
        <v>267</v>
      </c>
      <c r="E125" s="8">
        <f t="shared" si="82"/>
        <v>12673.4</v>
      </c>
      <c r="F125" s="8" t="s">
        <v>6178</v>
      </c>
      <c r="G125" s="8">
        <v>66371</v>
      </c>
      <c r="H125" s="8">
        <v>267</v>
      </c>
      <c r="I125" s="8">
        <v>12673.4</v>
      </c>
      <c r="J125" s="58">
        <f t="shared" ref="J125:J129" si="83">+A125-D125</f>
        <v>0</v>
      </c>
      <c r="K125" s="138">
        <f t="shared" ref="K125:K129" si="84">+((B125/A125)-(E125/D125))/(B125/A125)</f>
        <v>4.6754418954494087E-2</v>
      </c>
    </row>
    <row r="126" spans="1:11" ht="15" thickBot="1" x14ac:dyDescent="0.35">
      <c r="A126" s="509">
        <v>473</v>
      </c>
      <c r="B126" s="511">
        <v>20243.25</v>
      </c>
      <c r="C126" s="511" t="s">
        <v>6179</v>
      </c>
      <c r="D126" s="8">
        <f t="shared" si="82"/>
        <v>473</v>
      </c>
      <c r="E126" s="8">
        <f t="shared" si="82"/>
        <v>19526.799999999996</v>
      </c>
      <c r="F126" s="511" t="s">
        <v>6180</v>
      </c>
      <c r="G126" s="511">
        <v>66501</v>
      </c>
      <c r="H126" s="511">
        <v>473</v>
      </c>
      <c r="I126" s="511">
        <v>19526.799999999996</v>
      </c>
      <c r="J126" s="58">
        <f t="shared" si="83"/>
        <v>0</v>
      </c>
      <c r="K126" s="138">
        <f t="shared" si="84"/>
        <v>3.5392044261667734E-2</v>
      </c>
    </row>
    <row r="127" spans="1:11" ht="15" thickBot="1" x14ac:dyDescent="0.35">
      <c r="A127" s="175">
        <v>562</v>
      </c>
      <c r="B127" s="8">
        <v>27081.25</v>
      </c>
      <c r="C127" s="8" t="s">
        <v>6181</v>
      </c>
      <c r="D127" s="8">
        <f t="shared" si="82"/>
        <v>562</v>
      </c>
      <c r="E127" s="8">
        <f t="shared" si="82"/>
        <v>25712.000000000004</v>
      </c>
      <c r="F127" s="8" t="s">
        <v>6182</v>
      </c>
      <c r="G127" s="8">
        <v>66521</v>
      </c>
      <c r="H127" s="8">
        <v>562</v>
      </c>
      <c r="I127" s="8">
        <v>25712.000000000004</v>
      </c>
      <c r="J127" s="58">
        <f t="shared" si="83"/>
        <v>0</v>
      </c>
      <c r="K127" s="138">
        <f t="shared" si="84"/>
        <v>5.0560812370182243E-2</v>
      </c>
    </row>
    <row r="128" spans="1:11" ht="15" thickBot="1" x14ac:dyDescent="0.35">
      <c r="A128" s="509">
        <v>461</v>
      </c>
      <c r="B128" s="511">
        <v>17428.400000000001</v>
      </c>
      <c r="C128" s="511" t="s">
        <v>6183</v>
      </c>
      <c r="D128" s="8">
        <f>+H128+223</f>
        <v>461</v>
      </c>
      <c r="E128" s="8">
        <f>+I128+8346.2</f>
        <v>16577.900000000001</v>
      </c>
      <c r="F128" s="511" t="s">
        <v>6184</v>
      </c>
      <c r="G128" s="511">
        <v>66531</v>
      </c>
      <c r="H128" s="511">
        <v>238</v>
      </c>
      <c r="I128" s="511">
        <v>8231.6999999999989</v>
      </c>
      <c r="J128" s="58">
        <f t="shared" si="83"/>
        <v>0</v>
      </c>
      <c r="K128" s="138">
        <f t="shared" si="84"/>
        <v>4.8799660324527712E-2</v>
      </c>
    </row>
    <row r="129" spans="1:11" x14ac:dyDescent="0.3">
      <c r="A129" s="960">
        <v>1281</v>
      </c>
      <c r="B129" s="962">
        <v>65705</v>
      </c>
      <c r="C129" s="962" t="s">
        <v>6305</v>
      </c>
      <c r="D129" s="873">
        <f>+H129+H130+H131+H132</f>
        <v>1280</v>
      </c>
      <c r="E129" s="873">
        <f>+I129+I130+I131+I132</f>
        <v>63727.9</v>
      </c>
      <c r="F129" s="524" t="s">
        <v>6306</v>
      </c>
      <c r="G129" s="524">
        <v>66561</v>
      </c>
      <c r="H129" s="583">
        <v>380</v>
      </c>
      <c r="I129" s="583">
        <v>18709.600000000002</v>
      </c>
      <c r="J129" s="877">
        <f t="shared" si="83"/>
        <v>1</v>
      </c>
      <c r="K129" s="879">
        <f t="shared" si="84"/>
        <v>2.9332814521345361E-2</v>
      </c>
    </row>
    <row r="130" spans="1:11" x14ac:dyDescent="0.3">
      <c r="A130" s="987"/>
      <c r="B130" s="990"/>
      <c r="C130" s="990"/>
      <c r="D130" s="881"/>
      <c r="E130" s="881"/>
      <c r="F130" s="527" t="s">
        <v>6306</v>
      </c>
      <c r="G130" s="527">
        <v>66561</v>
      </c>
      <c r="H130" s="584">
        <v>65</v>
      </c>
      <c r="I130" s="584">
        <v>3254.4</v>
      </c>
      <c r="J130" s="886"/>
      <c r="K130" s="885"/>
    </row>
    <row r="131" spans="1:11" x14ac:dyDescent="0.3">
      <c r="A131" s="987"/>
      <c r="B131" s="990"/>
      <c r="C131" s="990"/>
      <c r="D131" s="881"/>
      <c r="E131" s="881"/>
      <c r="F131" s="527" t="s">
        <v>6306</v>
      </c>
      <c r="G131" s="527">
        <v>66561</v>
      </c>
      <c r="H131" s="584">
        <v>260</v>
      </c>
      <c r="I131" s="584">
        <v>13288.3</v>
      </c>
      <c r="J131" s="886"/>
      <c r="K131" s="885"/>
    </row>
    <row r="132" spans="1:11" ht="15" thickBot="1" x14ac:dyDescent="0.35">
      <c r="A132" s="961"/>
      <c r="B132" s="963"/>
      <c r="C132" s="963"/>
      <c r="D132" s="874"/>
      <c r="E132" s="874"/>
      <c r="F132" s="525" t="s">
        <v>6306</v>
      </c>
      <c r="G132" s="525">
        <v>66561</v>
      </c>
      <c r="H132" s="585">
        <v>575</v>
      </c>
      <c r="I132" s="585">
        <v>28475.599999999999</v>
      </c>
      <c r="J132" s="878"/>
      <c r="K132" s="880"/>
    </row>
    <row r="133" spans="1:11" x14ac:dyDescent="0.3">
      <c r="A133" s="871">
        <v>1002</v>
      </c>
      <c r="B133" s="873">
        <v>38140.6</v>
      </c>
      <c r="C133" s="873" t="s">
        <v>6307</v>
      </c>
      <c r="D133" s="873">
        <f>+H133+H134</f>
        <v>1002</v>
      </c>
      <c r="E133" s="873">
        <f>+I133+I134</f>
        <v>36483.199999999997</v>
      </c>
      <c r="F133" s="524" t="s">
        <v>6308</v>
      </c>
      <c r="G133" s="524">
        <v>66571</v>
      </c>
      <c r="H133" s="583">
        <v>300</v>
      </c>
      <c r="I133" s="583">
        <v>11193</v>
      </c>
      <c r="J133" s="877">
        <f t="shared" ref="J133" si="85">+A133-D133</f>
        <v>0</v>
      </c>
      <c r="K133" s="879">
        <f t="shared" ref="K133" si="86">+((B133/A133)-(E133/D133))/(B133/A133)</f>
        <v>4.3455005951663177E-2</v>
      </c>
    </row>
    <row r="134" spans="1:11" ht="15" thickBot="1" x14ac:dyDescent="0.35">
      <c r="A134" s="872"/>
      <c r="B134" s="874"/>
      <c r="C134" s="874"/>
      <c r="D134" s="874"/>
      <c r="E134" s="874"/>
      <c r="F134" s="525" t="s">
        <v>6308</v>
      </c>
      <c r="G134" s="525">
        <v>66571</v>
      </c>
      <c r="H134" s="585">
        <v>702</v>
      </c>
      <c r="I134" s="585">
        <v>25290.2</v>
      </c>
      <c r="J134" s="878"/>
      <c r="K134" s="880"/>
    </row>
    <row r="135" spans="1:11" x14ac:dyDescent="0.3">
      <c r="A135" s="871">
        <v>1003</v>
      </c>
      <c r="B135" s="873">
        <v>47041.5</v>
      </c>
      <c r="C135" s="873" t="s">
        <v>6309</v>
      </c>
      <c r="D135" s="873">
        <v>1004</v>
      </c>
      <c r="E135" s="873">
        <v>45389.5</v>
      </c>
      <c r="F135" s="527" t="s">
        <v>6310</v>
      </c>
      <c r="G135" s="527">
        <v>66581</v>
      </c>
      <c r="H135" s="584">
        <v>600</v>
      </c>
      <c r="I135" s="584">
        <v>27291.200000000001</v>
      </c>
      <c r="J135" s="877">
        <f t="shared" ref="J135" si="87">+A135-D135</f>
        <v>-1</v>
      </c>
      <c r="K135" s="879">
        <f t="shared" ref="K135" si="88">+((B135/A135)-(E135/D135))/(B135/A135)</f>
        <v>3.6078965707697308E-2</v>
      </c>
    </row>
    <row r="136" spans="1:11" ht="15" thickBot="1" x14ac:dyDescent="0.35">
      <c r="A136" s="872"/>
      <c r="B136" s="874"/>
      <c r="C136" s="874"/>
      <c r="D136" s="874"/>
      <c r="E136" s="874"/>
      <c r="F136" s="525" t="s">
        <v>6310</v>
      </c>
      <c r="G136" s="525">
        <v>66581</v>
      </c>
      <c r="H136" s="585">
        <v>275</v>
      </c>
      <c r="I136" s="585">
        <v>13764.400000000001</v>
      </c>
      <c r="J136" s="878"/>
      <c r="K136" s="880"/>
    </row>
    <row r="137" spans="1:11" x14ac:dyDescent="0.3">
      <c r="A137" s="871">
        <v>600</v>
      </c>
      <c r="B137" s="873">
        <v>30021.25</v>
      </c>
      <c r="C137" s="873" t="s">
        <v>6384</v>
      </c>
      <c r="D137" s="873">
        <f>+H137+H138</f>
        <v>600</v>
      </c>
      <c r="E137" s="873">
        <f>+I137+I138</f>
        <v>28533.800000000003</v>
      </c>
      <c r="F137" s="587" t="s">
        <v>6385</v>
      </c>
      <c r="G137" s="587">
        <v>66591</v>
      </c>
      <c r="H137" s="587">
        <v>400</v>
      </c>
      <c r="I137" s="587">
        <v>18708</v>
      </c>
      <c r="J137" s="877">
        <f t="shared" ref="J137" si="89">+A137-D137</f>
        <v>0</v>
      </c>
      <c r="K137" s="879">
        <f t="shared" ref="K137" si="90">+((B137/A137)-(E137/D137))/(B137/A137)</f>
        <v>4.9546571178748423E-2</v>
      </c>
    </row>
    <row r="138" spans="1:11" ht="15" thickBot="1" x14ac:dyDescent="0.35">
      <c r="A138" s="872"/>
      <c r="B138" s="874"/>
      <c r="C138" s="874"/>
      <c r="D138" s="874"/>
      <c r="E138" s="874"/>
      <c r="F138" s="589" t="s">
        <v>6385</v>
      </c>
      <c r="G138" s="589">
        <v>66591</v>
      </c>
      <c r="H138" s="589">
        <v>200</v>
      </c>
      <c r="I138" s="589">
        <v>9825.8000000000011</v>
      </c>
      <c r="J138" s="878"/>
      <c r="K138" s="880"/>
    </row>
    <row r="139" spans="1:11" ht="15" thickBot="1" x14ac:dyDescent="0.35">
      <c r="A139" s="591">
        <v>275</v>
      </c>
      <c r="B139" s="594">
        <v>14356.75</v>
      </c>
      <c r="C139" s="594" t="s">
        <v>6386</v>
      </c>
      <c r="D139" s="594">
        <f t="shared" ref="D139:E140" si="91">+H139</f>
        <v>275</v>
      </c>
      <c r="E139" s="594">
        <f t="shared" si="91"/>
        <v>13764.400000000001</v>
      </c>
      <c r="F139" s="594" t="s">
        <v>6387</v>
      </c>
      <c r="G139" s="594">
        <v>66611</v>
      </c>
      <c r="H139" s="588">
        <v>275</v>
      </c>
      <c r="I139" s="588">
        <v>13764.400000000001</v>
      </c>
      <c r="J139" s="58">
        <f t="shared" ref="J139:J140" si="92">+A139-D139</f>
        <v>0</v>
      </c>
      <c r="K139" s="138">
        <f t="shared" ref="K139:K140" si="93">+((B139/A139)-(E139/D139))/(B139/A139)</f>
        <v>4.1259337942082787E-2</v>
      </c>
    </row>
    <row r="140" spans="1:11" ht="15" thickBot="1" x14ac:dyDescent="0.35">
      <c r="A140" s="175">
        <v>179</v>
      </c>
      <c r="B140" s="8">
        <v>7937.7</v>
      </c>
      <c r="C140" s="8" t="s">
        <v>6388</v>
      </c>
      <c r="D140" s="8">
        <f t="shared" si="91"/>
        <v>189</v>
      </c>
      <c r="E140" s="8">
        <f t="shared" si="91"/>
        <v>7696.4</v>
      </c>
      <c r="F140" s="8" t="s">
        <v>6389</v>
      </c>
      <c r="G140" s="8">
        <v>66691</v>
      </c>
      <c r="H140" s="8">
        <v>189</v>
      </c>
      <c r="I140" s="8">
        <v>7696.4</v>
      </c>
      <c r="J140" s="58">
        <f t="shared" si="92"/>
        <v>-10</v>
      </c>
      <c r="K140" s="138">
        <f t="shared" si="93"/>
        <v>8.1700861863881327E-2</v>
      </c>
    </row>
    <row r="141" spans="1:11" ht="15" thickBot="1" x14ac:dyDescent="0.35">
      <c r="A141" s="175">
        <v>850</v>
      </c>
      <c r="B141" s="8">
        <v>41470.75</v>
      </c>
      <c r="C141" s="8" t="s">
        <v>6540</v>
      </c>
      <c r="D141" s="8">
        <v>848</v>
      </c>
      <c r="E141" s="8">
        <v>40177.9</v>
      </c>
      <c r="F141" s="8" t="s">
        <v>6541</v>
      </c>
      <c r="G141" s="8">
        <v>66761</v>
      </c>
      <c r="H141" s="640">
        <v>392</v>
      </c>
      <c r="I141" s="8">
        <v>18217.199999999997</v>
      </c>
      <c r="J141" s="58">
        <f t="shared" ref="J141" si="94">+A141-D141</f>
        <v>2</v>
      </c>
      <c r="K141" s="138">
        <f t="shared" ref="K141" si="95">+((B141/A141)-(E141/D141))/(B141/A141)</f>
        <v>2.8890020119886738E-2</v>
      </c>
    </row>
    <row r="142" spans="1:11" ht="15" thickBot="1" x14ac:dyDescent="0.35">
      <c r="A142" s="175">
        <v>549</v>
      </c>
      <c r="B142" s="8">
        <v>26771.75</v>
      </c>
      <c r="C142" s="8" t="s">
        <v>6888</v>
      </c>
      <c r="D142" s="8">
        <f>+H142</f>
        <v>549</v>
      </c>
      <c r="E142" s="8">
        <f>+I142</f>
        <v>26438.400000000001</v>
      </c>
      <c r="F142" s="8" t="s">
        <v>6889</v>
      </c>
      <c r="G142" s="8">
        <v>66801</v>
      </c>
      <c r="H142" s="732">
        <v>549</v>
      </c>
      <c r="I142" s="8">
        <v>26438.400000000001</v>
      </c>
      <c r="J142" s="58">
        <f t="shared" ref="J142:J143" si="96">+A142-D142</f>
        <v>0</v>
      </c>
      <c r="K142" s="138">
        <f t="shared" ref="K142:K143" si="97">+((B142/A142)-(E142/D142))/(B142/A142)</f>
        <v>1.2451558078945111E-2</v>
      </c>
    </row>
    <row r="143" spans="1:11" x14ac:dyDescent="0.3">
      <c r="A143" s="901">
        <v>506</v>
      </c>
      <c r="B143" s="873">
        <v>26252.7</v>
      </c>
      <c r="C143" s="873" t="s">
        <v>7057</v>
      </c>
      <c r="D143" s="873">
        <v>506</v>
      </c>
      <c r="E143" s="873">
        <v>26357.3</v>
      </c>
      <c r="F143" s="734" t="s">
        <v>7058</v>
      </c>
      <c r="G143" s="734">
        <v>66901</v>
      </c>
      <c r="H143" s="778">
        <v>197</v>
      </c>
      <c r="I143" s="734">
        <v>10113.700000000001</v>
      </c>
      <c r="J143" s="877">
        <f t="shared" si="96"/>
        <v>0</v>
      </c>
      <c r="K143" s="879">
        <f t="shared" si="97"/>
        <v>-3.9843520856902067E-3</v>
      </c>
    </row>
    <row r="144" spans="1:11" ht="15" thickBot="1" x14ac:dyDescent="0.35">
      <c r="A144" s="888"/>
      <c r="B144" s="874"/>
      <c r="C144" s="874"/>
      <c r="D144" s="874"/>
      <c r="E144" s="874"/>
      <c r="F144" s="736" t="s">
        <v>7058</v>
      </c>
      <c r="G144" s="736">
        <v>66901</v>
      </c>
      <c r="H144" s="779">
        <v>138</v>
      </c>
      <c r="I144" s="736">
        <v>7379.2</v>
      </c>
      <c r="J144" s="878"/>
      <c r="K144" s="880"/>
    </row>
    <row r="145" spans="1:11" ht="15" thickBot="1" x14ac:dyDescent="0.35">
      <c r="A145" s="810">
        <v>39</v>
      </c>
      <c r="B145" s="810">
        <v>1740.96</v>
      </c>
      <c r="C145" s="810" t="s">
        <v>7273</v>
      </c>
      <c r="D145" s="810">
        <f t="shared" ref="D145:E147" si="98">+H145</f>
        <v>39</v>
      </c>
      <c r="E145" s="810">
        <f t="shared" si="98"/>
        <v>1725.2</v>
      </c>
      <c r="F145" s="810" t="s">
        <v>7274</v>
      </c>
      <c r="G145" s="810">
        <v>67461</v>
      </c>
      <c r="H145" s="810">
        <v>39</v>
      </c>
      <c r="I145" s="810">
        <v>1725.2</v>
      </c>
      <c r="J145" s="58">
        <f t="shared" ref="J145:J148" si="99">+A145-D145</f>
        <v>0</v>
      </c>
      <c r="K145" s="138">
        <f t="shared" ref="K145:K148" si="100">+((B145/A145)-(E145/D145))/(B145/A145)</f>
        <v>9.0524767944123105E-3</v>
      </c>
    </row>
    <row r="146" spans="1:11" ht="15" thickBot="1" x14ac:dyDescent="0.35">
      <c r="A146" s="175">
        <v>107</v>
      </c>
      <c r="B146" s="8">
        <v>4494</v>
      </c>
      <c r="C146" s="8" t="s">
        <v>7275</v>
      </c>
      <c r="D146" s="8">
        <f t="shared" si="98"/>
        <v>107</v>
      </c>
      <c r="E146" s="8">
        <f t="shared" si="98"/>
        <v>4744.8999999999996</v>
      </c>
      <c r="F146" s="8" t="s">
        <v>7276</v>
      </c>
      <c r="G146" s="8">
        <v>67471</v>
      </c>
      <c r="H146" s="8">
        <v>107</v>
      </c>
      <c r="I146" s="8">
        <v>4744.8999999999996</v>
      </c>
      <c r="J146" s="58">
        <f t="shared" si="99"/>
        <v>0</v>
      </c>
      <c r="K146" s="138">
        <f t="shared" si="100"/>
        <v>-5.5829995549621578E-2</v>
      </c>
    </row>
    <row r="147" spans="1:11" ht="15" thickBot="1" x14ac:dyDescent="0.35">
      <c r="A147" s="175">
        <v>185</v>
      </c>
      <c r="B147" s="8">
        <v>7066.5</v>
      </c>
      <c r="C147" s="8" t="s">
        <v>7277</v>
      </c>
      <c r="D147" s="8">
        <f t="shared" si="98"/>
        <v>185</v>
      </c>
      <c r="E147" s="8">
        <f t="shared" si="98"/>
        <v>7304.9000000000005</v>
      </c>
      <c r="F147" s="8" t="s">
        <v>7278</v>
      </c>
      <c r="G147" s="8">
        <v>67481</v>
      </c>
      <c r="H147" s="8">
        <v>185</v>
      </c>
      <c r="I147" s="8">
        <v>7304.9000000000005</v>
      </c>
      <c r="J147" s="58">
        <f t="shared" si="99"/>
        <v>0</v>
      </c>
      <c r="K147" s="138">
        <f t="shared" si="100"/>
        <v>-3.3736644732187203E-2</v>
      </c>
    </row>
    <row r="148" spans="1:11" x14ac:dyDescent="0.3">
      <c r="A148" s="871">
        <v>602</v>
      </c>
      <c r="B148" s="873">
        <v>23773</v>
      </c>
      <c r="C148" s="873" t="s">
        <v>7367</v>
      </c>
      <c r="D148" s="873">
        <f>+H148+H149</f>
        <v>601</v>
      </c>
      <c r="E148" s="873">
        <f>+I148+I149</f>
        <v>24223.899999999998</v>
      </c>
      <c r="F148" s="835" t="s">
        <v>7368</v>
      </c>
      <c r="G148" s="835">
        <v>67511</v>
      </c>
      <c r="H148" s="835">
        <v>506</v>
      </c>
      <c r="I148" s="835">
        <v>20336.3</v>
      </c>
      <c r="J148" s="877">
        <f t="shared" si="99"/>
        <v>1</v>
      </c>
      <c r="K148" s="879">
        <f t="shared" si="100"/>
        <v>-2.0662347621950714E-2</v>
      </c>
    </row>
    <row r="149" spans="1:11" ht="15" thickBot="1" x14ac:dyDescent="0.35">
      <c r="A149" s="872"/>
      <c r="B149" s="874"/>
      <c r="C149" s="874"/>
      <c r="D149" s="874"/>
      <c r="E149" s="874"/>
      <c r="F149" s="834" t="s">
        <v>7368</v>
      </c>
      <c r="G149" s="834">
        <v>67511</v>
      </c>
      <c r="H149" s="834">
        <v>95</v>
      </c>
      <c r="I149" s="834">
        <v>3887.6</v>
      </c>
      <c r="J149" s="878"/>
      <c r="K149" s="880"/>
    </row>
    <row r="150" spans="1:11" x14ac:dyDescent="0.3">
      <c r="A150" s="15"/>
      <c r="B150" s="15"/>
      <c r="C150" s="15"/>
      <c r="D150" s="15"/>
      <c r="E150" s="15"/>
      <c r="F150" s="15"/>
      <c r="G150" s="15"/>
      <c r="H150" s="15"/>
      <c r="I150" s="15"/>
    </row>
    <row r="151" spans="1:11" x14ac:dyDescent="0.3">
      <c r="A151" s="156">
        <f>SUM(A5:A150)</f>
        <v>55656</v>
      </c>
      <c r="B151" s="156">
        <f>SUM(B5:B150)</f>
        <v>2449008.1100000003</v>
      </c>
      <c r="C151" s="156"/>
      <c r="D151" s="156">
        <f>SUM(D5:D150)</f>
        <v>55485</v>
      </c>
      <c r="E151" s="156">
        <f>SUM(E5:E150)</f>
        <v>2346868.9499999993</v>
      </c>
    </row>
  </sheetData>
  <mergeCells count="264">
    <mergeCell ref="A122:A124"/>
    <mergeCell ref="B122:B124"/>
    <mergeCell ref="C122:C124"/>
    <mergeCell ref="D122:D124"/>
    <mergeCell ref="E122:E124"/>
    <mergeCell ref="A117:A118"/>
    <mergeCell ref="B117:B118"/>
    <mergeCell ref="C117:C118"/>
    <mergeCell ref="D117:D118"/>
    <mergeCell ref="E117:E118"/>
    <mergeCell ref="A119:A120"/>
    <mergeCell ref="B119:B120"/>
    <mergeCell ref="C119:C120"/>
    <mergeCell ref="D119:D120"/>
    <mergeCell ref="E119:E120"/>
    <mergeCell ref="J84:J85"/>
    <mergeCell ref="K84:K85"/>
    <mergeCell ref="A84:A85"/>
    <mergeCell ref="B84:B85"/>
    <mergeCell ref="C84:C85"/>
    <mergeCell ref="D84:D85"/>
    <mergeCell ref="E84:E85"/>
    <mergeCell ref="J87:J89"/>
    <mergeCell ref="K87:K89"/>
    <mergeCell ref="A87:A89"/>
    <mergeCell ref="B87:B89"/>
    <mergeCell ref="C87:C89"/>
    <mergeCell ref="D87:D89"/>
    <mergeCell ref="E87:E89"/>
    <mergeCell ref="A69:A70"/>
    <mergeCell ref="B69:B70"/>
    <mergeCell ref="C69:C70"/>
    <mergeCell ref="D69:D70"/>
    <mergeCell ref="E69:E70"/>
    <mergeCell ref="J69:J70"/>
    <mergeCell ref="K69:K70"/>
    <mergeCell ref="J72:J73"/>
    <mergeCell ref="K72:K73"/>
    <mergeCell ref="J74:J75"/>
    <mergeCell ref="K74:K75"/>
    <mergeCell ref="A72:A73"/>
    <mergeCell ref="B72:B73"/>
    <mergeCell ref="C72:C73"/>
    <mergeCell ref="D72:D73"/>
    <mergeCell ref="E72:E73"/>
    <mergeCell ref="A74:A75"/>
    <mergeCell ref="B74:B75"/>
    <mergeCell ref="C74:C75"/>
    <mergeCell ref="D74:D75"/>
    <mergeCell ref="E74:E75"/>
    <mergeCell ref="J60:J61"/>
    <mergeCell ref="J62:J64"/>
    <mergeCell ref="J65:J66"/>
    <mergeCell ref="K60:K61"/>
    <mergeCell ref="K62:K64"/>
    <mergeCell ref="K65:K66"/>
    <mergeCell ref="A65:A66"/>
    <mergeCell ref="B65:B66"/>
    <mergeCell ref="C65:C66"/>
    <mergeCell ref="D65:D66"/>
    <mergeCell ref="E65:E66"/>
    <mergeCell ref="A62:A64"/>
    <mergeCell ref="B62:B64"/>
    <mergeCell ref="C62:C64"/>
    <mergeCell ref="D62:D64"/>
    <mergeCell ref="E62:E64"/>
    <mergeCell ref="A60:A61"/>
    <mergeCell ref="B60:B61"/>
    <mergeCell ref="C60:C61"/>
    <mergeCell ref="D60:D61"/>
    <mergeCell ref="E60:E61"/>
    <mergeCell ref="D6:D7"/>
    <mergeCell ref="E6:E7"/>
    <mergeCell ref="C21:C22"/>
    <mergeCell ref="D21:D22"/>
    <mergeCell ref="E21:E22"/>
    <mergeCell ref="D36:D37"/>
    <mergeCell ref="E36:E37"/>
    <mergeCell ref="B53:B55"/>
    <mergeCell ref="C53:C55"/>
    <mergeCell ref="D53:D55"/>
    <mergeCell ref="E53:E55"/>
    <mergeCell ref="D45:D46"/>
    <mergeCell ref="C45:C46"/>
    <mergeCell ref="J21:J22"/>
    <mergeCell ref="K21:K22"/>
    <mergeCell ref="A21:A22"/>
    <mergeCell ref="J56:J57"/>
    <mergeCell ref="K56:K57"/>
    <mergeCell ref="A56:A57"/>
    <mergeCell ref="B56:B57"/>
    <mergeCell ref="C56:C57"/>
    <mergeCell ref="D56:D57"/>
    <mergeCell ref="E56:E57"/>
    <mergeCell ref="J36:J37"/>
    <mergeCell ref="J41:J43"/>
    <mergeCell ref="K36:K37"/>
    <mergeCell ref="K41:K43"/>
    <mergeCell ref="A41:A43"/>
    <mergeCell ref="B41:B43"/>
    <mergeCell ref="C41:C43"/>
    <mergeCell ref="D41:D43"/>
    <mergeCell ref="E41:E43"/>
    <mergeCell ref="A36:A37"/>
    <mergeCell ref="B36:B37"/>
    <mergeCell ref="C36:C37"/>
    <mergeCell ref="E45:E46"/>
    <mergeCell ref="B21:B22"/>
    <mergeCell ref="A3:C3"/>
    <mergeCell ref="D3:E3"/>
    <mergeCell ref="G3:G4"/>
    <mergeCell ref="J3:J4"/>
    <mergeCell ref="K3:K4"/>
    <mergeCell ref="J14:J15"/>
    <mergeCell ref="K14:K15"/>
    <mergeCell ref="A14:A15"/>
    <mergeCell ref="B14:B15"/>
    <mergeCell ref="C14:C15"/>
    <mergeCell ref="D14:D15"/>
    <mergeCell ref="E14:E15"/>
    <mergeCell ref="J6:J7"/>
    <mergeCell ref="J10:J11"/>
    <mergeCell ref="K6:K7"/>
    <mergeCell ref="K10:K11"/>
    <mergeCell ref="A10:A11"/>
    <mergeCell ref="B10:B11"/>
    <mergeCell ref="C10:C11"/>
    <mergeCell ref="D10:D11"/>
    <mergeCell ref="E10:E11"/>
    <mergeCell ref="A6:A7"/>
    <mergeCell ref="B6:B7"/>
    <mergeCell ref="C6:C7"/>
    <mergeCell ref="J53:J55"/>
    <mergeCell ref="K53:K55"/>
    <mergeCell ref="J26:J27"/>
    <mergeCell ref="K26:K27"/>
    <mergeCell ref="A26:A27"/>
    <mergeCell ref="B26:B27"/>
    <mergeCell ref="C26:C27"/>
    <mergeCell ref="D26:D27"/>
    <mergeCell ref="E26:E27"/>
    <mergeCell ref="J29:J31"/>
    <mergeCell ref="K29:K31"/>
    <mergeCell ref="A29:A31"/>
    <mergeCell ref="B29:B31"/>
    <mergeCell ref="C29:C31"/>
    <mergeCell ref="D29:D31"/>
    <mergeCell ref="E29:E31"/>
    <mergeCell ref="A53:A55"/>
    <mergeCell ref="J96:J97"/>
    <mergeCell ref="K96:K97"/>
    <mergeCell ref="J91:J92"/>
    <mergeCell ref="K91:K92"/>
    <mergeCell ref="J93:J94"/>
    <mergeCell ref="K93:K94"/>
    <mergeCell ref="J34:J35"/>
    <mergeCell ref="K34:K35"/>
    <mergeCell ref="A34:A35"/>
    <mergeCell ref="B34:B35"/>
    <mergeCell ref="C34:C35"/>
    <mergeCell ref="D34:D35"/>
    <mergeCell ref="E34:E35"/>
    <mergeCell ref="J45:J46"/>
    <mergeCell ref="J49:J50"/>
    <mergeCell ref="K45:K46"/>
    <mergeCell ref="K49:K50"/>
    <mergeCell ref="A49:A50"/>
    <mergeCell ref="B49:B50"/>
    <mergeCell ref="C49:C50"/>
    <mergeCell ref="D49:D50"/>
    <mergeCell ref="E49:E50"/>
    <mergeCell ref="A45:A46"/>
    <mergeCell ref="B45:B46"/>
    <mergeCell ref="E91:E92"/>
    <mergeCell ref="A93:A94"/>
    <mergeCell ref="B93:B94"/>
    <mergeCell ref="C93:C94"/>
    <mergeCell ref="D93:D94"/>
    <mergeCell ref="E93:E94"/>
    <mergeCell ref="A96:A97"/>
    <mergeCell ref="B96:B97"/>
    <mergeCell ref="C96:C97"/>
    <mergeCell ref="D96:D97"/>
    <mergeCell ref="E96:E97"/>
    <mergeCell ref="A91:A92"/>
    <mergeCell ref="B91:B92"/>
    <mergeCell ref="C91:C92"/>
    <mergeCell ref="D91:D92"/>
    <mergeCell ref="A105:A106"/>
    <mergeCell ref="B105:B106"/>
    <mergeCell ref="C105:C106"/>
    <mergeCell ref="D105:D106"/>
    <mergeCell ref="E105:E106"/>
    <mergeCell ref="J105:J106"/>
    <mergeCell ref="K105:K106"/>
    <mergeCell ref="J100:J101"/>
    <mergeCell ref="K100:K101"/>
    <mergeCell ref="E100:E101"/>
    <mergeCell ref="D100:D101"/>
    <mergeCell ref="A100:A101"/>
    <mergeCell ref="B100:B101"/>
    <mergeCell ref="C100:C101"/>
    <mergeCell ref="B133:B134"/>
    <mergeCell ref="C133:C134"/>
    <mergeCell ref="D133:D134"/>
    <mergeCell ref="E133:E134"/>
    <mergeCell ref="J112:J113"/>
    <mergeCell ref="K112:K113"/>
    <mergeCell ref="A110:A111"/>
    <mergeCell ref="B110:B111"/>
    <mergeCell ref="C110:C111"/>
    <mergeCell ref="D110:D111"/>
    <mergeCell ref="E110:E111"/>
    <mergeCell ref="J110:J111"/>
    <mergeCell ref="K110:K111"/>
    <mergeCell ref="A112:A113"/>
    <mergeCell ref="B112:B113"/>
    <mergeCell ref="C112:C113"/>
    <mergeCell ref="D112:D113"/>
    <mergeCell ref="E112:E113"/>
    <mergeCell ref="J117:J118"/>
    <mergeCell ref="K117:K118"/>
    <mergeCell ref="J119:J120"/>
    <mergeCell ref="K119:K120"/>
    <mergeCell ref="J122:J124"/>
    <mergeCell ref="K122:K124"/>
    <mergeCell ref="A137:A138"/>
    <mergeCell ref="B137:B138"/>
    <mergeCell ref="C137:C138"/>
    <mergeCell ref="D137:D138"/>
    <mergeCell ref="E137:E138"/>
    <mergeCell ref="J137:J138"/>
    <mergeCell ref="K137:K138"/>
    <mergeCell ref="J129:J132"/>
    <mergeCell ref="K129:K132"/>
    <mergeCell ref="A135:A136"/>
    <mergeCell ref="B135:B136"/>
    <mergeCell ref="C135:C136"/>
    <mergeCell ref="D135:D136"/>
    <mergeCell ref="E135:E136"/>
    <mergeCell ref="J133:J134"/>
    <mergeCell ref="K133:K134"/>
    <mergeCell ref="J135:J136"/>
    <mergeCell ref="K135:K136"/>
    <mergeCell ref="A129:A132"/>
    <mergeCell ref="B129:B132"/>
    <mergeCell ref="C129:C132"/>
    <mergeCell ref="D129:D132"/>
    <mergeCell ref="E129:E132"/>
    <mergeCell ref="A133:A134"/>
    <mergeCell ref="A148:A149"/>
    <mergeCell ref="B148:B149"/>
    <mergeCell ref="C148:C149"/>
    <mergeCell ref="D148:D149"/>
    <mergeCell ref="E148:E149"/>
    <mergeCell ref="J148:J149"/>
    <mergeCell ref="K148:K149"/>
    <mergeCell ref="A143:A144"/>
    <mergeCell ref="B143:B144"/>
    <mergeCell ref="C143:C144"/>
    <mergeCell ref="D143:D144"/>
    <mergeCell ref="E143:E144"/>
    <mergeCell ref="J143:J144"/>
    <mergeCell ref="K143:K144"/>
  </mergeCells>
  <pageMargins left="0.7" right="0.7" top="0.75" bottom="0.75" header="0.3" footer="0.3"/>
  <pageSetup orientation="portrait" horizontalDpi="4294967295" verticalDpi="4294967295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81ADFD-13DB-43EE-84E2-DF7C2C00C800}">
  <dimension ref="A1:K20"/>
  <sheetViews>
    <sheetView zoomScale="80" zoomScaleNormal="80" workbookViewId="0">
      <selection activeCell="E19" sqref="E19"/>
    </sheetView>
  </sheetViews>
  <sheetFormatPr baseColWidth="10" defaultColWidth="8.88671875" defaultRowHeight="14.4" x14ac:dyDescent="0.3"/>
  <cols>
    <col min="3" max="3" width="16" bestFit="1" customWidth="1"/>
    <col min="4" max="4" width="13.33203125" customWidth="1"/>
    <col min="5" max="5" width="11.88671875" customWidth="1"/>
    <col min="9" max="9" width="11.6640625" customWidth="1"/>
    <col min="10" max="10" width="11.33203125" customWidth="1"/>
    <col min="11" max="11" width="12" bestFit="1" customWidth="1"/>
  </cols>
  <sheetData>
    <row r="1" spans="1:11" ht="33.6" x14ac:dyDescent="0.65">
      <c r="A1" s="104" t="s">
        <v>5716</v>
      </c>
      <c r="D1" s="95"/>
      <c r="E1" s="95"/>
      <c r="F1" s="95"/>
      <c r="G1" s="95"/>
      <c r="H1" s="95"/>
      <c r="I1" s="95"/>
    </row>
    <row r="2" spans="1:11" ht="15" thickBot="1" x14ac:dyDescent="0.35">
      <c r="D2" s="50"/>
      <c r="E2" s="50"/>
      <c r="F2" s="50"/>
      <c r="G2" s="50"/>
    </row>
    <row r="3" spans="1:11" x14ac:dyDescent="0.3">
      <c r="A3" s="1021" t="s">
        <v>1</v>
      </c>
      <c r="B3" s="1022"/>
      <c r="C3" s="1023"/>
      <c r="D3" s="1021" t="s">
        <v>2</v>
      </c>
      <c r="E3" s="1023"/>
      <c r="F3" s="4"/>
      <c r="G3" s="1024" t="s">
        <v>3</v>
      </c>
      <c r="H3" s="5"/>
      <c r="I3" s="5"/>
      <c r="J3" s="915" t="s">
        <v>91</v>
      </c>
      <c r="K3" s="984" t="s">
        <v>92</v>
      </c>
    </row>
    <row r="4" spans="1:11" ht="15" thickBot="1" x14ac:dyDescent="0.35">
      <c r="A4" s="220" t="s">
        <v>5</v>
      </c>
      <c r="B4" s="221" t="s">
        <v>6</v>
      </c>
      <c r="C4" s="222" t="s">
        <v>4</v>
      </c>
      <c r="D4" s="221" t="s">
        <v>7</v>
      </c>
      <c r="E4" s="222" t="s">
        <v>6</v>
      </c>
      <c r="F4" s="455" t="s">
        <v>8</v>
      </c>
      <c r="G4" s="1097"/>
      <c r="H4" s="455" t="s">
        <v>5</v>
      </c>
      <c r="I4" s="455" t="s">
        <v>10</v>
      </c>
      <c r="J4" s="916"/>
      <c r="K4" s="985"/>
    </row>
    <row r="5" spans="1:11" ht="15" thickBot="1" x14ac:dyDescent="0.35">
      <c r="A5" s="175">
        <v>83</v>
      </c>
      <c r="B5" s="175">
        <v>3714.5</v>
      </c>
      <c r="C5" s="8" t="s">
        <v>5715</v>
      </c>
      <c r="D5" s="8">
        <f t="shared" ref="D5:E5" si="0">+H5</f>
        <v>83</v>
      </c>
      <c r="E5" s="8">
        <f t="shared" si="0"/>
        <v>3408.8</v>
      </c>
      <c r="F5" s="8" t="s">
        <v>1187</v>
      </c>
      <c r="G5" s="8">
        <v>35461</v>
      </c>
      <c r="H5" s="8">
        <v>83</v>
      </c>
      <c r="I5" s="161">
        <v>3408.8</v>
      </c>
      <c r="J5" s="52">
        <f>+A5-D5</f>
        <v>0</v>
      </c>
      <c r="K5" s="138">
        <f>+((B5/A5)-(E5/D5))/(B5/A5)</f>
        <v>8.2299098128954085E-2</v>
      </c>
    </row>
    <row r="6" spans="1:11" ht="15" thickBot="1" x14ac:dyDescent="0.35">
      <c r="A6" s="175">
        <v>112</v>
      </c>
      <c r="B6" s="8">
        <v>4732.75</v>
      </c>
      <c r="C6" s="8" t="s">
        <v>5974</v>
      </c>
      <c r="D6" s="8">
        <f t="shared" ref="D6:E7" si="1">+H6</f>
        <v>112</v>
      </c>
      <c r="E6" s="8">
        <f t="shared" si="1"/>
        <v>4461.7</v>
      </c>
      <c r="F6" s="8" t="s">
        <v>5973</v>
      </c>
      <c r="G6" s="8">
        <v>65811</v>
      </c>
      <c r="H6" s="8">
        <v>112</v>
      </c>
      <c r="I6" s="8">
        <v>4461.7</v>
      </c>
      <c r="J6" s="52">
        <f t="shared" ref="J6:J8" si="2">+A6-D6</f>
        <v>0</v>
      </c>
      <c r="K6" s="138">
        <f t="shared" ref="K6:K8" si="3">+((B6/A6)-(E6/D6))/(B6/A6)</f>
        <v>5.7271142570387304E-2</v>
      </c>
    </row>
    <row r="7" spans="1:11" ht="15" thickBot="1" x14ac:dyDescent="0.35">
      <c r="A7" s="175">
        <v>153</v>
      </c>
      <c r="B7" s="8">
        <v>6409.75</v>
      </c>
      <c r="C7" s="8" t="s">
        <v>5972</v>
      </c>
      <c r="D7" s="8">
        <f t="shared" si="1"/>
        <v>153</v>
      </c>
      <c r="E7" s="8">
        <f t="shared" si="1"/>
        <v>6195.8</v>
      </c>
      <c r="F7" s="8" t="s">
        <v>5971</v>
      </c>
      <c r="G7" s="8">
        <v>66131</v>
      </c>
      <c r="H7" s="8">
        <v>153</v>
      </c>
      <c r="I7" s="8">
        <v>6195.8</v>
      </c>
      <c r="J7" s="52">
        <f t="shared" si="2"/>
        <v>0</v>
      </c>
      <c r="K7" s="138">
        <f t="shared" si="3"/>
        <v>3.3378836928117266E-2</v>
      </c>
    </row>
    <row r="8" spans="1:11" ht="15" thickBot="1" x14ac:dyDescent="0.35">
      <c r="A8" s="175">
        <v>368</v>
      </c>
      <c r="B8" s="8">
        <v>16568.2</v>
      </c>
      <c r="C8" s="8" t="s">
        <v>5970</v>
      </c>
      <c r="D8" s="8">
        <v>368</v>
      </c>
      <c r="E8" s="8">
        <v>15927</v>
      </c>
      <c r="F8" s="8" t="s">
        <v>5969</v>
      </c>
      <c r="G8" s="8">
        <v>66141</v>
      </c>
      <c r="H8" s="8">
        <v>57</v>
      </c>
      <c r="I8" s="9">
        <v>2389.5</v>
      </c>
      <c r="J8" s="52">
        <f t="shared" si="2"/>
        <v>0</v>
      </c>
      <c r="K8" s="138">
        <f t="shared" si="3"/>
        <v>3.8700643401214381E-2</v>
      </c>
    </row>
    <row r="9" spans="1:11" ht="15" thickBot="1" x14ac:dyDescent="0.35">
      <c r="A9" s="494">
        <v>295</v>
      </c>
      <c r="B9" s="497">
        <v>11021.5</v>
      </c>
      <c r="C9" s="497" t="s">
        <v>6071</v>
      </c>
      <c r="D9" s="497">
        <f>+H9</f>
        <v>295</v>
      </c>
      <c r="E9" s="497">
        <f>+I9</f>
        <v>10546.4</v>
      </c>
      <c r="F9" s="497" t="s">
        <v>6072</v>
      </c>
      <c r="G9" s="497">
        <v>66241</v>
      </c>
      <c r="H9" s="497">
        <v>295</v>
      </c>
      <c r="I9" s="497">
        <v>10546.4</v>
      </c>
      <c r="J9" s="52">
        <f t="shared" ref="J9" si="4">+A9-D9</f>
        <v>0</v>
      </c>
      <c r="K9" s="138">
        <f t="shared" ref="K9" si="5">+((B9/A9)-(E9/D9))/(B9/A9)</f>
        <v>4.3106655173978131E-2</v>
      </c>
    </row>
    <row r="10" spans="1:11" ht="15" thickBot="1" x14ac:dyDescent="0.35">
      <c r="A10" s="509">
        <v>199</v>
      </c>
      <c r="B10" s="511">
        <v>7318.9</v>
      </c>
      <c r="C10" s="511" t="s">
        <v>6185</v>
      </c>
      <c r="D10" s="511">
        <f t="shared" ref="D10:E11" si="6">+H10</f>
        <v>199</v>
      </c>
      <c r="E10" s="511">
        <f t="shared" si="6"/>
        <v>7092.8</v>
      </c>
      <c r="F10" s="511" t="s">
        <v>6186</v>
      </c>
      <c r="G10" s="511">
        <v>66321</v>
      </c>
      <c r="H10" s="511">
        <v>199</v>
      </c>
      <c r="I10" s="511">
        <v>7092.8</v>
      </c>
      <c r="J10" s="52">
        <f t="shared" ref="J10:J11" si="7">+A10-D10</f>
        <v>0</v>
      </c>
      <c r="K10" s="138">
        <f t="shared" ref="K10:K11" si="8">+((B10/A10)-(E10/D10))/(B10/A10)</f>
        <v>3.0892620475754497E-2</v>
      </c>
    </row>
    <row r="11" spans="1:11" ht="15" thickBot="1" x14ac:dyDescent="0.35">
      <c r="A11" s="175">
        <v>228</v>
      </c>
      <c r="B11" s="8">
        <v>8685.5</v>
      </c>
      <c r="C11" s="8" t="s">
        <v>6187</v>
      </c>
      <c r="D11" s="511">
        <f t="shared" si="6"/>
        <v>228</v>
      </c>
      <c r="E11" s="511">
        <f t="shared" si="6"/>
        <v>8383.2999999999993</v>
      </c>
      <c r="F11" s="8" t="s">
        <v>6188</v>
      </c>
      <c r="G11" s="8">
        <v>66491</v>
      </c>
      <c r="H11" s="8">
        <v>228</v>
      </c>
      <c r="I11" s="8">
        <v>8383.2999999999993</v>
      </c>
      <c r="J11" s="52">
        <f t="shared" si="7"/>
        <v>0</v>
      </c>
      <c r="K11" s="138">
        <f t="shared" si="8"/>
        <v>3.4793621553163415E-2</v>
      </c>
    </row>
    <row r="12" spans="1:11" ht="15" thickBot="1" x14ac:dyDescent="0.35">
      <c r="A12" s="591">
        <v>209</v>
      </c>
      <c r="B12" s="594">
        <v>7842.9</v>
      </c>
      <c r="C12" s="594" t="s">
        <v>6390</v>
      </c>
      <c r="D12" s="594">
        <f>+H12</f>
        <v>209</v>
      </c>
      <c r="E12" s="594">
        <f>+I12</f>
        <v>7717.1</v>
      </c>
      <c r="F12" s="594" t="s">
        <v>6391</v>
      </c>
      <c r="G12" s="594">
        <v>66601</v>
      </c>
      <c r="H12" s="594">
        <v>209</v>
      </c>
      <c r="I12" s="594">
        <v>7717.1</v>
      </c>
      <c r="J12" s="52">
        <f t="shared" ref="J12" si="9">+A12-D12</f>
        <v>0</v>
      </c>
      <c r="K12" s="138">
        <f t="shared" ref="K12" si="10">+((B12/A12)-(E12/D12))/(B12/A12)</f>
        <v>1.603998520955259E-2</v>
      </c>
    </row>
    <row r="13" spans="1:11" ht="15" thickBot="1" x14ac:dyDescent="0.35">
      <c r="A13" s="175">
        <v>210</v>
      </c>
      <c r="B13" s="8">
        <v>7151.5</v>
      </c>
      <c r="C13" s="8" t="s">
        <v>6751</v>
      </c>
      <c r="D13" s="8">
        <f t="shared" ref="D13:E17" si="11">+H13</f>
        <v>210</v>
      </c>
      <c r="E13" s="8">
        <f t="shared" si="11"/>
        <v>7054.1</v>
      </c>
      <c r="F13" s="8" t="s">
        <v>6752</v>
      </c>
      <c r="G13" s="8">
        <v>66841</v>
      </c>
      <c r="H13" s="8">
        <v>210</v>
      </c>
      <c r="I13" s="8">
        <v>7054.1</v>
      </c>
      <c r="J13" s="52">
        <f t="shared" ref="J13:J18" si="12">+A13-D13</f>
        <v>0</v>
      </c>
      <c r="K13" s="138">
        <f t="shared" ref="K13:K18" si="13">+((B13/A13)-(E13/D13))/(B13/A13)</f>
        <v>1.3619520380339771E-2</v>
      </c>
    </row>
    <row r="14" spans="1:11" ht="15" thickBot="1" x14ac:dyDescent="0.35">
      <c r="A14" s="175">
        <v>174</v>
      </c>
      <c r="B14" s="8">
        <v>6499.7</v>
      </c>
      <c r="C14" s="8" t="s">
        <v>6753</v>
      </c>
      <c r="D14" s="8">
        <f t="shared" si="11"/>
        <v>174</v>
      </c>
      <c r="E14" s="8">
        <f t="shared" si="11"/>
        <v>6388.1</v>
      </c>
      <c r="F14" s="8" t="s">
        <v>6754</v>
      </c>
      <c r="G14" s="8">
        <v>66851</v>
      </c>
      <c r="H14" s="8">
        <v>174</v>
      </c>
      <c r="I14" s="8">
        <v>6388.1</v>
      </c>
      <c r="J14" s="52">
        <f t="shared" si="12"/>
        <v>0</v>
      </c>
      <c r="K14" s="138">
        <f t="shared" si="13"/>
        <v>1.7170023231841379E-2</v>
      </c>
    </row>
    <row r="15" spans="1:11" ht="15" thickBot="1" x14ac:dyDescent="0.35">
      <c r="A15" s="175">
        <v>124</v>
      </c>
      <c r="B15" s="8">
        <v>4779.3999999999996</v>
      </c>
      <c r="C15" s="8" t="s">
        <v>6755</v>
      </c>
      <c r="D15" s="8">
        <f t="shared" si="11"/>
        <v>124</v>
      </c>
      <c r="E15" s="8">
        <f t="shared" si="11"/>
        <v>4696.2</v>
      </c>
      <c r="F15" s="8" t="s">
        <v>6756</v>
      </c>
      <c r="G15" s="8">
        <v>67061</v>
      </c>
      <c r="H15" s="8">
        <v>124</v>
      </c>
      <c r="I15" s="8">
        <v>4696.2</v>
      </c>
      <c r="J15" s="52">
        <f t="shared" si="12"/>
        <v>0</v>
      </c>
      <c r="K15" s="138">
        <f t="shared" si="13"/>
        <v>1.7408042850567039E-2</v>
      </c>
    </row>
    <row r="16" spans="1:11" ht="15" thickBot="1" x14ac:dyDescent="0.35">
      <c r="A16" s="175">
        <v>124</v>
      </c>
      <c r="B16" s="8">
        <v>5132.1000000000004</v>
      </c>
      <c r="C16" s="8" t="s">
        <v>6757</v>
      </c>
      <c r="D16" s="8">
        <f t="shared" si="11"/>
        <v>124</v>
      </c>
      <c r="E16" s="8">
        <f t="shared" si="11"/>
        <v>5071.1000000000004</v>
      </c>
      <c r="F16" s="8" t="s">
        <v>6758</v>
      </c>
      <c r="G16" s="8">
        <v>67081</v>
      </c>
      <c r="H16" s="8">
        <v>124</v>
      </c>
      <c r="I16" s="8">
        <v>5071.1000000000004</v>
      </c>
      <c r="J16" s="52">
        <f t="shared" si="12"/>
        <v>0</v>
      </c>
      <c r="K16" s="138">
        <f t="shared" si="13"/>
        <v>1.1885972603807414E-2</v>
      </c>
    </row>
    <row r="17" spans="1:11" ht="15" thickBot="1" x14ac:dyDescent="0.35">
      <c r="A17" s="665">
        <v>400</v>
      </c>
      <c r="B17" s="666">
        <v>15360.1</v>
      </c>
      <c r="C17" s="666" t="s">
        <v>6759</v>
      </c>
      <c r="D17" s="666">
        <f t="shared" si="11"/>
        <v>400</v>
      </c>
      <c r="E17" s="666">
        <f t="shared" si="11"/>
        <v>15290.4</v>
      </c>
      <c r="F17" s="666" t="s">
        <v>6760</v>
      </c>
      <c r="G17" s="666">
        <v>67111</v>
      </c>
      <c r="H17" s="666">
        <v>400</v>
      </c>
      <c r="I17" s="666">
        <v>15290.4</v>
      </c>
      <c r="J17" s="52">
        <f t="shared" si="12"/>
        <v>0</v>
      </c>
      <c r="K17" s="138">
        <f t="shared" si="13"/>
        <v>4.5377308741479721E-3</v>
      </c>
    </row>
    <row r="18" spans="1:11" ht="15" thickBot="1" x14ac:dyDescent="0.35">
      <c r="A18" s="175">
        <v>1014</v>
      </c>
      <c r="B18" s="8">
        <v>36743</v>
      </c>
      <c r="C18" s="8" t="s">
        <v>6761</v>
      </c>
      <c r="D18" s="8">
        <v>1014</v>
      </c>
      <c r="E18" s="8">
        <v>36597.9</v>
      </c>
      <c r="F18" s="8" t="s">
        <v>6762</v>
      </c>
      <c r="G18" s="8">
        <v>67121</v>
      </c>
      <c r="H18" s="8">
        <v>100</v>
      </c>
      <c r="I18" s="8">
        <v>3578.3</v>
      </c>
      <c r="J18" s="52">
        <f t="shared" si="12"/>
        <v>0</v>
      </c>
      <c r="K18" s="138">
        <f t="shared" si="13"/>
        <v>3.9490515200172405E-3</v>
      </c>
    </row>
    <row r="20" spans="1:11" x14ac:dyDescent="0.3">
      <c r="A20" s="156">
        <f>SUM(A5:A19)</f>
        <v>3693</v>
      </c>
      <c r="B20" s="156">
        <f>SUM(B5:B19)</f>
        <v>141959.79999999999</v>
      </c>
      <c r="C20" s="156"/>
      <c r="D20" s="156">
        <f>SUM(D5:D19)</f>
        <v>3693</v>
      </c>
      <c r="E20" s="156">
        <f>SUM(E5:E19)</f>
        <v>138830.70000000001</v>
      </c>
    </row>
  </sheetData>
  <mergeCells count="5">
    <mergeCell ref="A3:C3"/>
    <mergeCell ref="D3:E3"/>
    <mergeCell ref="G3:G4"/>
    <mergeCell ref="J3:J4"/>
    <mergeCell ref="K3:K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FD269-7B90-461F-9F8D-08B263DAA111}">
  <dimension ref="A1:K24"/>
  <sheetViews>
    <sheetView zoomScale="80" zoomScaleNormal="80" workbookViewId="0">
      <selection activeCell="G37" sqref="G37"/>
    </sheetView>
  </sheetViews>
  <sheetFormatPr baseColWidth="10" defaultColWidth="8.88671875" defaultRowHeight="14.4" x14ac:dyDescent="0.3"/>
  <cols>
    <col min="1" max="1" width="10.109375" bestFit="1" customWidth="1"/>
    <col min="2" max="2" width="12.33203125" bestFit="1" customWidth="1"/>
    <col min="4" max="4" width="10.109375" bestFit="1" customWidth="1"/>
    <col min="5" max="5" width="12.33203125" bestFit="1" customWidth="1"/>
    <col min="11" max="11" width="12" bestFit="1" customWidth="1"/>
  </cols>
  <sheetData>
    <row r="1" spans="1:11" ht="33.6" x14ac:dyDescent="0.65">
      <c r="A1" s="104" t="s">
        <v>7164</v>
      </c>
      <c r="D1" s="95"/>
      <c r="E1" s="95"/>
      <c r="F1" s="95"/>
      <c r="G1" s="95"/>
      <c r="H1" s="95"/>
      <c r="I1" s="95"/>
    </row>
    <row r="2" spans="1:11" ht="15" thickBot="1" x14ac:dyDescent="0.35">
      <c r="D2" s="50"/>
      <c r="E2" s="50"/>
      <c r="F2" s="50"/>
      <c r="G2" s="50"/>
    </row>
    <row r="3" spans="1:11" x14ac:dyDescent="0.3">
      <c r="A3" s="1021" t="s">
        <v>1</v>
      </c>
      <c r="B3" s="1022"/>
      <c r="C3" s="1023"/>
      <c r="D3" s="1021" t="s">
        <v>2</v>
      </c>
      <c r="E3" s="1023"/>
      <c r="F3" s="4"/>
      <c r="G3" s="1024" t="s">
        <v>3</v>
      </c>
      <c r="H3" s="5"/>
      <c r="I3" s="5"/>
      <c r="J3" s="915" t="s">
        <v>91</v>
      </c>
      <c r="K3" s="984" t="s">
        <v>92</v>
      </c>
    </row>
    <row r="4" spans="1:11" ht="15" thickBot="1" x14ac:dyDescent="0.35">
      <c r="A4" s="220" t="s">
        <v>5</v>
      </c>
      <c r="B4" s="221" t="s">
        <v>6</v>
      </c>
      <c r="C4" s="222" t="s">
        <v>4</v>
      </c>
      <c r="D4" s="221" t="s">
        <v>7</v>
      </c>
      <c r="E4" s="222" t="s">
        <v>6</v>
      </c>
      <c r="F4" s="701" t="s">
        <v>8</v>
      </c>
      <c r="G4" s="1097"/>
      <c r="H4" s="701" t="s">
        <v>5</v>
      </c>
      <c r="I4" s="701" t="s">
        <v>10</v>
      </c>
      <c r="J4" s="916"/>
      <c r="K4" s="985"/>
    </row>
    <row r="5" spans="1:11" ht="15" thickBot="1" x14ac:dyDescent="0.35">
      <c r="A5" s="690">
        <v>220</v>
      </c>
      <c r="B5" s="693">
        <v>8565.5</v>
      </c>
      <c r="C5" s="693" t="s">
        <v>6890</v>
      </c>
      <c r="D5" s="693">
        <f>+H5</f>
        <v>220</v>
      </c>
      <c r="E5" s="693">
        <f>+I5</f>
        <v>8377.7000000000007</v>
      </c>
      <c r="F5" s="693" t="s">
        <v>6381</v>
      </c>
      <c r="G5" s="693">
        <v>66981</v>
      </c>
      <c r="H5" s="693">
        <v>220</v>
      </c>
      <c r="I5" s="693">
        <v>8377.7000000000007</v>
      </c>
      <c r="J5" s="52">
        <f t="shared" ref="J5" si="0">+A5-D5</f>
        <v>0</v>
      </c>
      <c r="K5" s="138">
        <f t="shared" ref="K5" si="1">+((B5/A5)-(E5/D5))/(B5/A5)</f>
        <v>2.1925164905726411E-2</v>
      </c>
    </row>
    <row r="6" spans="1:11" ht="15" thickBot="1" x14ac:dyDescent="0.35">
      <c r="A6" s="175">
        <v>143</v>
      </c>
      <c r="B6" s="8">
        <v>6998</v>
      </c>
      <c r="C6" s="8" t="s">
        <v>6925</v>
      </c>
      <c r="D6" s="8">
        <f>+H6</f>
        <v>143</v>
      </c>
      <c r="E6" s="8">
        <f>+I6</f>
        <v>6758.7</v>
      </c>
      <c r="F6" s="8" t="s">
        <v>6926</v>
      </c>
      <c r="G6" s="8">
        <v>67281</v>
      </c>
      <c r="H6" s="8">
        <v>143</v>
      </c>
      <c r="I6" s="9">
        <v>6758.7</v>
      </c>
      <c r="J6" s="52">
        <f t="shared" ref="J6" si="2">+A6-D6</f>
        <v>0</v>
      </c>
      <c r="K6" s="138">
        <f t="shared" ref="K6" si="3">+((B6/A6)-(E6/D6))/(B6/A6)</f>
        <v>3.4195484424121202E-2</v>
      </c>
    </row>
    <row r="7" spans="1:11" ht="15" thickBot="1" x14ac:dyDescent="0.35">
      <c r="A7" s="739">
        <v>196</v>
      </c>
      <c r="B7" s="736">
        <v>9626.5</v>
      </c>
      <c r="C7" s="736" t="s">
        <v>7059</v>
      </c>
      <c r="D7" s="8">
        <f t="shared" ref="D7:E8" si="4">+H7</f>
        <v>196</v>
      </c>
      <c r="E7" s="8">
        <f t="shared" si="4"/>
        <v>9282.7999999999993</v>
      </c>
      <c r="F7" s="8" t="s">
        <v>7060</v>
      </c>
      <c r="G7" s="736">
        <v>67331</v>
      </c>
      <c r="H7" s="736">
        <v>196</v>
      </c>
      <c r="I7" s="736">
        <v>9282.7999999999993</v>
      </c>
      <c r="J7" s="52">
        <f t="shared" ref="J7:J9" si="5">+A7-D7</f>
        <v>0</v>
      </c>
      <c r="K7" s="138">
        <f t="shared" ref="K7:K8" si="6">+((B7/A7)-(E7/D7))/(B7/A7)</f>
        <v>3.5703526723108184E-2</v>
      </c>
    </row>
    <row r="8" spans="1:11" ht="15" thickBot="1" x14ac:dyDescent="0.35">
      <c r="A8" s="738">
        <v>265</v>
      </c>
      <c r="B8" s="735">
        <v>12500.75</v>
      </c>
      <c r="C8" s="735" t="s">
        <v>7061</v>
      </c>
      <c r="D8" s="735">
        <f t="shared" si="4"/>
        <v>265</v>
      </c>
      <c r="E8" s="735">
        <f t="shared" si="4"/>
        <v>12325.5</v>
      </c>
      <c r="F8" s="735" t="s">
        <v>7062</v>
      </c>
      <c r="G8" s="735">
        <v>67381</v>
      </c>
      <c r="H8" s="735">
        <v>265</v>
      </c>
      <c r="I8" s="735">
        <v>12325.5</v>
      </c>
      <c r="J8" s="52">
        <f t="shared" si="5"/>
        <v>0</v>
      </c>
      <c r="K8" s="138">
        <f t="shared" si="6"/>
        <v>1.4019158850468992E-2</v>
      </c>
    </row>
    <row r="9" spans="1:11" x14ac:dyDescent="0.3">
      <c r="A9" s="871">
        <v>549</v>
      </c>
      <c r="B9" s="873">
        <v>27307.75</v>
      </c>
      <c r="C9" s="873" t="s">
        <v>7063</v>
      </c>
      <c r="D9" s="873">
        <f>+H9+H11+H10</f>
        <v>549</v>
      </c>
      <c r="E9" s="873">
        <f>+I9+I11+I10</f>
        <v>26773.399999999998</v>
      </c>
      <c r="F9" s="734" t="s">
        <v>7064</v>
      </c>
      <c r="G9" s="734">
        <v>67411</v>
      </c>
      <c r="H9" s="734">
        <v>132</v>
      </c>
      <c r="I9" s="734">
        <v>6669.7</v>
      </c>
      <c r="J9" s="877">
        <f t="shared" si="5"/>
        <v>0</v>
      </c>
      <c r="K9" s="879">
        <f t="shared" ref="K9" si="7">(+B9-E9)/B9</f>
        <v>1.9567705138651196E-2</v>
      </c>
    </row>
    <row r="10" spans="1:11" x14ac:dyDescent="0.3">
      <c r="A10" s="875"/>
      <c r="B10" s="881"/>
      <c r="C10" s="881"/>
      <c r="D10" s="881"/>
      <c r="E10" s="881"/>
      <c r="F10" s="735" t="s">
        <v>7064</v>
      </c>
      <c r="G10" s="735">
        <v>67411</v>
      </c>
      <c r="H10" s="735">
        <v>100</v>
      </c>
      <c r="I10" s="735">
        <v>4889.3</v>
      </c>
      <c r="J10" s="886"/>
      <c r="K10" s="885"/>
    </row>
    <row r="11" spans="1:11" ht="15" thickBot="1" x14ac:dyDescent="0.35">
      <c r="A11" s="872"/>
      <c r="B11" s="874"/>
      <c r="C11" s="874"/>
      <c r="D11" s="874"/>
      <c r="E11" s="874"/>
      <c r="F11" s="736" t="s">
        <v>7064</v>
      </c>
      <c r="G11" s="736">
        <v>67411</v>
      </c>
      <c r="H11" s="736">
        <v>317</v>
      </c>
      <c r="I11" s="736">
        <v>15214.4</v>
      </c>
      <c r="J11" s="878"/>
      <c r="K11" s="880"/>
    </row>
    <row r="12" spans="1:11" x14ac:dyDescent="0.3">
      <c r="A12" s="871">
        <v>600</v>
      </c>
      <c r="B12" s="873">
        <v>30931</v>
      </c>
      <c r="C12" s="873" t="s">
        <v>7065</v>
      </c>
      <c r="D12" s="873">
        <f>+H12+H13</f>
        <v>600</v>
      </c>
      <c r="E12" s="873">
        <f>+I12+I13</f>
        <v>30735.3</v>
      </c>
      <c r="F12" s="734" t="s">
        <v>7066</v>
      </c>
      <c r="G12" s="734">
        <v>67491</v>
      </c>
      <c r="H12" s="734">
        <v>191</v>
      </c>
      <c r="I12" s="734">
        <v>9667.7000000000007</v>
      </c>
      <c r="J12" s="877">
        <f t="shared" ref="J12" si="8">+A12-D12</f>
        <v>0</v>
      </c>
      <c r="K12" s="879">
        <f t="shared" ref="K12" si="9">+((B12/A12)-(E12/D12))/(B12/A12)</f>
        <v>6.3269858717792385E-3</v>
      </c>
    </row>
    <row r="13" spans="1:11" ht="15" thickBot="1" x14ac:dyDescent="0.35">
      <c r="A13" s="872"/>
      <c r="B13" s="874"/>
      <c r="C13" s="874"/>
      <c r="D13" s="874"/>
      <c r="E13" s="874"/>
      <c r="F13" s="736" t="s">
        <v>7066</v>
      </c>
      <c r="G13" s="736">
        <v>67491</v>
      </c>
      <c r="H13" s="736">
        <v>409</v>
      </c>
      <c r="I13" s="736">
        <v>21067.599999999999</v>
      </c>
      <c r="J13" s="878"/>
      <c r="K13" s="880"/>
    </row>
    <row r="14" spans="1:11" x14ac:dyDescent="0.3">
      <c r="A14" s="871">
        <v>799</v>
      </c>
      <c r="B14" s="873">
        <v>38021.25</v>
      </c>
      <c r="C14" s="873" t="s">
        <v>7279</v>
      </c>
      <c r="D14" s="873">
        <f>+H14+H15+H16</f>
        <v>799</v>
      </c>
      <c r="E14" s="873">
        <f>+I14+I15+I16</f>
        <v>37720.400000000001</v>
      </c>
      <c r="F14" s="809" t="s">
        <v>7280</v>
      </c>
      <c r="G14" s="809">
        <v>67601</v>
      </c>
      <c r="H14" s="809">
        <v>200</v>
      </c>
      <c r="I14" s="809">
        <v>9473.5</v>
      </c>
      <c r="J14" s="877">
        <f t="shared" ref="J14" si="10">+A14-D14</f>
        <v>0</v>
      </c>
      <c r="K14" s="879">
        <f t="shared" ref="K14" si="11">(+B14-E14)/B14</f>
        <v>7.9126804089817808E-3</v>
      </c>
    </row>
    <row r="15" spans="1:11" x14ac:dyDescent="0.3">
      <c r="A15" s="875"/>
      <c r="B15" s="881"/>
      <c r="C15" s="881"/>
      <c r="D15" s="881"/>
      <c r="E15" s="881"/>
      <c r="F15" s="810" t="s">
        <v>7280</v>
      </c>
      <c r="G15" s="810">
        <v>67601</v>
      </c>
      <c r="H15" s="810">
        <v>393</v>
      </c>
      <c r="I15" s="810">
        <v>18746.300000000003</v>
      </c>
      <c r="J15" s="886"/>
      <c r="K15" s="885"/>
    </row>
    <row r="16" spans="1:11" ht="15" thickBot="1" x14ac:dyDescent="0.35">
      <c r="A16" s="875"/>
      <c r="B16" s="881"/>
      <c r="C16" s="881"/>
      <c r="D16" s="881"/>
      <c r="E16" s="881"/>
      <c r="F16" s="810" t="s">
        <v>7280</v>
      </c>
      <c r="G16" s="810">
        <v>67601</v>
      </c>
      <c r="H16" s="810">
        <v>206</v>
      </c>
      <c r="I16" s="810">
        <v>9500.6</v>
      </c>
      <c r="J16" s="878"/>
      <c r="K16" s="880"/>
    </row>
    <row r="17" spans="1:11" x14ac:dyDescent="0.3">
      <c r="A17" s="871">
        <v>726</v>
      </c>
      <c r="B17" s="873">
        <v>33875</v>
      </c>
      <c r="C17" s="873" t="s">
        <v>7281</v>
      </c>
      <c r="D17" s="873">
        <f>+H17+H18+H19</f>
        <v>726</v>
      </c>
      <c r="E17" s="873">
        <f>+I17+I18+I19</f>
        <v>33552.299999999996</v>
      </c>
      <c r="F17" s="809" t="s">
        <v>7282</v>
      </c>
      <c r="G17" s="809">
        <v>67611</v>
      </c>
      <c r="H17" s="809">
        <v>399</v>
      </c>
      <c r="I17" s="809">
        <v>19089.599999999999</v>
      </c>
      <c r="J17" s="877">
        <f t="shared" ref="J17" si="12">+A17-D17</f>
        <v>0</v>
      </c>
      <c r="K17" s="879">
        <f t="shared" ref="K17" si="13">(+B17-E17)/B17</f>
        <v>9.5261992619927495E-3</v>
      </c>
    </row>
    <row r="18" spans="1:11" x14ac:dyDescent="0.3">
      <c r="A18" s="875"/>
      <c r="B18" s="881"/>
      <c r="C18" s="881"/>
      <c r="D18" s="881"/>
      <c r="E18" s="881"/>
      <c r="F18" s="810" t="s">
        <v>7282</v>
      </c>
      <c r="G18" s="810">
        <v>67611</v>
      </c>
      <c r="H18" s="810">
        <v>171</v>
      </c>
      <c r="I18" s="810">
        <v>7453.1</v>
      </c>
      <c r="J18" s="886"/>
      <c r="K18" s="885"/>
    </row>
    <row r="19" spans="1:11" ht="15" thickBot="1" x14ac:dyDescent="0.35">
      <c r="A19" s="872"/>
      <c r="B19" s="874"/>
      <c r="C19" s="874"/>
      <c r="D19" s="874"/>
      <c r="E19" s="874"/>
      <c r="F19" s="812" t="s">
        <v>7282</v>
      </c>
      <c r="G19" s="812">
        <v>67611</v>
      </c>
      <c r="H19" s="812">
        <v>156</v>
      </c>
      <c r="I19" s="812">
        <v>7009.6</v>
      </c>
      <c r="J19" s="878"/>
      <c r="K19" s="880"/>
    </row>
    <row r="20" spans="1:11" ht="15" thickBot="1" x14ac:dyDescent="0.35">
      <c r="A20" s="175">
        <v>218</v>
      </c>
      <c r="B20" s="8">
        <v>9553.5</v>
      </c>
      <c r="C20" s="8" t="s">
        <v>7369</v>
      </c>
      <c r="D20" s="8">
        <f>+H20</f>
        <v>218</v>
      </c>
      <c r="E20" s="8">
        <f>+I20</f>
        <v>9533.2000000000007</v>
      </c>
      <c r="F20" s="8" t="s">
        <v>7370</v>
      </c>
      <c r="G20" s="8">
        <v>67701</v>
      </c>
      <c r="H20" s="8">
        <v>218</v>
      </c>
      <c r="I20" s="8">
        <v>9533.2000000000007</v>
      </c>
      <c r="J20" s="52">
        <f t="shared" ref="J20:J21" si="14">+A20-D20</f>
        <v>0</v>
      </c>
      <c r="K20" s="138">
        <f t="shared" ref="K20:K21" si="15">+((B20/A20)-(E20/D20))/(B20/A20)</f>
        <v>2.124875700005119E-3</v>
      </c>
    </row>
    <row r="21" spans="1:11" x14ac:dyDescent="0.3">
      <c r="A21" s="871">
        <v>480</v>
      </c>
      <c r="B21" s="873">
        <v>23036.25</v>
      </c>
      <c r="C21" s="873" t="s">
        <v>7371</v>
      </c>
      <c r="D21" s="873">
        <f>+H21+H22</f>
        <v>480</v>
      </c>
      <c r="E21" s="873">
        <f>+I21+I22</f>
        <v>22653.8</v>
      </c>
      <c r="F21" s="835" t="s">
        <v>7372</v>
      </c>
      <c r="G21" s="835">
        <v>67711</v>
      </c>
      <c r="H21" s="835">
        <v>92</v>
      </c>
      <c r="I21" s="835">
        <v>3949.1</v>
      </c>
      <c r="J21" s="877">
        <f t="shared" si="14"/>
        <v>0</v>
      </c>
      <c r="K21" s="879">
        <f t="shared" si="15"/>
        <v>1.6602094524933532E-2</v>
      </c>
    </row>
    <row r="22" spans="1:11" ht="15" thickBot="1" x14ac:dyDescent="0.35">
      <c r="A22" s="872"/>
      <c r="B22" s="874"/>
      <c r="C22" s="874"/>
      <c r="D22" s="874"/>
      <c r="E22" s="874"/>
      <c r="F22" s="834" t="s">
        <v>7372</v>
      </c>
      <c r="G22" s="834">
        <v>67711</v>
      </c>
      <c r="H22" s="834">
        <v>388</v>
      </c>
      <c r="I22" s="834">
        <v>18704.7</v>
      </c>
      <c r="J22" s="878"/>
      <c r="K22" s="880"/>
    </row>
    <row r="24" spans="1:11" x14ac:dyDescent="0.3">
      <c r="A24" s="155">
        <f>SUM(A5:A23)</f>
        <v>4196</v>
      </c>
      <c r="B24" s="155">
        <f>SUM(B5:B23)</f>
        <v>200415.5</v>
      </c>
      <c r="D24" s="155">
        <f>SUM(D5:D23)</f>
        <v>4196</v>
      </c>
      <c r="E24" s="155">
        <f>SUM(E5:E23)</f>
        <v>197713.09999999998</v>
      </c>
    </row>
  </sheetData>
  <mergeCells count="40">
    <mergeCell ref="A3:C3"/>
    <mergeCell ref="D3:E3"/>
    <mergeCell ref="G3:G4"/>
    <mergeCell ref="J3:J4"/>
    <mergeCell ref="K3:K4"/>
    <mergeCell ref="J12:J13"/>
    <mergeCell ref="K12:K13"/>
    <mergeCell ref="J9:J11"/>
    <mergeCell ref="K9:K11"/>
    <mergeCell ref="A12:A13"/>
    <mergeCell ref="B12:B13"/>
    <mergeCell ref="C12:C13"/>
    <mergeCell ref="D12:D13"/>
    <mergeCell ref="E12:E13"/>
    <mergeCell ref="A9:A11"/>
    <mergeCell ref="B9:B11"/>
    <mergeCell ref="C9:C11"/>
    <mergeCell ref="D9:D11"/>
    <mergeCell ref="E9:E11"/>
    <mergeCell ref="J14:J16"/>
    <mergeCell ref="K14:K16"/>
    <mergeCell ref="J17:J19"/>
    <mergeCell ref="K17:K19"/>
    <mergeCell ref="A17:A19"/>
    <mergeCell ref="B17:B19"/>
    <mergeCell ref="C17:C19"/>
    <mergeCell ref="D17:D19"/>
    <mergeCell ref="E17:E19"/>
    <mergeCell ref="A14:A16"/>
    <mergeCell ref="B14:B16"/>
    <mergeCell ref="C14:C16"/>
    <mergeCell ref="D14:D16"/>
    <mergeCell ref="E14:E16"/>
    <mergeCell ref="J21:J22"/>
    <mergeCell ref="K21:K22"/>
    <mergeCell ref="A21:A22"/>
    <mergeCell ref="B21:B22"/>
    <mergeCell ref="C21:C22"/>
    <mergeCell ref="D21:D22"/>
    <mergeCell ref="E21:E22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3B1B0-45C6-498D-93F7-8AFC617194E3}">
  <dimension ref="A1:L454"/>
  <sheetViews>
    <sheetView topLeftCell="A328" zoomScale="80" zoomScaleNormal="80" workbookViewId="0">
      <selection activeCell="G458" sqref="G458"/>
    </sheetView>
  </sheetViews>
  <sheetFormatPr baseColWidth="10" defaultColWidth="8.88671875" defaultRowHeight="14.4" x14ac:dyDescent="0.3"/>
  <cols>
    <col min="2" max="2" width="13.88671875" bestFit="1" customWidth="1"/>
    <col min="4" max="4" width="10.5546875" customWidth="1"/>
    <col min="5" max="5" width="13.88671875" bestFit="1" customWidth="1"/>
    <col min="8" max="8" width="13.109375" hidden="1" customWidth="1"/>
    <col min="9" max="10" width="0" hidden="1" customWidth="1"/>
    <col min="11" max="11" width="13.88671875" bestFit="1" customWidth="1"/>
    <col min="12" max="12" width="12" bestFit="1" customWidth="1"/>
  </cols>
  <sheetData>
    <row r="1" spans="1:12" ht="23.4" x14ac:dyDescent="0.3">
      <c r="A1" s="1019" t="s">
        <v>3155</v>
      </c>
      <c r="B1" s="1019"/>
      <c r="C1" s="1019"/>
      <c r="D1" s="1019"/>
      <c r="E1" s="1019"/>
      <c r="F1" s="1019"/>
      <c r="G1" s="1019"/>
      <c r="H1" s="1019"/>
      <c r="I1" s="1019"/>
      <c r="J1" s="2"/>
    </row>
    <row r="2" spans="1:12" ht="24" thickBot="1" x14ac:dyDescent="0.35">
      <c r="A2" s="1019"/>
      <c r="B2" s="1019"/>
      <c r="C2" s="1019"/>
      <c r="D2" s="1019"/>
      <c r="E2" s="1019"/>
      <c r="F2" s="1019"/>
      <c r="G2" s="1019"/>
      <c r="H2" s="1019"/>
      <c r="I2" s="1019"/>
      <c r="J2" s="2"/>
    </row>
    <row r="3" spans="1:12" x14ac:dyDescent="0.3">
      <c r="A3" s="1026" t="s">
        <v>1</v>
      </c>
      <c r="B3" s="1027"/>
      <c r="C3" s="1028"/>
      <c r="D3" s="1026" t="s">
        <v>2</v>
      </c>
      <c r="E3" s="1028"/>
      <c r="F3" s="284"/>
      <c r="G3" s="1029" t="s">
        <v>3</v>
      </c>
      <c r="H3" s="284" t="s">
        <v>4</v>
      </c>
      <c r="I3" s="18"/>
      <c r="J3" s="18"/>
      <c r="K3" s="915" t="s">
        <v>91</v>
      </c>
      <c r="L3" s="984" t="s">
        <v>92</v>
      </c>
    </row>
    <row r="4" spans="1:12" ht="15" thickBot="1" x14ac:dyDescent="0.35">
      <c r="A4" s="285" t="s">
        <v>5</v>
      </c>
      <c r="B4" s="286" t="s">
        <v>6</v>
      </c>
      <c r="C4" s="287" t="s">
        <v>4</v>
      </c>
      <c r="D4" s="286" t="s">
        <v>7</v>
      </c>
      <c r="E4" s="287" t="s">
        <v>6</v>
      </c>
      <c r="F4" s="288" t="s">
        <v>8</v>
      </c>
      <c r="G4" s="1118"/>
      <c r="H4" s="289" t="s">
        <v>9</v>
      </c>
      <c r="I4" s="288" t="s">
        <v>5</v>
      </c>
      <c r="J4" s="288" t="s">
        <v>10</v>
      </c>
      <c r="K4" s="916"/>
      <c r="L4" s="985"/>
    </row>
    <row r="5" spans="1:12" ht="15" thickBot="1" x14ac:dyDescent="0.35">
      <c r="A5" s="174">
        <v>200</v>
      </c>
      <c r="B5" s="261">
        <v>8550.4</v>
      </c>
      <c r="C5" s="12" t="s">
        <v>3156</v>
      </c>
      <c r="D5" s="12">
        <f>+I5</f>
        <v>200</v>
      </c>
      <c r="E5" s="12">
        <f>+J5</f>
        <v>8174.1</v>
      </c>
      <c r="F5" s="39" t="s">
        <v>3157</v>
      </c>
      <c r="G5" s="39">
        <v>12901</v>
      </c>
      <c r="H5" s="40"/>
      <c r="I5" s="39">
        <v>200</v>
      </c>
      <c r="J5" s="39">
        <v>8174.1</v>
      </c>
      <c r="K5" s="120">
        <f t="shared" ref="K5" si="0">+A5-D5</f>
        <v>0</v>
      </c>
      <c r="L5" s="32">
        <f t="shared" ref="L5" si="1">(+B5-E5)/B5</f>
        <v>4.4009636976047824E-2</v>
      </c>
    </row>
    <row r="6" spans="1:12" x14ac:dyDescent="0.3">
      <c r="A6" s="871">
        <v>295</v>
      </c>
      <c r="B6" s="964">
        <v>13255.5</v>
      </c>
      <c r="C6" s="873" t="s">
        <v>3158</v>
      </c>
      <c r="D6" s="873">
        <f>+I6+I7</f>
        <v>275</v>
      </c>
      <c r="E6" s="873">
        <f>+J6+J7</f>
        <v>11710</v>
      </c>
      <c r="F6" s="39" t="s">
        <v>3159</v>
      </c>
      <c r="G6" s="39">
        <v>59071</v>
      </c>
      <c r="H6" s="40"/>
      <c r="I6" s="39">
        <v>35</v>
      </c>
      <c r="J6" s="39">
        <v>1512.2</v>
      </c>
      <c r="K6" s="1081">
        <f t="shared" ref="K6:K17" si="2">+A6-D6</f>
        <v>20</v>
      </c>
      <c r="L6" s="879">
        <f>((+B6/A6)-(E6/D6))/(B6/A6)</f>
        <v>5.234533864159311E-2</v>
      </c>
    </row>
    <row r="7" spans="1:12" ht="15" thickBot="1" x14ac:dyDescent="0.35">
      <c r="A7" s="872"/>
      <c r="B7" s="965"/>
      <c r="C7" s="874"/>
      <c r="D7" s="874"/>
      <c r="E7" s="874"/>
      <c r="F7" s="42" t="s">
        <v>3159</v>
      </c>
      <c r="G7" s="42">
        <v>59071</v>
      </c>
      <c r="H7" s="43"/>
      <c r="I7" s="42">
        <v>240</v>
      </c>
      <c r="J7" s="42">
        <v>10197.799999999999</v>
      </c>
      <c r="K7" s="1082"/>
      <c r="L7" s="880"/>
    </row>
    <row r="8" spans="1:12" ht="15" thickBot="1" x14ac:dyDescent="0.35">
      <c r="A8" s="175">
        <v>600</v>
      </c>
      <c r="B8" s="242">
        <v>28177</v>
      </c>
      <c r="C8" s="8" t="s">
        <v>3160</v>
      </c>
      <c r="D8" s="8">
        <f t="shared" ref="D8:E10" si="3">+I8</f>
        <v>600</v>
      </c>
      <c r="E8" s="8">
        <f t="shared" si="3"/>
        <v>26349.1</v>
      </c>
      <c r="F8" s="45" t="s">
        <v>3161</v>
      </c>
      <c r="G8" s="45">
        <v>30021</v>
      </c>
      <c r="H8" s="14"/>
      <c r="I8" s="45">
        <v>600</v>
      </c>
      <c r="J8" s="45">
        <v>26349.1</v>
      </c>
      <c r="K8" s="120">
        <f t="shared" si="2"/>
        <v>0</v>
      </c>
      <c r="L8" s="127">
        <f>((+B8/A8)-(E8/D8))/(B8/A8)</f>
        <v>6.4872058771338365E-2</v>
      </c>
    </row>
    <row r="9" spans="1:12" ht="15" thickBot="1" x14ac:dyDescent="0.35">
      <c r="A9" s="175">
        <v>750</v>
      </c>
      <c r="B9" s="242">
        <v>33662.5</v>
      </c>
      <c r="C9" s="8" t="s">
        <v>3162</v>
      </c>
      <c r="D9" s="8">
        <f t="shared" si="3"/>
        <v>750</v>
      </c>
      <c r="E9" s="8">
        <f t="shared" si="3"/>
        <v>31772</v>
      </c>
      <c r="F9" s="45" t="s">
        <v>3163</v>
      </c>
      <c r="G9" s="45">
        <v>30031</v>
      </c>
      <c r="H9" s="14"/>
      <c r="I9" s="45">
        <v>750</v>
      </c>
      <c r="J9" s="45">
        <v>31772</v>
      </c>
      <c r="K9" s="120">
        <f t="shared" si="2"/>
        <v>0</v>
      </c>
      <c r="L9" s="127">
        <f>((+B9/A9)-(E9/D9))/(B9/A9)</f>
        <v>5.6160415893056002E-2</v>
      </c>
    </row>
    <row r="10" spans="1:12" ht="15" thickBot="1" x14ac:dyDescent="0.35">
      <c r="A10" s="175">
        <v>99</v>
      </c>
      <c r="B10" s="242">
        <v>5479.19</v>
      </c>
      <c r="C10" s="8" t="s">
        <v>3164</v>
      </c>
      <c r="D10" s="8">
        <f t="shared" si="3"/>
        <v>99</v>
      </c>
      <c r="E10" s="8">
        <f t="shared" si="3"/>
        <v>5003.7</v>
      </c>
      <c r="F10" s="45" t="s">
        <v>1223</v>
      </c>
      <c r="G10" s="45">
        <v>34831</v>
      </c>
      <c r="H10" s="14"/>
      <c r="I10" s="45">
        <v>99</v>
      </c>
      <c r="J10" s="45">
        <v>5003.7</v>
      </c>
      <c r="K10" s="120">
        <f t="shared" si="2"/>
        <v>0</v>
      </c>
      <c r="L10" s="127">
        <f>((+B10/A10)-(E10/D10))/(B10/A10)</f>
        <v>8.6781075304926444E-2</v>
      </c>
    </row>
    <row r="11" spans="1:12" x14ac:dyDescent="0.3">
      <c r="A11" s="871">
        <v>598</v>
      </c>
      <c r="B11" s="964">
        <v>23738.5</v>
      </c>
      <c r="C11" s="873" t="s">
        <v>3165</v>
      </c>
      <c r="D11" s="873">
        <f>+I11+I12</f>
        <v>589</v>
      </c>
      <c r="E11" s="873">
        <f>+J11+J12</f>
        <v>23165.699999999997</v>
      </c>
      <c r="F11" s="39" t="s">
        <v>3166</v>
      </c>
      <c r="G11" s="39">
        <v>30041</v>
      </c>
      <c r="H11" s="40"/>
      <c r="I11" s="39">
        <v>288</v>
      </c>
      <c r="J11" s="39">
        <v>11327.8</v>
      </c>
      <c r="K11" s="1081">
        <f t="shared" si="2"/>
        <v>9</v>
      </c>
      <c r="L11" s="879">
        <f>((+B11/A11)-(E11/D11))/(B11/A11)</f>
        <v>9.2181459466764946E-3</v>
      </c>
    </row>
    <row r="12" spans="1:12" ht="15" thickBot="1" x14ac:dyDescent="0.35">
      <c r="A12" s="872"/>
      <c r="B12" s="965"/>
      <c r="C12" s="874"/>
      <c r="D12" s="874"/>
      <c r="E12" s="874"/>
      <c r="F12" s="42" t="s">
        <v>3166</v>
      </c>
      <c r="G12" s="42">
        <v>30041</v>
      </c>
      <c r="H12" s="43"/>
      <c r="I12" s="42">
        <v>301</v>
      </c>
      <c r="J12" s="42">
        <v>11837.9</v>
      </c>
      <c r="K12" s="1082"/>
      <c r="L12" s="880"/>
    </row>
    <row r="13" spans="1:12" x14ac:dyDescent="0.3">
      <c r="A13" s="871">
        <v>449</v>
      </c>
      <c r="B13" s="964">
        <v>19653.25</v>
      </c>
      <c r="C13" s="873" t="s">
        <v>3167</v>
      </c>
      <c r="D13" s="873">
        <f>+I13+I14</f>
        <v>449</v>
      </c>
      <c r="E13" s="873">
        <f>+J13+J14</f>
        <v>19183.599999999999</v>
      </c>
      <c r="F13" s="39" t="s">
        <v>3168</v>
      </c>
      <c r="G13" s="39">
        <v>30051</v>
      </c>
      <c r="H13" s="40"/>
      <c r="I13" s="39">
        <v>149</v>
      </c>
      <c r="J13" s="39">
        <v>6176.1</v>
      </c>
      <c r="K13" s="1081">
        <f t="shared" si="2"/>
        <v>0</v>
      </c>
      <c r="L13" s="879">
        <f>((+B13/A13)-(E13/D13))/(B13/A13)</f>
        <v>2.3896810960019291E-2</v>
      </c>
    </row>
    <row r="14" spans="1:12" ht="15" thickBot="1" x14ac:dyDescent="0.35">
      <c r="A14" s="872"/>
      <c r="B14" s="965"/>
      <c r="C14" s="874"/>
      <c r="D14" s="874"/>
      <c r="E14" s="874"/>
      <c r="F14" s="42" t="s">
        <v>3168</v>
      </c>
      <c r="G14" s="42">
        <v>30051</v>
      </c>
      <c r="H14" s="43"/>
      <c r="I14" s="42">
        <v>300</v>
      </c>
      <c r="J14" s="42">
        <v>13007.5</v>
      </c>
      <c r="K14" s="1082"/>
      <c r="L14" s="880"/>
    </row>
    <row r="15" spans="1:12" ht="15" thickBot="1" x14ac:dyDescent="0.35">
      <c r="A15" s="175">
        <v>488</v>
      </c>
      <c r="B15" s="242">
        <v>20356</v>
      </c>
      <c r="C15" s="8" t="s">
        <v>3169</v>
      </c>
      <c r="D15" s="8">
        <f>+I15</f>
        <v>488</v>
      </c>
      <c r="E15" s="8">
        <f>+J15</f>
        <v>19823.099999999999</v>
      </c>
      <c r="F15" s="45" t="s">
        <v>3170</v>
      </c>
      <c r="G15" s="45">
        <v>30081</v>
      </c>
      <c r="H15" s="14"/>
      <c r="I15" s="45">
        <v>488</v>
      </c>
      <c r="J15" s="45">
        <v>19823.099999999999</v>
      </c>
      <c r="K15" s="120">
        <f t="shared" si="2"/>
        <v>0</v>
      </c>
      <c r="L15" s="127">
        <f>((+B15/A15)-(E15/D15))/(B15/A15)</f>
        <v>2.6179013558656043E-2</v>
      </c>
    </row>
    <row r="16" spans="1:12" ht="15" thickBot="1" x14ac:dyDescent="0.35">
      <c r="A16" s="175">
        <v>300</v>
      </c>
      <c r="B16" s="242">
        <v>13122</v>
      </c>
      <c r="C16" s="8" t="s">
        <v>3171</v>
      </c>
      <c r="D16" s="8">
        <f>+I16</f>
        <v>303</v>
      </c>
      <c r="E16" s="8">
        <f>+J16</f>
        <v>12909.7</v>
      </c>
      <c r="F16" s="45" t="s">
        <v>3172</v>
      </c>
      <c r="G16" s="45">
        <v>30101</v>
      </c>
      <c r="H16" s="14"/>
      <c r="I16" s="45">
        <v>303</v>
      </c>
      <c r="J16" s="45">
        <v>12909.7</v>
      </c>
      <c r="K16" s="120">
        <f t="shared" si="2"/>
        <v>-3</v>
      </c>
      <c r="L16" s="127">
        <f>((+B16/A16)-(E16/D16))/(B16/A16)</f>
        <v>2.5919738750281113E-2</v>
      </c>
    </row>
    <row r="17" spans="1:12" x14ac:dyDescent="0.3">
      <c r="A17" s="871">
        <v>1552</v>
      </c>
      <c r="B17" s="964">
        <v>65678.25</v>
      </c>
      <c r="C17" s="873" t="s">
        <v>3173</v>
      </c>
      <c r="D17" s="873">
        <v>1551</v>
      </c>
      <c r="E17" s="873">
        <v>64120.3</v>
      </c>
      <c r="F17" s="39" t="s">
        <v>3174</v>
      </c>
      <c r="G17" s="39">
        <v>30121</v>
      </c>
      <c r="H17" s="40"/>
      <c r="I17" s="39">
        <v>200</v>
      </c>
      <c r="J17" s="39">
        <v>8214.7999999999993</v>
      </c>
      <c r="K17" s="1081">
        <f t="shared" si="2"/>
        <v>1</v>
      </c>
      <c r="L17" s="879">
        <f>((+B17/A17)-(E17/D17))/(B17/A17)</f>
        <v>2.3091491266882966E-2</v>
      </c>
    </row>
    <row r="18" spans="1:12" ht="15" thickBot="1" x14ac:dyDescent="0.35">
      <c r="A18" s="872"/>
      <c r="B18" s="965"/>
      <c r="C18" s="874"/>
      <c r="D18" s="874"/>
      <c r="E18" s="874"/>
      <c r="F18" s="42" t="s">
        <v>3174</v>
      </c>
      <c r="G18" s="42">
        <v>30121</v>
      </c>
      <c r="H18" s="43"/>
      <c r="I18" s="42">
        <v>705</v>
      </c>
      <c r="J18" s="42">
        <v>29316.5</v>
      </c>
      <c r="K18" s="1082"/>
      <c r="L18" s="880"/>
    </row>
    <row r="19" spans="1:12" ht="15" thickBot="1" x14ac:dyDescent="0.35">
      <c r="A19" s="175">
        <v>546</v>
      </c>
      <c r="B19" s="242">
        <v>22315.75</v>
      </c>
      <c r="C19" s="8" t="s">
        <v>3310</v>
      </c>
      <c r="D19" s="8">
        <f>+I19</f>
        <v>546</v>
      </c>
      <c r="E19" s="8">
        <f>+J19</f>
        <v>21996.3</v>
      </c>
      <c r="F19" s="45" t="s">
        <v>3311</v>
      </c>
      <c r="G19" s="45">
        <v>30141</v>
      </c>
      <c r="H19" s="14"/>
      <c r="I19" s="45">
        <v>546</v>
      </c>
      <c r="J19" s="45">
        <v>21996.3</v>
      </c>
      <c r="K19" s="120">
        <f t="shared" ref="K19:K20" si="4">+A19-D19</f>
        <v>0</v>
      </c>
      <c r="L19" s="127">
        <f>((+B19/A19)-(E19/D19))/(B19/A19)</f>
        <v>1.4315001736441712E-2</v>
      </c>
    </row>
    <row r="20" spans="1:12" x14ac:dyDescent="0.3">
      <c r="A20" s="871">
        <v>1100</v>
      </c>
      <c r="B20" s="964">
        <v>45281.25</v>
      </c>
      <c r="C20" s="873" t="s">
        <v>3312</v>
      </c>
      <c r="D20" s="873">
        <f>+I20+I21</f>
        <v>1108</v>
      </c>
      <c r="E20" s="873">
        <f>+J20+J21</f>
        <v>44707.399999999994</v>
      </c>
      <c r="F20" s="39" t="s">
        <v>3313</v>
      </c>
      <c r="G20" s="39">
        <v>30151</v>
      </c>
      <c r="H20" s="40"/>
      <c r="I20" s="39">
        <v>164</v>
      </c>
      <c r="J20" s="39">
        <v>6521.7</v>
      </c>
      <c r="K20" s="1081">
        <f t="shared" si="4"/>
        <v>-8</v>
      </c>
      <c r="L20" s="879">
        <f>((+B20/A20)-(E20/D20))/(B20/A20)</f>
        <v>1.9801730559853428E-2</v>
      </c>
    </row>
    <row r="21" spans="1:12" ht="15" thickBot="1" x14ac:dyDescent="0.35">
      <c r="A21" s="872"/>
      <c r="B21" s="965"/>
      <c r="C21" s="874"/>
      <c r="D21" s="874"/>
      <c r="E21" s="874"/>
      <c r="F21" s="42" t="s">
        <v>3313</v>
      </c>
      <c r="G21" s="42">
        <v>30151</v>
      </c>
      <c r="H21" s="43"/>
      <c r="I21" s="42">
        <v>944</v>
      </c>
      <c r="J21" s="42">
        <v>38185.699999999997</v>
      </c>
      <c r="K21" s="1082"/>
      <c r="L21" s="880"/>
    </row>
    <row r="22" spans="1:12" ht="15" thickBot="1" x14ac:dyDescent="0.35">
      <c r="A22" s="175">
        <v>1288</v>
      </c>
      <c r="B22" s="242">
        <v>53682.75</v>
      </c>
      <c r="C22" s="8" t="s">
        <v>3314</v>
      </c>
      <c r="D22" s="8">
        <f>+I22</f>
        <v>1288</v>
      </c>
      <c r="E22" s="8">
        <f>+J22</f>
        <v>54695.69999999999</v>
      </c>
      <c r="F22" s="45" t="s">
        <v>3315</v>
      </c>
      <c r="G22" s="45">
        <v>30161</v>
      </c>
      <c r="H22" s="14"/>
      <c r="I22" s="45">
        <v>1288</v>
      </c>
      <c r="J22" s="45">
        <v>54695.69999999999</v>
      </c>
      <c r="K22" s="120">
        <f t="shared" ref="K22:K23" si="5">+A22-D22</f>
        <v>0</v>
      </c>
      <c r="L22" s="127">
        <f>((+B22/A22)-(E22/D22))/(B22/A22)</f>
        <v>-1.8869189823546531E-2</v>
      </c>
    </row>
    <row r="23" spans="1:12" x14ac:dyDescent="0.3">
      <c r="A23" s="871">
        <v>1132</v>
      </c>
      <c r="B23" s="964">
        <v>50287</v>
      </c>
      <c r="C23" s="873" t="s">
        <v>3316</v>
      </c>
      <c r="D23" s="873">
        <f>+I23+I24</f>
        <v>1134</v>
      </c>
      <c r="E23" s="873">
        <f>+J23+J24</f>
        <v>48398</v>
      </c>
      <c r="F23" s="39" t="s">
        <v>3317</v>
      </c>
      <c r="G23" s="39">
        <v>30171</v>
      </c>
      <c r="H23" s="40"/>
      <c r="I23" s="39">
        <v>800</v>
      </c>
      <c r="J23" s="39">
        <v>33824.800000000003</v>
      </c>
      <c r="K23" s="1081">
        <f t="shared" si="5"/>
        <v>-2</v>
      </c>
      <c r="L23" s="879">
        <f>((+B23/A23)-(E23/D23))/(B23/A23)</f>
        <v>3.9261797774600968E-2</v>
      </c>
    </row>
    <row r="24" spans="1:12" ht="15" thickBot="1" x14ac:dyDescent="0.35">
      <c r="A24" s="872"/>
      <c r="B24" s="965"/>
      <c r="C24" s="874"/>
      <c r="D24" s="874"/>
      <c r="E24" s="874"/>
      <c r="F24" s="42" t="s">
        <v>3317</v>
      </c>
      <c r="G24" s="42">
        <v>30171</v>
      </c>
      <c r="H24" s="43"/>
      <c r="I24" s="42">
        <v>334</v>
      </c>
      <c r="J24" s="42">
        <v>14573.2</v>
      </c>
      <c r="K24" s="1082"/>
      <c r="L24" s="880"/>
    </row>
    <row r="25" spans="1:12" x14ac:dyDescent="0.3">
      <c r="A25" s="871">
        <v>969</v>
      </c>
      <c r="B25" s="964">
        <v>42862.25</v>
      </c>
      <c r="C25" s="873" t="s">
        <v>3403</v>
      </c>
      <c r="D25" s="873">
        <f>+I25+I26+I27</f>
        <v>970</v>
      </c>
      <c r="E25" s="873">
        <f>+J25+J26+J27</f>
        <v>41143.599999999991</v>
      </c>
      <c r="F25" s="39" t="s">
        <v>3404</v>
      </c>
      <c r="G25" s="39">
        <v>30181</v>
      </c>
      <c r="H25" s="40"/>
      <c r="I25" s="39">
        <v>400</v>
      </c>
      <c r="J25" s="39">
        <v>16768.8</v>
      </c>
      <c r="K25" s="1081">
        <f t="shared" ref="K25" si="6">+A25-D25</f>
        <v>-1</v>
      </c>
      <c r="L25" s="879">
        <f>((+B25/A25)-(E25/D25))/(B25/A25)</f>
        <v>4.1086645765778293E-2</v>
      </c>
    </row>
    <row r="26" spans="1:12" x14ac:dyDescent="0.3">
      <c r="A26" s="875"/>
      <c r="B26" s="966"/>
      <c r="C26" s="881"/>
      <c r="D26" s="881"/>
      <c r="E26" s="881"/>
      <c r="F26" s="50" t="s">
        <v>3404</v>
      </c>
      <c r="G26" s="50">
        <v>30181</v>
      </c>
      <c r="I26" s="50">
        <v>518</v>
      </c>
      <c r="J26" s="50">
        <v>22135.1</v>
      </c>
      <c r="K26" s="1083"/>
      <c r="L26" s="885"/>
    </row>
    <row r="27" spans="1:12" ht="15" thickBot="1" x14ac:dyDescent="0.35">
      <c r="A27" s="872"/>
      <c r="B27" s="965"/>
      <c r="C27" s="874"/>
      <c r="D27" s="874"/>
      <c r="E27" s="874"/>
      <c r="F27" s="42" t="s">
        <v>3404</v>
      </c>
      <c r="G27" s="42">
        <v>30181</v>
      </c>
      <c r="H27" s="43"/>
      <c r="I27" s="42">
        <v>52</v>
      </c>
      <c r="J27" s="42">
        <v>2239.6999999999998</v>
      </c>
      <c r="K27" s="1082"/>
      <c r="L27" s="880"/>
    </row>
    <row r="28" spans="1:12" ht="15" thickBot="1" x14ac:dyDescent="0.35">
      <c r="A28" s="175">
        <v>650</v>
      </c>
      <c r="B28" s="242">
        <v>28524.75</v>
      </c>
      <c r="C28" s="8" t="s">
        <v>3405</v>
      </c>
      <c r="D28" s="8">
        <f>+I28</f>
        <v>650</v>
      </c>
      <c r="E28" s="8">
        <f>+J28</f>
        <v>27981.200000000001</v>
      </c>
      <c r="F28" s="45" t="s">
        <v>3406</v>
      </c>
      <c r="G28" s="45">
        <v>30191</v>
      </c>
      <c r="H28" s="14"/>
      <c r="I28" s="45">
        <v>650</v>
      </c>
      <c r="J28" s="45">
        <v>27981.200000000001</v>
      </c>
      <c r="K28" s="120">
        <f t="shared" ref="K28:K29" si="7">+A28-D28</f>
        <v>0</v>
      </c>
      <c r="L28" s="127">
        <f>((+B28/A28)-(E28/D28))/(B28/A28)</f>
        <v>1.9055381729901167E-2</v>
      </c>
    </row>
    <row r="29" spans="1:12" x14ac:dyDescent="0.3">
      <c r="A29" s="871">
        <v>917</v>
      </c>
      <c r="B29" s="964">
        <v>38836</v>
      </c>
      <c r="C29" s="873" t="s">
        <v>3407</v>
      </c>
      <c r="D29" s="873">
        <f>+I29+I30</f>
        <v>917</v>
      </c>
      <c r="E29" s="873">
        <f>+J29+J30</f>
        <v>38967</v>
      </c>
      <c r="F29" s="39" t="s">
        <v>3408</v>
      </c>
      <c r="G29" s="39">
        <v>30211</v>
      </c>
      <c r="H29" s="40"/>
      <c r="I29" s="39">
        <v>449</v>
      </c>
      <c r="J29" s="39">
        <v>19314.7</v>
      </c>
      <c r="K29" s="1081">
        <f t="shared" si="7"/>
        <v>0</v>
      </c>
      <c r="L29" s="879">
        <f>((+B29/A29)-(E29/D29))/(B29/A29)</f>
        <v>-3.3731589247089368E-3</v>
      </c>
    </row>
    <row r="30" spans="1:12" ht="15" thickBot="1" x14ac:dyDescent="0.35">
      <c r="A30" s="872"/>
      <c r="B30" s="965"/>
      <c r="C30" s="874"/>
      <c r="D30" s="874"/>
      <c r="E30" s="874"/>
      <c r="F30" s="42" t="s">
        <v>3408</v>
      </c>
      <c r="G30" s="42">
        <v>30211</v>
      </c>
      <c r="H30" s="43"/>
      <c r="I30" s="42">
        <v>468</v>
      </c>
      <c r="J30" s="42">
        <v>19652.3</v>
      </c>
      <c r="K30" s="1082"/>
      <c r="L30" s="880"/>
    </row>
    <row r="31" spans="1:12" ht="15" thickBot="1" x14ac:dyDescent="0.35">
      <c r="A31" s="175">
        <v>628</v>
      </c>
      <c r="B31" s="242">
        <v>28760.25</v>
      </c>
      <c r="C31" s="8" t="s">
        <v>3409</v>
      </c>
      <c r="D31" s="8">
        <f>+I31</f>
        <v>630</v>
      </c>
      <c r="E31" s="8">
        <f>+J31</f>
        <v>27406.2</v>
      </c>
      <c r="F31" s="45" t="s">
        <v>3410</v>
      </c>
      <c r="G31" s="45">
        <v>30231</v>
      </c>
      <c r="H31" s="14"/>
      <c r="I31" s="45">
        <v>630</v>
      </c>
      <c r="J31" s="45">
        <v>27406.2</v>
      </c>
      <c r="K31" s="120">
        <f t="shared" ref="K31:K35" si="8">+A31-D31</f>
        <v>-2</v>
      </c>
      <c r="L31" s="31">
        <f>((+B31/A31)-(E31/D31))/(B31/A31)</f>
        <v>5.010574697799252E-2</v>
      </c>
    </row>
    <row r="32" spans="1:12" ht="15" thickBot="1" x14ac:dyDescent="0.35">
      <c r="A32" s="175">
        <v>146</v>
      </c>
      <c r="B32" s="242">
        <v>6291.25</v>
      </c>
      <c r="C32" s="8" t="s">
        <v>3557</v>
      </c>
      <c r="D32" s="8">
        <f>+I32</f>
        <v>146</v>
      </c>
      <c r="E32" s="8">
        <f>+J32</f>
        <v>5909.3</v>
      </c>
      <c r="F32" s="45" t="s">
        <v>3558</v>
      </c>
      <c r="G32" s="46">
        <v>30251</v>
      </c>
      <c r="I32" s="50">
        <v>146</v>
      </c>
      <c r="J32" s="50">
        <v>5909.3</v>
      </c>
      <c r="K32" s="120">
        <f t="shared" si="8"/>
        <v>0</v>
      </c>
      <c r="L32" s="31">
        <f t="shared" ref="L32:L34" si="9">((+B32/A32)-(E32/D32))/(B32/A32)</f>
        <v>6.0711305384462587E-2</v>
      </c>
    </row>
    <row r="33" spans="1:12" ht="15" thickBot="1" x14ac:dyDescent="0.35">
      <c r="A33" s="175">
        <v>44</v>
      </c>
      <c r="B33" s="242">
        <v>1933.5</v>
      </c>
      <c r="C33" s="8" t="s">
        <v>3559</v>
      </c>
      <c r="D33" s="8">
        <f t="shared" ref="D33:E34" si="10">+I33</f>
        <v>44</v>
      </c>
      <c r="E33" s="8">
        <f t="shared" si="10"/>
        <v>1803.2</v>
      </c>
      <c r="F33" s="45" t="s">
        <v>3560</v>
      </c>
      <c r="G33" s="46">
        <v>30241</v>
      </c>
      <c r="I33" s="50">
        <v>44</v>
      </c>
      <c r="J33" s="50">
        <v>1803.2</v>
      </c>
      <c r="K33" s="120">
        <f t="shared" si="8"/>
        <v>0</v>
      </c>
      <c r="L33" s="31">
        <f t="shared" si="9"/>
        <v>6.7390742177398488E-2</v>
      </c>
    </row>
    <row r="34" spans="1:12" ht="15" thickBot="1" x14ac:dyDescent="0.35">
      <c r="A34" s="175">
        <v>600</v>
      </c>
      <c r="B34" s="242">
        <v>24634.5</v>
      </c>
      <c r="C34" s="8" t="s">
        <v>3561</v>
      </c>
      <c r="D34" s="8">
        <f t="shared" si="10"/>
        <v>601</v>
      </c>
      <c r="E34" s="8">
        <f t="shared" si="10"/>
        <v>23550.399999999998</v>
      </c>
      <c r="F34" s="45" t="s">
        <v>3562</v>
      </c>
      <c r="G34" s="46">
        <v>30261</v>
      </c>
      <c r="I34" s="50">
        <v>601</v>
      </c>
      <c r="J34" s="50">
        <v>23550.399999999998</v>
      </c>
      <c r="K34" s="120">
        <f t="shared" si="8"/>
        <v>-1</v>
      </c>
      <c r="L34" s="31">
        <f t="shared" si="9"/>
        <v>4.5598057916219313E-2</v>
      </c>
    </row>
    <row r="35" spans="1:12" x14ac:dyDescent="0.3">
      <c r="A35" s="871">
        <v>499</v>
      </c>
      <c r="B35" s="964">
        <v>23210</v>
      </c>
      <c r="C35" s="873" t="s">
        <v>3563</v>
      </c>
      <c r="D35" s="873">
        <f>+I35+I36</f>
        <v>463</v>
      </c>
      <c r="E35" s="873">
        <f>+J35+J36</f>
        <v>20800.600000000002</v>
      </c>
      <c r="F35" s="39" t="s">
        <v>3564</v>
      </c>
      <c r="G35" s="39">
        <v>30271</v>
      </c>
      <c r="H35" s="40"/>
      <c r="I35" s="39">
        <v>400</v>
      </c>
      <c r="J35" s="39">
        <v>18003.600000000002</v>
      </c>
      <c r="K35" s="1081">
        <f t="shared" si="8"/>
        <v>36</v>
      </c>
      <c r="L35" s="879">
        <f>((+B35/A35)-(E35/D35))/(B35/A35)</f>
        <v>3.4126442482619458E-2</v>
      </c>
    </row>
    <row r="36" spans="1:12" ht="15" thickBot="1" x14ac:dyDescent="0.35">
      <c r="A36" s="872"/>
      <c r="B36" s="965"/>
      <c r="C36" s="874"/>
      <c r="D36" s="874"/>
      <c r="E36" s="874"/>
      <c r="F36" s="42" t="s">
        <v>3564</v>
      </c>
      <c r="G36" s="42">
        <v>30271</v>
      </c>
      <c r="H36" s="43"/>
      <c r="I36" s="42">
        <v>63</v>
      </c>
      <c r="J36" s="42">
        <v>2797</v>
      </c>
      <c r="K36" s="1082"/>
      <c r="L36" s="880"/>
    </row>
    <row r="37" spans="1:12" x14ac:dyDescent="0.3">
      <c r="A37" s="871">
        <v>1639</v>
      </c>
      <c r="B37" s="964">
        <v>68927</v>
      </c>
      <c r="C37" s="873" t="s">
        <v>3565</v>
      </c>
      <c r="D37" s="873">
        <f>+I37+I38</f>
        <v>1638</v>
      </c>
      <c r="E37" s="873">
        <f>+J37+J38</f>
        <v>64952.5</v>
      </c>
      <c r="F37" s="39" t="s">
        <v>3566</v>
      </c>
      <c r="G37" s="39">
        <v>30281</v>
      </c>
      <c r="H37" s="40"/>
      <c r="I37" s="39">
        <v>1366</v>
      </c>
      <c r="J37" s="39">
        <v>54134.8</v>
      </c>
      <c r="K37" s="1081">
        <f t="shared" ref="K37" si="11">+A37-D37</f>
        <v>1</v>
      </c>
      <c r="L37" s="879">
        <f>((+B37/A37)-(E37/D37))/(B37/A37)</f>
        <v>5.7087156833990571E-2</v>
      </c>
    </row>
    <row r="38" spans="1:12" ht="15" thickBot="1" x14ac:dyDescent="0.35">
      <c r="A38" s="875"/>
      <c r="B38" s="966"/>
      <c r="C38" s="881"/>
      <c r="D38" s="881"/>
      <c r="E38" s="881"/>
      <c r="F38" s="50" t="s">
        <v>3566</v>
      </c>
      <c r="G38" s="50">
        <v>30281</v>
      </c>
      <c r="I38" s="50">
        <v>272</v>
      </c>
      <c r="J38" s="50">
        <v>10817.7</v>
      </c>
      <c r="K38" s="1082"/>
      <c r="L38" s="880"/>
    </row>
    <row r="39" spans="1:12" ht="15" thickBot="1" x14ac:dyDescent="0.35">
      <c r="A39" s="175">
        <v>933</v>
      </c>
      <c r="B39" s="242">
        <v>40464</v>
      </c>
      <c r="C39" s="8" t="s">
        <v>3567</v>
      </c>
      <c r="D39" s="8">
        <f>+I39</f>
        <v>935</v>
      </c>
      <c r="E39" s="8">
        <f>+J39</f>
        <v>38515.899999999994</v>
      </c>
      <c r="F39" s="45" t="s">
        <v>3568</v>
      </c>
      <c r="G39" s="45">
        <v>30291</v>
      </c>
      <c r="H39" s="14"/>
      <c r="I39" s="45">
        <v>935</v>
      </c>
      <c r="J39" s="45">
        <v>38515.899999999994</v>
      </c>
      <c r="K39" s="120">
        <f t="shared" ref="K39:K40" si="12">+A39-D39</f>
        <v>-2</v>
      </c>
      <c r="L39" s="31">
        <f t="shared" ref="L39:L40" si="13">((+B39/A39)-(E39/D39))/(B39/A39)</f>
        <v>5.0180084812961143E-2</v>
      </c>
    </row>
    <row r="40" spans="1:12" ht="15" thickBot="1" x14ac:dyDescent="0.35">
      <c r="A40" s="175">
        <v>759</v>
      </c>
      <c r="B40" s="242">
        <v>34645.5</v>
      </c>
      <c r="C40" s="8" t="s">
        <v>3569</v>
      </c>
      <c r="D40" s="8">
        <f>+I40</f>
        <v>758</v>
      </c>
      <c r="E40" s="8">
        <f>+J40</f>
        <v>33294.9</v>
      </c>
      <c r="F40" s="45" t="s">
        <v>3570</v>
      </c>
      <c r="G40" s="45">
        <v>30301</v>
      </c>
      <c r="H40" s="14"/>
      <c r="I40" s="45">
        <v>758</v>
      </c>
      <c r="J40" s="45">
        <v>33294.9</v>
      </c>
      <c r="K40" s="120">
        <f t="shared" si="12"/>
        <v>1</v>
      </c>
      <c r="L40" s="31">
        <f t="shared" si="13"/>
        <v>3.7715585857190738E-2</v>
      </c>
    </row>
    <row r="41" spans="1:12" ht="15" thickBot="1" x14ac:dyDescent="0.35">
      <c r="A41" s="175">
        <v>300</v>
      </c>
      <c r="B41" s="242">
        <v>13534.5</v>
      </c>
      <c r="C41" s="8" t="s">
        <v>3682</v>
      </c>
      <c r="D41" s="8">
        <f t="shared" ref="D41:E45" si="14">+I41</f>
        <v>301</v>
      </c>
      <c r="E41" s="8">
        <f t="shared" si="14"/>
        <v>12707.2</v>
      </c>
      <c r="F41" s="45" t="s">
        <v>3683</v>
      </c>
      <c r="G41" s="45">
        <v>30321</v>
      </c>
      <c r="H41" s="14"/>
      <c r="I41" s="45">
        <v>301</v>
      </c>
      <c r="J41" s="45">
        <v>12707.2</v>
      </c>
      <c r="K41" s="120">
        <f t="shared" ref="K41:K48" si="15">+A41-D41</f>
        <v>-1</v>
      </c>
      <c r="L41" s="31">
        <f t="shared" ref="L41:L47" si="16">((+B41/A41)-(E41/D41))/(B41/A41)</f>
        <v>6.4244457593238158E-2</v>
      </c>
    </row>
    <row r="42" spans="1:12" ht="15" thickBot="1" x14ac:dyDescent="0.35">
      <c r="A42" s="175">
        <v>485</v>
      </c>
      <c r="B42" s="242">
        <v>21773</v>
      </c>
      <c r="C42" s="8" t="s">
        <v>3684</v>
      </c>
      <c r="D42" s="8">
        <f t="shared" si="14"/>
        <v>485</v>
      </c>
      <c r="E42" s="8">
        <f t="shared" si="14"/>
        <v>20997.1</v>
      </c>
      <c r="F42" s="45" t="s">
        <v>3685</v>
      </c>
      <c r="G42" s="45">
        <v>30331</v>
      </c>
      <c r="H42" s="14"/>
      <c r="I42" s="45">
        <v>485</v>
      </c>
      <c r="J42" s="45">
        <v>20997.1</v>
      </c>
      <c r="K42" s="120">
        <f t="shared" si="15"/>
        <v>0</v>
      </c>
      <c r="L42" s="31">
        <f t="shared" si="16"/>
        <v>3.5635879300050577E-2</v>
      </c>
    </row>
    <row r="43" spans="1:12" ht="15" thickBot="1" x14ac:dyDescent="0.35">
      <c r="A43" s="175">
        <v>644</v>
      </c>
      <c r="B43" s="242">
        <v>28729.25</v>
      </c>
      <c r="C43" s="8" t="s">
        <v>3686</v>
      </c>
      <c r="D43" s="8">
        <f t="shared" si="14"/>
        <v>644</v>
      </c>
      <c r="E43" s="8">
        <f t="shared" si="14"/>
        <v>26271.3</v>
      </c>
      <c r="F43" s="45" t="s">
        <v>3687</v>
      </c>
      <c r="G43" s="45">
        <v>30341</v>
      </c>
      <c r="H43" s="14"/>
      <c r="I43" s="45">
        <v>644</v>
      </c>
      <c r="J43" s="45">
        <v>26271.3</v>
      </c>
      <c r="K43" s="120">
        <f t="shared" si="15"/>
        <v>0</v>
      </c>
      <c r="L43" s="31">
        <f t="shared" si="16"/>
        <v>8.555566191251078E-2</v>
      </c>
    </row>
    <row r="44" spans="1:12" ht="15" thickBot="1" x14ac:dyDescent="0.35">
      <c r="A44" s="175">
        <v>347</v>
      </c>
      <c r="B44" s="242">
        <v>14899.25</v>
      </c>
      <c r="C44" s="8" t="s">
        <v>3688</v>
      </c>
      <c r="D44" s="8">
        <f t="shared" si="14"/>
        <v>348</v>
      </c>
      <c r="E44" s="8">
        <f t="shared" si="14"/>
        <v>13991.4</v>
      </c>
      <c r="F44" s="45" t="s">
        <v>3689</v>
      </c>
      <c r="G44" s="45">
        <v>30351</v>
      </c>
      <c r="H44" s="14"/>
      <c r="I44" s="45">
        <v>348</v>
      </c>
      <c r="J44" s="45">
        <v>13991.4</v>
      </c>
      <c r="K44" s="120">
        <f t="shared" si="15"/>
        <v>-1</v>
      </c>
      <c r="L44" s="31">
        <f t="shared" si="16"/>
        <v>6.3631066826437113E-2</v>
      </c>
    </row>
    <row r="45" spans="1:12" ht="15" thickBot="1" x14ac:dyDescent="0.35">
      <c r="A45" s="175">
        <f>1982-100</f>
        <v>1882</v>
      </c>
      <c r="B45" s="242">
        <f>84929.75-4285.05</f>
        <v>80644.7</v>
      </c>
      <c r="C45" s="8" t="s">
        <v>3690</v>
      </c>
      <c r="D45" s="8">
        <f t="shared" si="14"/>
        <v>1849</v>
      </c>
      <c r="E45" s="8">
        <f t="shared" si="14"/>
        <v>77508.7</v>
      </c>
      <c r="F45" s="45" t="s">
        <v>3691</v>
      </c>
      <c r="G45" s="46">
        <v>30371</v>
      </c>
      <c r="I45" s="50">
        <v>1849</v>
      </c>
      <c r="J45" s="50">
        <v>77508.7</v>
      </c>
      <c r="K45" s="120">
        <f t="shared" si="15"/>
        <v>33</v>
      </c>
      <c r="L45" s="31">
        <f t="shared" si="16"/>
        <v>2.1733165719873528E-2</v>
      </c>
    </row>
    <row r="46" spans="1:12" ht="15" thickBot="1" x14ac:dyDescent="0.35">
      <c r="A46" s="175">
        <v>1447</v>
      </c>
      <c r="B46" s="242">
        <v>62120.75</v>
      </c>
      <c r="C46" s="8" t="s">
        <v>3692</v>
      </c>
      <c r="D46" s="8">
        <v>1447</v>
      </c>
      <c r="E46" s="8">
        <v>60788.5</v>
      </c>
      <c r="F46" s="45" t="s">
        <v>3693</v>
      </c>
      <c r="G46" s="46">
        <v>30381</v>
      </c>
      <c r="I46" s="50">
        <v>594</v>
      </c>
      <c r="J46" s="50">
        <v>24640.3</v>
      </c>
      <c r="K46" s="120">
        <f t="shared" si="15"/>
        <v>0</v>
      </c>
      <c r="L46" s="31">
        <f t="shared" si="16"/>
        <v>2.1446135148078482E-2</v>
      </c>
    </row>
    <row r="47" spans="1:12" ht="15" thickBot="1" x14ac:dyDescent="0.35">
      <c r="A47" s="175">
        <v>827</v>
      </c>
      <c r="B47" s="242">
        <v>36116.5</v>
      </c>
      <c r="C47" s="8" t="s">
        <v>3906</v>
      </c>
      <c r="D47" s="8">
        <f>+I47</f>
        <v>827</v>
      </c>
      <c r="E47" s="8">
        <f>+J47</f>
        <v>34817.5</v>
      </c>
      <c r="F47" s="45" t="s">
        <v>3907</v>
      </c>
      <c r="G47" s="45">
        <v>30391</v>
      </c>
      <c r="H47" s="14"/>
      <c r="I47" s="45">
        <v>827</v>
      </c>
      <c r="J47" s="45">
        <v>34817.5</v>
      </c>
      <c r="K47" s="120">
        <f t="shared" si="15"/>
        <v>0</v>
      </c>
      <c r="L47" s="31">
        <f t="shared" si="16"/>
        <v>3.5966940318137158E-2</v>
      </c>
    </row>
    <row r="48" spans="1:12" x14ac:dyDescent="0.3">
      <c r="A48" s="871">
        <v>1182</v>
      </c>
      <c r="B48" s="964">
        <v>53229.75</v>
      </c>
      <c r="C48" s="873" t="s">
        <v>3908</v>
      </c>
      <c r="D48" s="873">
        <f>+I48+I49</f>
        <v>1182</v>
      </c>
      <c r="E48" s="873">
        <f>+J48+J49</f>
        <v>50955</v>
      </c>
      <c r="F48" s="39" t="s">
        <v>3909</v>
      </c>
      <c r="G48" s="39">
        <v>30401</v>
      </c>
      <c r="H48" s="40"/>
      <c r="I48" s="39">
        <v>1008</v>
      </c>
      <c r="J48" s="39">
        <v>43489.7</v>
      </c>
      <c r="K48" s="1081">
        <f t="shared" si="15"/>
        <v>0</v>
      </c>
      <c r="L48" s="879">
        <f>((+B48/A48)-(E48/D48))/(B48/A48)</f>
        <v>4.2734561030250869E-2</v>
      </c>
    </row>
    <row r="49" spans="1:12" ht="15" thickBot="1" x14ac:dyDescent="0.35">
      <c r="A49" s="872"/>
      <c r="B49" s="965"/>
      <c r="C49" s="874"/>
      <c r="D49" s="874"/>
      <c r="E49" s="874"/>
      <c r="F49" s="42" t="s">
        <v>3909</v>
      </c>
      <c r="G49" s="42">
        <v>30401</v>
      </c>
      <c r="H49" s="43"/>
      <c r="I49" s="42">
        <v>174</v>
      </c>
      <c r="J49" s="42">
        <v>7465.3</v>
      </c>
      <c r="K49" s="1082"/>
      <c r="L49" s="880"/>
    </row>
    <row r="50" spans="1:12" x14ac:dyDescent="0.3">
      <c r="A50" s="871">
        <v>1800</v>
      </c>
      <c r="B50" s="964">
        <v>79615</v>
      </c>
      <c r="C50" s="873" t="s">
        <v>3910</v>
      </c>
      <c r="D50" s="873">
        <f>+I50+I51</f>
        <v>1800</v>
      </c>
      <c r="E50" s="873">
        <f>+J50+J51</f>
        <v>77555.8</v>
      </c>
      <c r="F50" s="39" t="s">
        <v>3911</v>
      </c>
      <c r="G50" s="39">
        <v>30421</v>
      </c>
      <c r="H50" s="40"/>
      <c r="I50" s="39">
        <v>900</v>
      </c>
      <c r="J50" s="39">
        <v>38552.9</v>
      </c>
      <c r="K50" s="1081">
        <f t="shared" ref="K50" si="17">+A50-D50</f>
        <v>0</v>
      </c>
      <c r="L50" s="879">
        <f>((+B50/A50)-(E50/D50))/(B50/A50)</f>
        <v>2.5864472775230761E-2</v>
      </c>
    </row>
    <row r="51" spans="1:12" ht="15" thickBot="1" x14ac:dyDescent="0.35">
      <c r="A51" s="872"/>
      <c r="B51" s="965"/>
      <c r="C51" s="874"/>
      <c r="D51" s="874"/>
      <c r="E51" s="874"/>
      <c r="F51" s="42" t="s">
        <v>3911</v>
      </c>
      <c r="G51" s="42">
        <v>30421</v>
      </c>
      <c r="H51" s="43"/>
      <c r="I51" s="42">
        <v>900</v>
      </c>
      <c r="J51" s="42">
        <v>39002.9</v>
      </c>
      <c r="K51" s="1082"/>
      <c r="L51" s="880"/>
    </row>
    <row r="52" spans="1:12" ht="15" thickBot="1" x14ac:dyDescent="0.35">
      <c r="A52" s="175">
        <v>399</v>
      </c>
      <c r="B52" s="242">
        <v>17763.25</v>
      </c>
      <c r="C52" s="8" t="s">
        <v>3912</v>
      </c>
      <c r="D52" s="8">
        <f t="shared" ref="D52:E61" si="18">+I52</f>
        <v>399</v>
      </c>
      <c r="E52" s="8">
        <f t="shared" si="18"/>
        <v>17385.7</v>
      </c>
      <c r="F52" s="45" t="s">
        <v>3913</v>
      </c>
      <c r="G52" s="45">
        <v>30431</v>
      </c>
      <c r="H52" s="14"/>
      <c r="I52" s="45">
        <v>399</v>
      </c>
      <c r="J52" s="45">
        <v>17385.7</v>
      </c>
      <c r="K52" s="120">
        <f t="shared" ref="K52:K61" si="19">+A52-D52</f>
        <v>0</v>
      </c>
      <c r="L52" s="31">
        <f t="shared" ref="L52:L61" si="20">((+B52/A52)-(E52/D52))/(B52/A52)</f>
        <v>2.1254556457855418E-2</v>
      </c>
    </row>
    <row r="53" spans="1:12" ht="15" thickBot="1" x14ac:dyDescent="0.35">
      <c r="A53" s="175">
        <v>211</v>
      </c>
      <c r="B53" s="242">
        <v>9236.5</v>
      </c>
      <c r="C53" s="8" t="s">
        <v>3914</v>
      </c>
      <c r="D53" s="8">
        <f t="shared" si="18"/>
        <v>213</v>
      </c>
      <c r="E53" s="8">
        <f t="shared" si="18"/>
        <v>9217.2000000000007</v>
      </c>
      <c r="F53" s="45" t="s">
        <v>3915</v>
      </c>
      <c r="G53" s="45">
        <v>30441</v>
      </c>
      <c r="H53" s="14"/>
      <c r="I53" s="45">
        <v>213</v>
      </c>
      <c r="J53" s="45">
        <v>9217.2000000000007</v>
      </c>
      <c r="K53" s="120">
        <f t="shared" si="19"/>
        <v>-2</v>
      </c>
      <c r="L53" s="31">
        <f t="shared" si="20"/>
        <v>1.1459587384099943E-2</v>
      </c>
    </row>
    <row r="54" spans="1:12" ht="15" thickBot="1" x14ac:dyDescent="0.35">
      <c r="A54" s="175">
        <v>308</v>
      </c>
      <c r="B54" s="242">
        <v>13457.75</v>
      </c>
      <c r="C54" s="8" t="s">
        <v>3916</v>
      </c>
      <c r="D54" s="8">
        <f t="shared" si="18"/>
        <v>308</v>
      </c>
      <c r="E54" s="8">
        <f t="shared" si="18"/>
        <v>13284.6</v>
      </c>
      <c r="F54" s="45" t="s">
        <v>3917</v>
      </c>
      <c r="G54" s="45">
        <v>30451</v>
      </c>
      <c r="H54" s="14"/>
      <c r="I54" s="45">
        <v>308</v>
      </c>
      <c r="J54" s="45">
        <v>13284.6</v>
      </c>
      <c r="K54" s="120">
        <f t="shared" si="19"/>
        <v>0</v>
      </c>
      <c r="L54" s="31">
        <f t="shared" si="20"/>
        <v>1.286619234270212E-2</v>
      </c>
    </row>
    <row r="55" spans="1:12" ht="15" thickBot="1" x14ac:dyDescent="0.35">
      <c r="A55" s="175">
        <v>393</v>
      </c>
      <c r="B55" s="242">
        <v>17326</v>
      </c>
      <c r="C55" s="8" t="s">
        <v>3918</v>
      </c>
      <c r="D55" s="8">
        <f t="shared" si="18"/>
        <v>393</v>
      </c>
      <c r="E55" s="8">
        <f t="shared" si="18"/>
        <v>17091.400000000001</v>
      </c>
      <c r="F55" s="45" t="s">
        <v>3919</v>
      </c>
      <c r="G55" s="45">
        <v>30471</v>
      </c>
      <c r="H55" s="14"/>
      <c r="I55" s="45">
        <v>393</v>
      </c>
      <c r="J55" s="45">
        <v>17091.400000000001</v>
      </c>
      <c r="K55" s="120">
        <f t="shared" si="19"/>
        <v>0</v>
      </c>
      <c r="L55" s="31">
        <f t="shared" si="20"/>
        <v>1.3540343991688859E-2</v>
      </c>
    </row>
    <row r="56" spans="1:12" ht="15" thickBot="1" x14ac:dyDescent="0.35">
      <c r="A56" s="190">
        <f t="shared" ref="A56:A61" si="21">+D56</f>
        <v>277</v>
      </c>
      <c r="B56" s="208">
        <f t="shared" ref="B56:B61" si="22">+E56*1.05</f>
        <v>12419.505000000001</v>
      </c>
      <c r="C56" s="161" t="s">
        <v>3920</v>
      </c>
      <c r="D56" s="8">
        <f t="shared" si="18"/>
        <v>277</v>
      </c>
      <c r="E56" s="8">
        <f t="shared" si="18"/>
        <v>11828.1</v>
      </c>
      <c r="F56" s="45" t="s">
        <v>3921</v>
      </c>
      <c r="G56" s="45">
        <v>30501</v>
      </c>
      <c r="H56" s="14"/>
      <c r="I56" s="45">
        <v>277</v>
      </c>
      <c r="J56" s="45">
        <v>11828.1</v>
      </c>
      <c r="K56" s="120">
        <f t="shared" si="19"/>
        <v>0</v>
      </c>
      <c r="L56" s="31">
        <f t="shared" si="20"/>
        <v>4.7619047619047589E-2</v>
      </c>
    </row>
    <row r="57" spans="1:12" ht="15" thickBot="1" x14ac:dyDescent="0.35">
      <c r="A57" s="190">
        <f t="shared" si="21"/>
        <v>205</v>
      </c>
      <c r="B57" s="208">
        <f t="shared" si="22"/>
        <v>7267.89</v>
      </c>
      <c r="C57" s="161" t="s">
        <v>3922</v>
      </c>
      <c r="D57" s="8">
        <f t="shared" si="18"/>
        <v>205</v>
      </c>
      <c r="E57" s="8">
        <f t="shared" si="18"/>
        <v>6921.8</v>
      </c>
      <c r="F57" s="45" t="s">
        <v>3923</v>
      </c>
      <c r="G57" s="45">
        <v>30511</v>
      </c>
      <c r="H57" s="14"/>
      <c r="I57" s="45">
        <v>205</v>
      </c>
      <c r="J57" s="45">
        <v>6921.8</v>
      </c>
      <c r="K57" s="120">
        <f t="shared" si="19"/>
        <v>0</v>
      </c>
      <c r="L57" s="31">
        <f t="shared" si="20"/>
        <v>4.7619047619047679E-2</v>
      </c>
    </row>
    <row r="58" spans="1:12" ht="15" thickBot="1" x14ac:dyDescent="0.35">
      <c r="A58" s="190">
        <f>+D58</f>
        <v>160</v>
      </c>
      <c r="B58" s="208">
        <f>+E58*1.05</f>
        <v>7868.5950000000003</v>
      </c>
      <c r="C58" s="161" t="s">
        <v>3924</v>
      </c>
      <c r="D58" s="8">
        <f t="shared" si="18"/>
        <v>160</v>
      </c>
      <c r="E58" s="8">
        <f t="shared" si="18"/>
        <v>7493.9</v>
      </c>
      <c r="F58" s="45" t="s">
        <v>3925</v>
      </c>
      <c r="G58" s="45">
        <v>30521</v>
      </c>
      <c r="H58" s="14"/>
      <c r="I58" s="45">
        <v>160</v>
      </c>
      <c r="J58" s="45">
        <v>7493.9</v>
      </c>
      <c r="K58" s="120">
        <f t="shared" si="19"/>
        <v>0</v>
      </c>
      <c r="L58" s="31">
        <f t="shared" si="20"/>
        <v>4.7619047619047665E-2</v>
      </c>
    </row>
    <row r="59" spans="1:12" ht="15" thickBot="1" x14ac:dyDescent="0.35">
      <c r="A59" s="190">
        <v>1500</v>
      </c>
      <c r="B59" s="208">
        <v>65821</v>
      </c>
      <c r="C59" s="161" t="s">
        <v>4184</v>
      </c>
      <c r="D59" s="8">
        <v>1480</v>
      </c>
      <c r="E59" s="8">
        <v>62606.400000000001</v>
      </c>
      <c r="F59" s="45" t="s">
        <v>4185</v>
      </c>
      <c r="G59" s="45">
        <v>30541</v>
      </c>
      <c r="H59" s="14"/>
      <c r="I59" s="45"/>
      <c r="J59" s="45"/>
      <c r="K59" s="120">
        <f t="shared" ref="K59" si="23">+A59-D59</f>
        <v>20</v>
      </c>
      <c r="L59" s="31">
        <f t="shared" ref="L59" si="24">((+B59/A59)-(E59/D59))/(B59/A59)</f>
        <v>3.5984983023162422E-2</v>
      </c>
    </row>
    <row r="60" spans="1:12" ht="15" thickBot="1" x14ac:dyDescent="0.35">
      <c r="A60" s="181">
        <v>315</v>
      </c>
      <c r="B60" s="265">
        <v>13882.25</v>
      </c>
      <c r="C60" s="15" t="s">
        <v>4186</v>
      </c>
      <c r="D60" s="15">
        <f>+I60</f>
        <v>315</v>
      </c>
      <c r="E60" s="15">
        <f>+J60</f>
        <v>13416.9</v>
      </c>
      <c r="F60" s="50" t="s">
        <v>4187</v>
      </c>
      <c r="G60" s="50">
        <v>3055</v>
      </c>
      <c r="I60" s="50">
        <v>315</v>
      </c>
      <c r="J60" s="50">
        <v>13416.9</v>
      </c>
      <c r="K60" s="120">
        <f t="shared" ref="K60" si="25">+A60-D60</f>
        <v>0</v>
      </c>
      <c r="L60" s="31">
        <f t="shared" ref="L60" si="26">((+B60/A60)-(E60/D60))/(B60/A60)</f>
        <v>3.3521223144663194E-2</v>
      </c>
    </row>
    <row r="61" spans="1:12" ht="15" thickBot="1" x14ac:dyDescent="0.35">
      <c r="A61" s="190">
        <f t="shared" si="21"/>
        <v>393</v>
      </c>
      <c r="B61" s="208">
        <f t="shared" si="22"/>
        <v>18684.329999999998</v>
      </c>
      <c r="C61" s="161" t="s">
        <v>3926</v>
      </c>
      <c r="D61" s="8">
        <f t="shared" si="18"/>
        <v>393</v>
      </c>
      <c r="E61" s="8">
        <f t="shared" si="18"/>
        <v>17794.599999999999</v>
      </c>
      <c r="F61" s="45" t="s">
        <v>3927</v>
      </c>
      <c r="G61" s="45">
        <v>30561</v>
      </c>
      <c r="H61" s="14"/>
      <c r="I61" s="45">
        <v>393</v>
      </c>
      <c r="J61" s="45">
        <v>17794.599999999999</v>
      </c>
      <c r="K61" s="120">
        <f t="shared" si="19"/>
        <v>0</v>
      </c>
      <c r="L61" s="31">
        <f t="shared" si="20"/>
        <v>4.7619047619047485E-2</v>
      </c>
    </row>
    <row r="62" spans="1:12" ht="15" thickBot="1" x14ac:dyDescent="0.35">
      <c r="A62" s="199">
        <v>137</v>
      </c>
      <c r="B62" s="275">
        <v>5890.25</v>
      </c>
      <c r="C62" s="10" t="s">
        <v>4188</v>
      </c>
      <c r="D62" s="10">
        <f>+I62</f>
        <v>137</v>
      </c>
      <c r="E62" s="10">
        <f>+J62</f>
        <v>5741.9</v>
      </c>
      <c r="F62" s="42" t="s">
        <v>4189</v>
      </c>
      <c r="G62" s="42">
        <v>30581</v>
      </c>
      <c r="H62" s="43"/>
      <c r="I62" s="42">
        <v>137</v>
      </c>
      <c r="J62" s="42">
        <v>5741.9</v>
      </c>
      <c r="K62" s="120">
        <f t="shared" ref="K62:K64" si="27">+A62-D62</f>
        <v>0</v>
      </c>
      <c r="L62" s="31">
        <f t="shared" ref="L62:L63" si="28">((+B62/A62)-(E62/D62))/(B62/A62)</f>
        <v>2.5185688213573389E-2</v>
      </c>
    </row>
    <row r="63" spans="1:12" ht="15" thickBot="1" x14ac:dyDescent="0.35">
      <c r="A63" s="175">
        <v>423</v>
      </c>
      <c r="B63" s="242">
        <v>18142.25</v>
      </c>
      <c r="C63" s="8" t="s">
        <v>4190</v>
      </c>
      <c r="D63" s="8">
        <f>+I63</f>
        <v>423</v>
      </c>
      <c r="E63" s="8">
        <f>+J63</f>
        <v>17723.599999999999</v>
      </c>
      <c r="F63" s="45" t="s">
        <v>4191</v>
      </c>
      <c r="G63" s="45">
        <v>30591</v>
      </c>
      <c r="H63" s="14"/>
      <c r="I63" s="45">
        <v>423</v>
      </c>
      <c r="J63" s="45">
        <v>17723.599999999999</v>
      </c>
      <c r="K63" s="120">
        <f t="shared" si="27"/>
        <v>0</v>
      </c>
      <c r="L63" s="31">
        <f t="shared" si="28"/>
        <v>2.3075969077705476E-2</v>
      </c>
    </row>
    <row r="64" spans="1:12" x14ac:dyDescent="0.3">
      <c r="A64" s="871">
        <v>385</v>
      </c>
      <c r="B64" s="964">
        <v>16078.25</v>
      </c>
      <c r="C64" s="873" t="s">
        <v>4192</v>
      </c>
      <c r="D64" s="873">
        <f>+I64+I65</f>
        <v>385</v>
      </c>
      <c r="E64" s="873">
        <f>+J64+J65</f>
        <v>16004.5</v>
      </c>
      <c r="F64" s="39" t="s">
        <v>4193</v>
      </c>
      <c r="G64" s="39">
        <v>30601</v>
      </c>
      <c r="H64" s="40"/>
      <c r="I64" s="39">
        <v>208</v>
      </c>
      <c r="J64" s="39">
        <v>8671.2999999999993</v>
      </c>
      <c r="K64" s="1081">
        <f t="shared" si="27"/>
        <v>0</v>
      </c>
      <c r="L64" s="879">
        <f>((+B64/A64)-(E64/D64))/(B64/A64)</f>
        <v>4.586941986845592E-3</v>
      </c>
    </row>
    <row r="65" spans="1:12" ht="15" thickBot="1" x14ac:dyDescent="0.35">
      <c r="A65" s="872"/>
      <c r="B65" s="965"/>
      <c r="C65" s="874"/>
      <c r="D65" s="874"/>
      <c r="E65" s="874"/>
      <c r="F65" s="42" t="s">
        <v>4193</v>
      </c>
      <c r="G65" s="42">
        <v>30601</v>
      </c>
      <c r="H65" s="43"/>
      <c r="I65" s="42">
        <v>177</v>
      </c>
      <c r="J65" s="42">
        <v>7333.2</v>
      </c>
      <c r="K65" s="1082"/>
      <c r="L65" s="880"/>
    </row>
    <row r="66" spans="1:12" ht="15" thickBot="1" x14ac:dyDescent="0.35">
      <c r="A66" s="199">
        <v>535</v>
      </c>
      <c r="B66" s="275">
        <v>22815.5</v>
      </c>
      <c r="C66" s="10" t="s">
        <v>4194</v>
      </c>
      <c r="D66" s="8">
        <f>+I66</f>
        <v>535</v>
      </c>
      <c r="E66" s="8">
        <f>+J66</f>
        <v>22528.2</v>
      </c>
      <c r="F66" s="42" t="s">
        <v>4195</v>
      </c>
      <c r="G66" s="42">
        <v>30611</v>
      </c>
      <c r="H66" s="43"/>
      <c r="I66" s="42">
        <v>535</v>
      </c>
      <c r="J66" s="42">
        <v>22528.2</v>
      </c>
      <c r="K66" s="120">
        <f t="shared" ref="K66:K67" si="29">+A66-D66</f>
        <v>0</v>
      </c>
      <c r="L66" s="31">
        <f t="shared" ref="L66" si="30">((+B66/A66)-(E66/D66))/(B66/A66)</f>
        <v>1.2592316626854446E-2</v>
      </c>
    </row>
    <row r="67" spans="1:12" x14ac:dyDescent="0.3">
      <c r="A67" s="871">
        <v>443</v>
      </c>
      <c r="B67" s="964">
        <v>18573.25</v>
      </c>
      <c r="C67" s="873" t="s">
        <v>4196</v>
      </c>
      <c r="D67" s="873">
        <f>+I67+I68</f>
        <v>443</v>
      </c>
      <c r="E67" s="873">
        <f>+J67+J68</f>
        <v>18267.900000000001</v>
      </c>
      <c r="F67" s="873" t="s">
        <v>4197</v>
      </c>
      <c r="G67" s="873">
        <v>30621</v>
      </c>
      <c r="H67" s="40"/>
      <c r="I67" s="39">
        <v>306</v>
      </c>
      <c r="J67" s="39">
        <v>12675.3</v>
      </c>
      <c r="K67" s="1081">
        <f t="shared" si="29"/>
        <v>0</v>
      </c>
      <c r="L67" s="879">
        <f>((+B67/A67)-(E67/D67))/(B67/A67)</f>
        <v>1.6440310661838719E-2</v>
      </c>
    </row>
    <row r="68" spans="1:12" ht="15" thickBot="1" x14ac:dyDescent="0.35">
      <c r="A68" s="872"/>
      <c r="B68" s="965"/>
      <c r="C68" s="874"/>
      <c r="D68" s="874"/>
      <c r="E68" s="874"/>
      <c r="F68" s="874"/>
      <c r="G68" s="874"/>
      <c r="H68" s="43"/>
      <c r="I68" s="42">
        <v>137</v>
      </c>
      <c r="J68" s="42">
        <v>5592.6</v>
      </c>
      <c r="K68" s="1082"/>
      <c r="L68" s="880"/>
    </row>
    <row r="69" spans="1:12" x14ac:dyDescent="0.3">
      <c r="A69" s="871">
        <v>318</v>
      </c>
      <c r="B69" s="964">
        <v>14112.5</v>
      </c>
      <c r="C69" s="873" t="s">
        <v>4198</v>
      </c>
      <c r="D69" s="873">
        <f>+I69+I70</f>
        <v>318</v>
      </c>
      <c r="E69" s="873">
        <f>+J69+J70</f>
        <v>13850.6</v>
      </c>
      <c r="F69" s="873" t="s">
        <v>4199</v>
      </c>
      <c r="G69" s="873">
        <v>30631</v>
      </c>
      <c r="H69" s="40"/>
      <c r="I69" s="39">
        <v>63</v>
      </c>
      <c r="J69" s="39">
        <v>2700.6</v>
      </c>
      <c r="K69" s="1081">
        <f t="shared" ref="K69" si="31">+A69-D69</f>
        <v>0</v>
      </c>
      <c r="L69" s="879">
        <f>((+B69/A69)-(E69/D69))/(B69/A69)</f>
        <v>1.8558015943312623E-2</v>
      </c>
    </row>
    <row r="70" spans="1:12" ht="15" thickBot="1" x14ac:dyDescent="0.35">
      <c r="A70" s="872"/>
      <c r="B70" s="965"/>
      <c r="C70" s="874"/>
      <c r="D70" s="874"/>
      <c r="E70" s="874"/>
      <c r="F70" s="874"/>
      <c r="G70" s="874"/>
      <c r="H70" s="43"/>
      <c r="I70" s="42">
        <v>255</v>
      </c>
      <c r="J70" s="42">
        <v>11150</v>
      </c>
      <c r="K70" s="1082"/>
      <c r="L70" s="880"/>
    </row>
    <row r="71" spans="1:12" ht="15" thickBot="1" x14ac:dyDescent="0.35">
      <c r="A71" s="175">
        <v>587</v>
      </c>
      <c r="B71" s="242">
        <v>25727.25</v>
      </c>
      <c r="C71" s="8" t="s">
        <v>4200</v>
      </c>
      <c r="D71" s="8">
        <f t="shared" ref="D71:E76" si="32">+I71</f>
        <v>587</v>
      </c>
      <c r="E71" s="8">
        <f t="shared" si="32"/>
        <v>25292.400000000001</v>
      </c>
      <c r="F71" s="45" t="s">
        <v>4201</v>
      </c>
      <c r="G71" s="45">
        <v>30651</v>
      </c>
      <c r="H71" s="14"/>
      <c r="I71" s="45">
        <v>587</v>
      </c>
      <c r="J71" s="45">
        <v>25292.400000000001</v>
      </c>
      <c r="K71" s="120">
        <f t="shared" ref="K71:K77" si="33">+A71-D71</f>
        <v>0</v>
      </c>
      <c r="L71" s="31">
        <f t="shared" ref="L71:L76" si="34">((+B71/A71)-(E71/D71))/(B71/A71)</f>
        <v>1.690231175115877E-2</v>
      </c>
    </row>
    <row r="72" spans="1:12" ht="15" thickBot="1" x14ac:dyDescent="0.35">
      <c r="A72" s="175">
        <v>394</v>
      </c>
      <c r="B72" s="242">
        <v>17536.5</v>
      </c>
      <c r="C72" s="8" t="s">
        <v>4202</v>
      </c>
      <c r="D72" s="8">
        <f t="shared" si="32"/>
        <v>394</v>
      </c>
      <c r="E72" s="8">
        <f t="shared" si="32"/>
        <v>17196.400000000001</v>
      </c>
      <c r="F72" s="45" t="s">
        <v>4203</v>
      </c>
      <c r="G72" s="45">
        <v>30661</v>
      </c>
      <c r="H72" s="14"/>
      <c r="I72" s="45">
        <v>394</v>
      </c>
      <c r="J72" s="45">
        <v>17196.400000000001</v>
      </c>
      <c r="K72" s="120">
        <f t="shared" si="33"/>
        <v>0</v>
      </c>
      <c r="L72" s="31">
        <f t="shared" si="34"/>
        <v>1.9393835714081983E-2</v>
      </c>
    </row>
    <row r="73" spans="1:12" ht="15" thickBot="1" x14ac:dyDescent="0.35">
      <c r="A73" s="199">
        <v>532</v>
      </c>
      <c r="B73" s="275">
        <v>23187.75</v>
      </c>
      <c r="C73" s="10" t="s">
        <v>4204</v>
      </c>
      <c r="D73" s="8">
        <f t="shared" si="32"/>
        <v>533</v>
      </c>
      <c r="E73" s="8">
        <f t="shared" si="32"/>
        <v>22947.8</v>
      </c>
      <c r="F73" s="42" t="s">
        <v>4205</v>
      </c>
      <c r="G73" s="42">
        <v>30671</v>
      </c>
      <c r="H73" s="43"/>
      <c r="I73" s="42">
        <v>533</v>
      </c>
      <c r="J73" s="42">
        <v>22947.8</v>
      </c>
      <c r="K73" s="120">
        <f t="shared" si="33"/>
        <v>-1</v>
      </c>
      <c r="L73" s="31">
        <f t="shared" si="34"/>
        <v>1.2204894126041081E-2</v>
      </c>
    </row>
    <row r="74" spans="1:12" ht="15" thickBot="1" x14ac:dyDescent="0.35">
      <c r="A74" s="199">
        <v>847</v>
      </c>
      <c r="B74" s="275">
        <v>38065</v>
      </c>
      <c r="C74" s="10" t="s">
        <v>4206</v>
      </c>
      <c r="D74" s="8">
        <f t="shared" si="32"/>
        <v>847</v>
      </c>
      <c r="E74" s="8">
        <f t="shared" si="32"/>
        <v>37139.700000000004</v>
      </c>
      <c r="F74" s="42" t="s">
        <v>4207</v>
      </c>
      <c r="G74" s="42">
        <v>30681</v>
      </c>
      <c r="H74" s="43"/>
      <c r="I74" s="42">
        <v>847</v>
      </c>
      <c r="J74" s="42">
        <v>37139.700000000004</v>
      </c>
      <c r="K74" s="120">
        <f t="shared" si="33"/>
        <v>0</v>
      </c>
      <c r="L74" s="31">
        <f t="shared" si="34"/>
        <v>2.4308419808222546E-2</v>
      </c>
    </row>
    <row r="75" spans="1:12" ht="15" thickBot="1" x14ac:dyDescent="0.35">
      <c r="A75" s="199">
        <v>355</v>
      </c>
      <c r="B75" s="275">
        <v>15258.5</v>
      </c>
      <c r="C75" s="10" t="s">
        <v>4208</v>
      </c>
      <c r="D75" s="8">
        <f t="shared" si="32"/>
        <v>356</v>
      </c>
      <c r="E75" s="8">
        <f t="shared" si="32"/>
        <v>15046.4</v>
      </c>
      <c r="F75" s="42" t="s">
        <v>4209</v>
      </c>
      <c r="G75" s="42">
        <v>30691</v>
      </c>
      <c r="H75" s="43"/>
      <c r="I75" s="42">
        <v>356</v>
      </c>
      <c r="J75" s="42">
        <v>15046.4</v>
      </c>
      <c r="K75" s="120">
        <f t="shared" si="33"/>
        <v>-1</v>
      </c>
      <c r="L75" s="31">
        <f t="shared" si="34"/>
        <v>1.6670391489289588E-2</v>
      </c>
    </row>
    <row r="76" spans="1:12" ht="15" thickBot="1" x14ac:dyDescent="0.35">
      <c r="A76" s="181">
        <v>234</v>
      </c>
      <c r="B76" s="265">
        <v>9866.75</v>
      </c>
      <c r="C76" s="15" t="s">
        <v>4210</v>
      </c>
      <c r="D76" s="12">
        <f t="shared" si="32"/>
        <v>234</v>
      </c>
      <c r="E76" s="12">
        <f t="shared" si="32"/>
        <v>9810</v>
      </c>
      <c r="F76" s="50" t="s">
        <v>4211</v>
      </c>
      <c r="G76" s="50">
        <v>30711</v>
      </c>
      <c r="I76" s="50">
        <v>234</v>
      </c>
      <c r="J76" s="50">
        <v>9810</v>
      </c>
      <c r="K76" s="120">
        <f t="shared" si="33"/>
        <v>0</v>
      </c>
      <c r="L76" s="31">
        <f t="shared" si="34"/>
        <v>5.75164061114354E-3</v>
      </c>
    </row>
    <row r="77" spans="1:12" x14ac:dyDescent="0.3">
      <c r="A77" s="871">
        <v>1551</v>
      </c>
      <c r="B77" s="964">
        <v>70475</v>
      </c>
      <c r="C77" s="873" t="s">
        <v>4212</v>
      </c>
      <c r="D77" s="873">
        <f>+I77+I78</f>
        <v>1550</v>
      </c>
      <c r="E77" s="873">
        <f>+J77+J78</f>
        <v>66991.399999999994</v>
      </c>
      <c r="F77" s="39" t="s">
        <v>4213</v>
      </c>
      <c r="G77" s="39">
        <v>30721</v>
      </c>
      <c r="H77" s="40"/>
      <c r="I77" s="39">
        <v>766</v>
      </c>
      <c r="J77" s="39">
        <v>33033.9</v>
      </c>
      <c r="K77" s="1081">
        <f t="shared" si="33"/>
        <v>1</v>
      </c>
      <c r="L77" s="879">
        <f>((+B77/A77)-(E77/D77))/(B77/A77)</f>
        <v>4.8817023652862564E-2</v>
      </c>
    </row>
    <row r="78" spans="1:12" ht="15" thickBot="1" x14ac:dyDescent="0.35">
      <c r="A78" s="872"/>
      <c r="B78" s="965"/>
      <c r="C78" s="874"/>
      <c r="D78" s="874"/>
      <c r="E78" s="874"/>
      <c r="F78" s="42" t="s">
        <v>4213</v>
      </c>
      <c r="G78" s="42">
        <v>30721</v>
      </c>
      <c r="H78" s="43"/>
      <c r="I78" s="42">
        <v>784</v>
      </c>
      <c r="J78" s="42">
        <v>33957.5</v>
      </c>
      <c r="K78" s="1082"/>
      <c r="L78" s="880"/>
    </row>
    <row r="79" spans="1:12" ht="15" thickBot="1" x14ac:dyDescent="0.35">
      <c r="A79" s="199">
        <v>1194</v>
      </c>
      <c r="B79" s="275">
        <v>54312.75</v>
      </c>
      <c r="C79" s="10" t="s">
        <v>4214</v>
      </c>
      <c r="D79" s="10">
        <f>+I79</f>
        <v>1194</v>
      </c>
      <c r="E79" s="10">
        <f>+J79</f>
        <v>53167.899999999994</v>
      </c>
      <c r="F79" s="42" t="s">
        <v>4215</v>
      </c>
      <c r="G79" s="42">
        <v>30731</v>
      </c>
      <c r="H79" s="43"/>
      <c r="I79" s="42">
        <v>1194</v>
      </c>
      <c r="J79" s="42">
        <v>53167.899999999994</v>
      </c>
      <c r="K79" s="120">
        <f t="shared" ref="K79:K80" si="35">+A79-D79</f>
        <v>0</v>
      </c>
      <c r="L79" s="31">
        <f t="shared" ref="L79:L80" si="36">((+B79/A79)-(E79/D79))/(B79/A79)</f>
        <v>2.1078844286102388E-2</v>
      </c>
    </row>
    <row r="80" spans="1:12" ht="15" thickBot="1" x14ac:dyDescent="0.35">
      <c r="A80" s="199">
        <v>236</v>
      </c>
      <c r="B80" s="275">
        <v>10086.75</v>
      </c>
      <c r="C80" s="10" t="s">
        <v>4216</v>
      </c>
      <c r="D80" s="10">
        <f>+I80</f>
        <v>236</v>
      </c>
      <c r="E80" s="10">
        <f>+J80</f>
        <v>10459.1</v>
      </c>
      <c r="F80" s="42" t="s">
        <v>4217</v>
      </c>
      <c r="G80" s="42">
        <v>30741</v>
      </c>
      <c r="H80" s="43"/>
      <c r="I80" s="42">
        <v>236</v>
      </c>
      <c r="J80" s="42">
        <v>10459.1</v>
      </c>
      <c r="K80" s="120">
        <f t="shared" si="35"/>
        <v>0</v>
      </c>
      <c r="L80" s="31">
        <f t="shared" si="36"/>
        <v>-3.6914764418668158E-2</v>
      </c>
    </row>
    <row r="81" spans="1:12" ht="15" thickBot="1" x14ac:dyDescent="0.35">
      <c r="A81" s="175">
        <v>772</v>
      </c>
      <c r="B81" s="242">
        <v>34813.75</v>
      </c>
      <c r="C81" s="8" t="s">
        <v>4219</v>
      </c>
      <c r="D81" s="8">
        <f t="shared" ref="D81:E84" si="37">+I81</f>
        <v>772</v>
      </c>
      <c r="E81" s="8">
        <f t="shared" si="37"/>
        <v>33732</v>
      </c>
      <c r="F81" s="45" t="s">
        <v>4220</v>
      </c>
      <c r="G81" s="45">
        <v>30761</v>
      </c>
      <c r="H81" s="14"/>
      <c r="I81" s="45">
        <v>772</v>
      </c>
      <c r="J81" s="45">
        <v>33732</v>
      </c>
      <c r="K81" s="120">
        <f t="shared" ref="K81:K85" si="38">+A81-D81</f>
        <v>0</v>
      </c>
      <c r="L81" s="31">
        <f t="shared" ref="L81:L85" si="39">((+B81/A81)-(E81/D81))/(B81/A81)</f>
        <v>3.1072492908692604E-2</v>
      </c>
    </row>
    <row r="82" spans="1:12" ht="15" thickBot="1" x14ac:dyDescent="0.35">
      <c r="A82" s="175">
        <v>1561</v>
      </c>
      <c r="B82" s="242">
        <v>69881</v>
      </c>
      <c r="C82" s="8" t="s">
        <v>4221</v>
      </c>
      <c r="D82" s="8">
        <f t="shared" si="37"/>
        <v>1561</v>
      </c>
      <c r="E82" s="8">
        <f t="shared" si="37"/>
        <v>68167.799999999988</v>
      </c>
      <c r="F82" s="45" t="s">
        <v>4222</v>
      </c>
      <c r="G82" s="45">
        <v>30771</v>
      </c>
      <c r="H82" s="14"/>
      <c r="I82" s="45">
        <v>1561</v>
      </c>
      <c r="J82" s="45">
        <v>68167.799999999988</v>
      </c>
      <c r="K82" s="120">
        <f t="shared" si="38"/>
        <v>0</v>
      </c>
      <c r="L82" s="31">
        <f t="shared" si="39"/>
        <v>2.4515962851132743E-2</v>
      </c>
    </row>
    <row r="83" spans="1:12" ht="15" thickBot="1" x14ac:dyDescent="0.35">
      <c r="A83" s="175">
        <v>894</v>
      </c>
      <c r="B83" s="242">
        <v>40308.25</v>
      </c>
      <c r="C83" s="8" t="s">
        <v>4223</v>
      </c>
      <c r="D83" s="8">
        <f t="shared" si="37"/>
        <v>894</v>
      </c>
      <c r="E83" s="8">
        <f t="shared" si="37"/>
        <v>39534.300000000003</v>
      </c>
      <c r="F83" s="45" t="s">
        <v>4224</v>
      </c>
      <c r="G83" s="45">
        <v>30791</v>
      </c>
      <c r="H83" s="14"/>
      <c r="I83" s="45">
        <v>894</v>
      </c>
      <c r="J83" s="45">
        <v>39534.300000000003</v>
      </c>
      <c r="K83" s="120">
        <f t="shared" si="38"/>
        <v>0</v>
      </c>
      <c r="L83" s="31">
        <f t="shared" si="39"/>
        <v>1.9200783958618916E-2</v>
      </c>
    </row>
    <row r="84" spans="1:12" ht="15" thickBot="1" x14ac:dyDescent="0.35">
      <c r="A84" s="175">
        <v>400</v>
      </c>
      <c r="B84" s="242">
        <v>18283.75</v>
      </c>
      <c r="C84" s="8" t="s">
        <v>4225</v>
      </c>
      <c r="D84" s="8">
        <f t="shared" si="37"/>
        <v>401</v>
      </c>
      <c r="E84" s="8">
        <f t="shared" si="37"/>
        <v>17844.900000000001</v>
      </c>
      <c r="F84" s="45" t="s">
        <v>4226</v>
      </c>
      <c r="G84" s="45">
        <v>30801</v>
      </c>
      <c r="H84" s="14"/>
      <c r="I84" s="45">
        <v>401</v>
      </c>
      <c r="J84" s="45">
        <v>17844.900000000001</v>
      </c>
      <c r="K84" s="120">
        <f t="shared" si="38"/>
        <v>-1</v>
      </c>
      <c r="L84" s="31">
        <f t="shared" si="39"/>
        <v>2.6436097491282298E-2</v>
      </c>
    </row>
    <row r="85" spans="1:12" ht="15" thickBot="1" x14ac:dyDescent="0.35">
      <c r="A85" s="199">
        <v>1009</v>
      </c>
      <c r="B85" s="275">
        <v>43379.75</v>
      </c>
      <c r="C85" s="10" t="s">
        <v>4227</v>
      </c>
      <c r="D85" s="8">
        <v>973</v>
      </c>
      <c r="E85" s="8">
        <v>40843.1</v>
      </c>
      <c r="F85" s="42" t="s">
        <v>4228</v>
      </c>
      <c r="G85" s="42">
        <v>30811</v>
      </c>
      <c r="H85" s="43"/>
      <c r="I85" s="42">
        <v>400</v>
      </c>
      <c r="J85" s="42">
        <v>16747.099999999999</v>
      </c>
      <c r="K85" s="120">
        <f t="shared" si="38"/>
        <v>36</v>
      </c>
      <c r="L85" s="31">
        <f t="shared" si="39"/>
        <v>2.3639999687977548E-2</v>
      </c>
    </row>
    <row r="86" spans="1:12" ht="15" thickBot="1" x14ac:dyDescent="0.35">
      <c r="A86" s="175">
        <v>485</v>
      </c>
      <c r="B86" s="242">
        <v>21080.75</v>
      </c>
      <c r="C86" s="8" t="s">
        <v>4307</v>
      </c>
      <c r="D86" s="8">
        <f>+I86</f>
        <v>485</v>
      </c>
      <c r="E86" s="8">
        <f>+J86</f>
        <v>20636.099999999999</v>
      </c>
      <c r="F86" s="45" t="s">
        <v>4308</v>
      </c>
      <c r="G86" s="45">
        <v>30821</v>
      </c>
      <c r="H86" s="14"/>
      <c r="I86" s="45">
        <v>485</v>
      </c>
      <c r="J86" s="45">
        <v>20636.099999999999</v>
      </c>
      <c r="K86" s="120">
        <f t="shared" ref="K86" si="40">+A86-D86</f>
        <v>0</v>
      </c>
      <c r="L86" s="31">
        <f t="shared" ref="L86" si="41">((+B86/A86)-(E86/D86))/(B86/A86)</f>
        <v>2.1092703058477612E-2</v>
      </c>
    </row>
    <row r="87" spans="1:12" x14ac:dyDescent="0.3">
      <c r="A87" s="871">
        <v>3169</v>
      </c>
      <c r="B87" s="964">
        <v>141533.75</v>
      </c>
      <c r="C87" s="873" t="s">
        <v>4309</v>
      </c>
      <c r="D87" s="881">
        <f>+I87+I89+I90+I88</f>
        <v>3171</v>
      </c>
      <c r="E87" s="881">
        <f>+J87+J89+J90+J88</f>
        <v>138638.79999999999</v>
      </c>
      <c r="F87" s="50" t="s">
        <v>4310</v>
      </c>
      <c r="G87" s="50">
        <v>30851</v>
      </c>
      <c r="I87" s="50">
        <v>800</v>
      </c>
      <c r="J87" s="50">
        <v>34510.5</v>
      </c>
      <c r="K87" s="1081">
        <f t="shared" ref="K87" si="42">+A87-D87</f>
        <v>-2</v>
      </c>
      <c r="L87" s="879">
        <f t="shared" ref="L87" si="43">((+B87/A87)-(E87/D87))/(B87/A87)</f>
        <v>2.1071947082010666E-2</v>
      </c>
    </row>
    <row r="88" spans="1:12" x14ac:dyDescent="0.3">
      <c r="A88" s="875"/>
      <c r="B88" s="966"/>
      <c r="C88" s="881"/>
      <c r="D88" s="881"/>
      <c r="E88" s="881"/>
      <c r="F88" s="50" t="s">
        <v>4310</v>
      </c>
      <c r="G88" s="50">
        <v>30851</v>
      </c>
      <c r="I88" s="50">
        <v>209</v>
      </c>
      <c r="J88" s="50">
        <v>8928.4</v>
      </c>
      <c r="K88" s="1083"/>
      <c r="L88" s="885"/>
    </row>
    <row r="89" spans="1:12" x14ac:dyDescent="0.3">
      <c r="A89" s="875"/>
      <c r="B89" s="966"/>
      <c r="C89" s="881"/>
      <c r="D89" s="881"/>
      <c r="E89" s="881"/>
      <c r="F89" s="50" t="s">
        <v>4310</v>
      </c>
      <c r="G89" s="50">
        <v>30851</v>
      </c>
      <c r="I89" s="50">
        <v>1249</v>
      </c>
      <c r="J89" s="50">
        <v>54720.2</v>
      </c>
      <c r="K89" s="1083"/>
      <c r="L89" s="885"/>
    </row>
    <row r="90" spans="1:12" ht="15" thickBot="1" x14ac:dyDescent="0.35">
      <c r="A90" s="872"/>
      <c r="B90" s="965"/>
      <c r="C90" s="874"/>
      <c r="D90" s="874"/>
      <c r="E90" s="874"/>
      <c r="F90" s="42" t="s">
        <v>4310</v>
      </c>
      <c r="G90" s="42">
        <v>30851</v>
      </c>
      <c r="H90" s="43"/>
      <c r="I90" s="42">
        <v>913</v>
      </c>
      <c r="J90" s="42">
        <v>40479.699999999997</v>
      </c>
      <c r="K90" s="1082"/>
      <c r="L90" s="880"/>
    </row>
    <row r="91" spans="1:12" ht="15" thickBot="1" x14ac:dyDescent="0.35">
      <c r="A91" s="178">
        <v>449</v>
      </c>
      <c r="B91" s="232">
        <v>19208</v>
      </c>
      <c r="C91" s="45" t="s">
        <v>4311</v>
      </c>
      <c r="D91" s="45">
        <f>+I91</f>
        <v>449</v>
      </c>
      <c r="E91" s="45">
        <f>+J91</f>
        <v>19067.2</v>
      </c>
      <c r="F91" s="45" t="s">
        <v>4312</v>
      </c>
      <c r="G91" s="45">
        <v>30861</v>
      </c>
      <c r="H91" s="14"/>
      <c r="I91" s="45">
        <v>449</v>
      </c>
      <c r="J91" s="45">
        <v>19067.2</v>
      </c>
      <c r="K91" s="120">
        <f t="shared" ref="K91:K93" si="44">+A91-D91</f>
        <v>0</v>
      </c>
      <c r="L91" s="31">
        <f t="shared" ref="L91:L92" si="45">((+B91/A91)-(E91/D91))/(B91/A91)</f>
        <v>7.3302790503956047E-3</v>
      </c>
    </row>
    <row r="92" spans="1:12" ht="15" thickBot="1" x14ac:dyDescent="0.35">
      <c r="A92" s="177">
        <v>153</v>
      </c>
      <c r="B92" s="233">
        <v>6477.25</v>
      </c>
      <c r="C92" s="39" t="s">
        <v>4313</v>
      </c>
      <c r="D92" s="39">
        <f>+I92</f>
        <v>153</v>
      </c>
      <c r="E92" s="39">
        <f>+J92</f>
        <v>6364.7999999999993</v>
      </c>
      <c r="F92" s="39" t="s">
        <v>4314</v>
      </c>
      <c r="G92" s="39">
        <v>30871</v>
      </c>
      <c r="H92" s="40"/>
      <c r="I92" s="39">
        <v>153</v>
      </c>
      <c r="J92" s="39">
        <v>6364.7999999999993</v>
      </c>
      <c r="K92" s="120">
        <f t="shared" si="44"/>
        <v>0</v>
      </c>
      <c r="L92" s="31">
        <f t="shared" si="45"/>
        <v>1.7360762669342909E-2</v>
      </c>
    </row>
    <row r="93" spans="1:12" x14ac:dyDescent="0.3">
      <c r="A93" s="871">
        <v>395</v>
      </c>
      <c r="B93" s="964">
        <v>16331</v>
      </c>
      <c r="C93" s="873" t="s">
        <v>4315</v>
      </c>
      <c r="D93" s="873">
        <f>+I93+I94</f>
        <v>395</v>
      </c>
      <c r="E93" s="873">
        <f>+J93+J94</f>
        <v>16158</v>
      </c>
      <c r="F93" s="39" t="s">
        <v>4316</v>
      </c>
      <c r="G93" s="39">
        <v>30881</v>
      </c>
      <c r="H93" s="39"/>
      <c r="I93" s="39">
        <v>198</v>
      </c>
      <c r="J93" s="39">
        <v>8113.3</v>
      </c>
      <c r="K93" s="1081">
        <f t="shared" si="44"/>
        <v>0</v>
      </c>
      <c r="L93" s="879">
        <f>((+B93/A93)-(E93/D93))/(B93/A93)</f>
        <v>1.0593350070418237E-2</v>
      </c>
    </row>
    <row r="94" spans="1:12" ht="15" thickBot="1" x14ac:dyDescent="0.35">
      <c r="A94" s="872"/>
      <c r="B94" s="965"/>
      <c r="C94" s="874"/>
      <c r="D94" s="881"/>
      <c r="E94" s="881"/>
      <c r="F94" s="42" t="s">
        <v>4316</v>
      </c>
      <c r="G94" s="42">
        <v>30881</v>
      </c>
      <c r="H94" s="42"/>
      <c r="I94" s="42">
        <v>197</v>
      </c>
      <c r="J94" s="42">
        <v>8044.7</v>
      </c>
      <c r="K94" s="1082"/>
      <c r="L94" s="880"/>
    </row>
    <row r="95" spans="1:12" ht="15" thickBot="1" x14ac:dyDescent="0.35">
      <c r="A95" s="178">
        <v>444</v>
      </c>
      <c r="B95" s="232">
        <v>19759.5</v>
      </c>
      <c r="C95" s="45" t="s">
        <v>4317</v>
      </c>
      <c r="D95" s="342">
        <v>444</v>
      </c>
      <c r="E95" s="342">
        <v>19046.2</v>
      </c>
      <c r="F95" s="45" t="s">
        <v>4318</v>
      </c>
      <c r="G95" s="45">
        <v>30901</v>
      </c>
      <c r="H95" s="14"/>
      <c r="I95" s="45">
        <v>400</v>
      </c>
      <c r="J95" s="45">
        <v>17127.5</v>
      </c>
      <c r="K95" s="120">
        <f t="shared" ref="K95:K96" si="46">+A95-D95</f>
        <v>0</v>
      </c>
      <c r="L95" s="31">
        <f t="shared" ref="L95" si="47">((+B95/A95)-(E95/D95))/(B95/A95)</f>
        <v>3.6099091576203821E-2</v>
      </c>
    </row>
    <row r="96" spans="1:12" x14ac:dyDescent="0.3">
      <c r="A96" s="871">
        <v>529</v>
      </c>
      <c r="B96" s="964">
        <v>22768.75</v>
      </c>
      <c r="C96" s="873" t="s">
        <v>4409</v>
      </c>
      <c r="D96" s="873">
        <f>+I96+I97</f>
        <v>529</v>
      </c>
      <c r="E96" s="873">
        <f>+J96+J97</f>
        <v>22427.800000000003</v>
      </c>
      <c r="F96" s="39" t="s">
        <v>4410</v>
      </c>
      <c r="G96" s="39">
        <v>30911</v>
      </c>
      <c r="H96" s="40"/>
      <c r="I96" s="39">
        <v>356</v>
      </c>
      <c r="J96" s="39">
        <v>15035.400000000001</v>
      </c>
      <c r="K96" s="1081">
        <f t="shared" si="46"/>
        <v>0</v>
      </c>
      <c r="L96" s="879">
        <f>((+B96/A96)-(E96/D96))/(B96/A96)</f>
        <v>1.4974471589349361E-2</v>
      </c>
    </row>
    <row r="97" spans="1:12" ht="15" thickBot="1" x14ac:dyDescent="0.35">
      <c r="A97" s="872"/>
      <c r="B97" s="965"/>
      <c r="C97" s="874"/>
      <c r="D97" s="874"/>
      <c r="E97" s="874"/>
      <c r="F97" s="42" t="s">
        <v>4410</v>
      </c>
      <c r="G97" s="42">
        <v>30911</v>
      </c>
      <c r="H97" s="43"/>
      <c r="I97" s="42">
        <v>173</v>
      </c>
      <c r="J97" s="42">
        <v>7392.4</v>
      </c>
      <c r="K97" s="1082"/>
      <c r="L97" s="880"/>
    </row>
    <row r="98" spans="1:12" ht="15" thickBot="1" x14ac:dyDescent="0.35">
      <c r="A98" s="177">
        <v>581</v>
      </c>
      <c r="B98" s="233">
        <v>26574.25</v>
      </c>
      <c r="C98" s="39" t="s">
        <v>4411</v>
      </c>
      <c r="D98" s="39">
        <f>+I98</f>
        <v>581</v>
      </c>
      <c r="E98" s="39">
        <f>+J98</f>
        <v>25819.699999999997</v>
      </c>
      <c r="F98" s="39" t="s">
        <v>4412</v>
      </c>
      <c r="G98" s="39">
        <v>30921</v>
      </c>
      <c r="H98" s="40"/>
      <c r="I98" s="39">
        <v>581</v>
      </c>
      <c r="J98" s="39">
        <v>25819.699999999997</v>
      </c>
      <c r="K98" s="120">
        <f t="shared" ref="K98:K99" si="48">+A98-D98</f>
        <v>0</v>
      </c>
      <c r="L98" s="31">
        <f t="shared" ref="L98" si="49">((+B98/A98)-(E98/D98))/(B98/A98)</f>
        <v>2.8394028053473009E-2</v>
      </c>
    </row>
    <row r="99" spans="1:12" x14ac:dyDescent="0.3">
      <c r="A99" s="871">
        <v>658</v>
      </c>
      <c r="B99" s="964">
        <v>31106.75</v>
      </c>
      <c r="C99" s="873" t="s">
        <v>4413</v>
      </c>
      <c r="D99" s="873">
        <f>+I99+I100</f>
        <v>656</v>
      </c>
      <c r="E99" s="873">
        <f>+J99+J100</f>
        <v>30148.600000000006</v>
      </c>
      <c r="F99" s="39" t="s">
        <v>4414</v>
      </c>
      <c r="G99" s="39">
        <v>30931</v>
      </c>
      <c r="H99" s="40"/>
      <c r="I99" s="39">
        <v>246</v>
      </c>
      <c r="J99" s="39">
        <v>11539.800000000001</v>
      </c>
      <c r="K99" s="1081">
        <f t="shared" si="48"/>
        <v>2</v>
      </c>
      <c r="L99" s="879">
        <f>((+B99/A99)-(E99/D99))/(B99/A99)</f>
        <v>2.7847124388930434E-2</v>
      </c>
    </row>
    <row r="100" spans="1:12" ht="15" thickBot="1" x14ac:dyDescent="0.35">
      <c r="A100" s="872"/>
      <c r="B100" s="965"/>
      <c r="C100" s="874"/>
      <c r="D100" s="874"/>
      <c r="E100" s="874"/>
      <c r="F100" s="42" t="s">
        <v>4414</v>
      </c>
      <c r="G100" s="42">
        <v>30931</v>
      </c>
      <c r="H100" s="43"/>
      <c r="I100" s="42">
        <v>410</v>
      </c>
      <c r="J100" s="42">
        <v>18608.800000000003</v>
      </c>
      <c r="K100" s="1082"/>
      <c r="L100" s="880"/>
    </row>
    <row r="101" spans="1:12" ht="15" thickBot="1" x14ac:dyDescent="0.35">
      <c r="A101" s="178">
        <v>122</v>
      </c>
      <c r="B101" s="232">
        <v>5398.5</v>
      </c>
      <c r="C101" s="45" t="s">
        <v>4415</v>
      </c>
      <c r="D101" s="45">
        <f>+I101</f>
        <v>122</v>
      </c>
      <c r="E101" s="45">
        <f>+J101</f>
        <v>5208.3</v>
      </c>
      <c r="F101" s="45" t="s">
        <v>4416</v>
      </c>
      <c r="G101" s="45">
        <v>30941</v>
      </c>
      <c r="H101" s="14"/>
      <c r="I101" s="45">
        <v>122</v>
      </c>
      <c r="J101" s="45">
        <v>5208.3</v>
      </c>
      <c r="K101" s="120">
        <f t="shared" ref="K101:K103" si="50">+A101-D101</f>
        <v>0</v>
      </c>
      <c r="L101" s="31">
        <f t="shared" ref="L101:L102" si="51">((+B101/A101)-(E101/D101))/(B101/A101)</f>
        <v>3.5232008891358614E-2</v>
      </c>
    </row>
    <row r="102" spans="1:12" ht="15" thickBot="1" x14ac:dyDescent="0.35">
      <c r="A102" s="178">
        <v>926</v>
      </c>
      <c r="B102" s="232">
        <v>41169</v>
      </c>
      <c r="C102" s="45" t="s">
        <v>4417</v>
      </c>
      <c r="D102" s="45">
        <f>+I102</f>
        <v>926</v>
      </c>
      <c r="E102" s="45">
        <f>+J102</f>
        <v>40264.100000000006</v>
      </c>
      <c r="F102" s="45" t="s">
        <v>4418</v>
      </c>
      <c r="G102" s="45">
        <v>30951</v>
      </c>
      <c r="H102" s="14"/>
      <c r="I102" s="45">
        <v>926</v>
      </c>
      <c r="J102" s="45">
        <v>40264.100000000006</v>
      </c>
      <c r="K102" s="120">
        <f t="shared" si="50"/>
        <v>0</v>
      </c>
      <c r="L102" s="31">
        <f t="shared" si="51"/>
        <v>2.1980130680852E-2</v>
      </c>
    </row>
    <row r="103" spans="1:12" x14ac:dyDescent="0.3">
      <c r="A103" s="871">
        <v>955</v>
      </c>
      <c r="B103" s="964">
        <v>43120.25</v>
      </c>
      <c r="C103" s="873" t="s">
        <v>4419</v>
      </c>
      <c r="D103" s="873">
        <v>955</v>
      </c>
      <c r="E103" s="873">
        <v>41640.400000000001</v>
      </c>
      <c r="F103" s="39" t="s">
        <v>4420</v>
      </c>
      <c r="G103" s="39">
        <v>30961</v>
      </c>
      <c r="H103" s="40"/>
      <c r="I103" s="39">
        <v>400</v>
      </c>
      <c r="J103" s="39">
        <v>17415.900000000001</v>
      </c>
      <c r="K103" s="1081">
        <f t="shared" si="50"/>
        <v>0</v>
      </c>
      <c r="L103" s="879">
        <f>((+B103/A103)-(E103/D103))/(B103/A103)</f>
        <v>3.4319142398293194E-2</v>
      </c>
    </row>
    <row r="104" spans="1:12" ht="15" thickBot="1" x14ac:dyDescent="0.35">
      <c r="A104" s="872"/>
      <c r="B104" s="965"/>
      <c r="C104" s="874"/>
      <c r="D104" s="874"/>
      <c r="E104" s="874"/>
      <c r="F104" s="42" t="s">
        <v>4420</v>
      </c>
      <c r="G104" s="42">
        <v>30961</v>
      </c>
      <c r="H104" s="43"/>
      <c r="I104" s="42">
        <v>198</v>
      </c>
      <c r="J104" s="42">
        <v>8635</v>
      </c>
      <c r="K104" s="1082"/>
      <c r="L104" s="880"/>
    </row>
    <row r="105" spans="1:12" ht="15" thickBot="1" x14ac:dyDescent="0.35">
      <c r="A105" s="178">
        <v>200</v>
      </c>
      <c r="B105" s="195">
        <v>8853</v>
      </c>
      <c r="C105" s="45" t="s">
        <v>4500</v>
      </c>
      <c r="D105" s="45">
        <f t="shared" ref="D105:E107" si="52">+I105</f>
        <v>200</v>
      </c>
      <c r="E105" s="45">
        <f t="shared" si="52"/>
        <v>8892.7999999999993</v>
      </c>
      <c r="F105" s="45" t="s">
        <v>4501</v>
      </c>
      <c r="G105" s="45">
        <v>30971</v>
      </c>
      <c r="H105" s="14"/>
      <c r="I105" s="45">
        <v>200</v>
      </c>
      <c r="J105" s="45">
        <v>8892.7999999999993</v>
      </c>
      <c r="K105" s="120">
        <f t="shared" ref="K105:K108" si="53">+A105-D105</f>
        <v>0</v>
      </c>
      <c r="L105" s="31">
        <f t="shared" ref="L105:L107" si="54">((+B105/A105)-(E105/D105))/(B105/A105)</f>
        <v>-4.4956511916863905E-3</v>
      </c>
    </row>
    <row r="106" spans="1:12" ht="15" thickBot="1" x14ac:dyDescent="0.35">
      <c r="A106" s="50">
        <v>200</v>
      </c>
      <c r="B106" s="241">
        <v>8879.75</v>
      </c>
      <c r="C106" s="50" t="s">
        <v>4502</v>
      </c>
      <c r="D106" s="15">
        <f t="shared" si="52"/>
        <v>200</v>
      </c>
      <c r="E106" s="15">
        <f t="shared" si="52"/>
        <v>8906.2000000000007</v>
      </c>
      <c r="F106" s="50" t="s">
        <v>4503</v>
      </c>
      <c r="G106" s="50">
        <v>30981</v>
      </c>
      <c r="I106" s="50">
        <v>200</v>
      </c>
      <c r="J106" s="50">
        <v>8906.2000000000007</v>
      </c>
      <c r="K106" s="120">
        <f t="shared" si="53"/>
        <v>0</v>
      </c>
      <c r="L106" s="31">
        <f t="shared" si="54"/>
        <v>-2.9786874630480858E-3</v>
      </c>
    </row>
    <row r="107" spans="1:12" ht="15" thickBot="1" x14ac:dyDescent="0.35">
      <c r="A107" s="178">
        <v>992</v>
      </c>
      <c r="B107" s="195">
        <v>42881.25</v>
      </c>
      <c r="C107" s="45" t="s">
        <v>4504</v>
      </c>
      <c r="D107" s="45">
        <f t="shared" si="52"/>
        <v>992</v>
      </c>
      <c r="E107" s="45">
        <f t="shared" si="52"/>
        <v>42486</v>
      </c>
      <c r="F107" s="45" t="s">
        <v>4505</v>
      </c>
      <c r="G107" s="45">
        <v>30991</v>
      </c>
      <c r="H107" s="14"/>
      <c r="I107" s="45">
        <v>992</v>
      </c>
      <c r="J107" s="45">
        <v>42486</v>
      </c>
      <c r="K107" s="120">
        <f t="shared" si="53"/>
        <v>0</v>
      </c>
      <c r="L107" s="31">
        <f t="shared" si="54"/>
        <v>9.2173152601661562E-3</v>
      </c>
    </row>
    <row r="108" spans="1:12" x14ac:dyDescent="0.3">
      <c r="A108" s="871">
        <v>1704</v>
      </c>
      <c r="B108" s="964">
        <v>80502</v>
      </c>
      <c r="C108" s="873" t="s">
        <v>4506</v>
      </c>
      <c r="D108" s="873">
        <f>+I108+I109</f>
        <v>1704</v>
      </c>
      <c r="E108" s="873">
        <f>+J108+J109</f>
        <v>78927.399999999994</v>
      </c>
      <c r="F108" s="39" t="s">
        <v>4507</v>
      </c>
      <c r="G108" s="39">
        <v>31001</v>
      </c>
      <c r="H108" s="40"/>
      <c r="I108" s="39">
        <v>1276</v>
      </c>
      <c r="J108" s="39">
        <v>59437.9</v>
      </c>
      <c r="K108" s="1081">
        <f t="shared" si="53"/>
        <v>0</v>
      </c>
      <c r="L108" s="879">
        <f>((+B108/A108)-(E108/D108))/(B108/A108)</f>
        <v>1.9559762490372997E-2</v>
      </c>
    </row>
    <row r="109" spans="1:12" ht="15" thickBot="1" x14ac:dyDescent="0.35">
      <c r="A109" s="872"/>
      <c r="B109" s="965"/>
      <c r="C109" s="874"/>
      <c r="D109" s="874"/>
      <c r="E109" s="874"/>
      <c r="F109" s="42" t="s">
        <v>4507</v>
      </c>
      <c r="G109" s="42">
        <v>31001</v>
      </c>
      <c r="H109" s="43"/>
      <c r="I109" s="42">
        <v>428</v>
      </c>
      <c r="J109" s="42">
        <v>19489.5</v>
      </c>
      <c r="K109" s="1082"/>
      <c r="L109" s="880"/>
    </row>
    <row r="110" spans="1:12" ht="15" thickBot="1" x14ac:dyDescent="0.35">
      <c r="A110" s="179">
        <v>772</v>
      </c>
      <c r="B110" s="346">
        <v>33880.25</v>
      </c>
      <c r="C110" s="42" t="s">
        <v>4508</v>
      </c>
      <c r="D110" s="10">
        <f t="shared" ref="D110:E112" si="55">+I110</f>
        <v>772</v>
      </c>
      <c r="E110" s="10">
        <f t="shared" si="55"/>
        <v>33742.800000000003</v>
      </c>
      <c r="F110" s="42" t="s">
        <v>4509</v>
      </c>
      <c r="G110" s="42">
        <v>31021</v>
      </c>
      <c r="H110" s="43"/>
      <c r="I110" s="42">
        <v>772</v>
      </c>
      <c r="J110" s="42">
        <v>33742.800000000003</v>
      </c>
      <c r="K110" s="120">
        <f t="shared" ref="K110:K113" si="56">+A110-D110</f>
        <v>0</v>
      </c>
      <c r="L110" s="31">
        <f t="shared" ref="L110:L112" si="57">((+B110/A110)-(E110/D110))/(B110/A110)</f>
        <v>4.0569358254439799E-3</v>
      </c>
    </row>
    <row r="111" spans="1:12" ht="15" thickBot="1" x14ac:dyDescent="0.35">
      <c r="A111" s="178">
        <v>252</v>
      </c>
      <c r="B111" s="195">
        <v>11054</v>
      </c>
      <c r="C111" s="45" t="s">
        <v>4510</v>
      </c>
      <c r="D111" s="8">
        <f t="shared" si="55"/>
        <v>252</v>
      </c>
      <c r="E111" s="8">
        <f t="shared" si="55"/>
        <v>10861.2</v>
      </c>
      <c r="F111" s="45" t="s">
        <v>4511</v>
      </c>
      <c r="G111" s="45">
        <v>31031</v>
      </c>
      <c r="H111" s="14"/>
      <c r="I111" s="45">
        <v>252</v>
      </c>
      <c r="J111" s="45">
        <v>10861.2</v>
      </c>
      <c r="K111" s="120">
        <f t="shared" si="56"/>
        <v>0</v>
      </c>
      <c r="L111" s="31">
        <f t="shared" si="57"/>
        <v>1.744165008141851E-2</v>
      </c>
    </row>
    <row r="112" spans="1:12" ht="15" thickBot="1" x14ac:dyDescent="0.35">
      <c r="A112" s="212">
        <v>301</v>
      </c>
      <c r="B112" s="241">
        <v>12477</v>
      </c>
      <c r="C112" s="50" t="s">
        <v>4512</v>
      </c>
      <c r="D112" s="15">
        <f t="shared" si="55"/>
        <v>301</v>
      </c>
      <c r="E112" s="15">
        <f t="shared" si="55"/>
        <v>12407.2</v>
      </c>
      <c r="F112" s="50" t="s">
        <v>4513</v>
      </c>
      <c r="G112" s="50">
        <v>31041</v>
      </c>
      <c r="I112" s="50">
        <v>301</v>
      </c>
      <c r="J112" s="50">
        <v>12407.2</v>
      </c>
      <c r="K112" s="120">
        <f t="shared" si="56"/>
        <v>0</v>
      </c>
      <c r="L112" s="31">
        <f t="shared" si="57"/>
        <v>5.5942935000398647E-3</v>
      </c>
    </row>
    <row r="113" spans="1:12" x14ac:dyDescent="0.3">
      <c r="A113" s="871">
        <v>752</v>
      </c>
      <c r="B113" s="964">
        <v>31794.75</v>
      </c>
      <c r="C113" s="873" t="s">
        <v>4514</v>
      </c>
      <c r="D113" s="873">
        <f>+I113+I114</f>
        <v>752</v>
      </c>
      <c r="E113" s="873">
        <f>+J113+J114</f>
        <v>31466</v>
      </c>
      <c r="F113" s="39" t="s">
        <v>4515</v>
      </c>
      <c r="G113" s="39">
        <v>31071</v>
      </c>
      <c r="H113" s="40"/>
      <c r="I113" s="39">
        <v>106</v>
      </c>
      <c r="J113" s="39">
        <v>4427.1000000000004</v>
      </c>
      <c r="K113" s="1081">
        <f t="shared" si="56"/>
        <v>0</v>
      </c>
      <c r="L113" s="879">
        <f>((+B113/A113)-(E113/D113))/(B113/A113)</f>
        <v>1.0339757349876867E-2</v>
      </c>
    </row>
    <row r="114" spans="1:12" ht="15" thickBot="1" x14ac:dyDescent="0.35">
      <c r="A114" s="872"/>
      <c r="B114" s="965"/>
      <c r="C114" s="874"/>
      <c r="D114" s="874"/>
      <c r="E114" s="874"/>
      <c r="F114" s="42" t="s">
        <v>4515</v>
      </c>
      <c r="G114" s="42">
        <v>31071</v>
      </c>
      <c r="H114" s="43"/>
      <c r="I114" s="42">
        <v>646</v>
      </c>
      <c r="J114" s="42">
        <v>27038.9</v>
      </c>
      <c r="K114" s="1082"/>
      <c r="L114" s="880"/>
    </row>
    <row r="115" spans="1:12" ht="15" thickBot="1" x14ac:dyDescent="0.35">
      <c r="A115" s="179">
        <v>843</v>
      </c>
      <c r="B115" s="234">
        <v>37842.25</v>
      </c>
      <c r="C115" s="42" t="s">
        <v>4516</v>
      </c>
      <c r="D115" s="42">
        <f>+I115</f>
        <v>843</v>
      </c>
      <c r="E115" s="42">
        <f>+J115</f>
        <v>37449.200000000004</v>
      </c>
      <c r="F115" s="42" t="s">
        <v>4517</v>
      </c>
      <c r="G115" s="42">
        <v>31081</v>
      </c>
      <c r="H115" s="43"/>
      <c r="I115" s="42">
        <v>843</v>
      </c>
      <c r="J115" s="42">
        <v>37449.200000000004</v>
      </c>
      <c r="K115" s="120">
        <f t="shared" ref="K115" si="58">+A115-D115</f>
        <v>0</v>
      </c>
      <c r="L115" s="31">
        <f t="shared" ref="L115" si="59">((+B115/A115)-(E115/D115))/(B115/A115)</f>
        <v>1.0386538855379799E-2</v>
      </c>
    </row>
    <row r="116" spans="1:12" ht="15" thickBot="1" x14ac:dyDescent="0.35">
      <c r="A116" s="349">
        <v>12</v>
      </c>
      <c r="B116" s="350">
        <f>+E116*1.04</f>
        <v>546.83199999999999</v>
      </c>
      <c r="C116" s="347" t="s">
        <v>3158</v>
      </c>
      <c r="D116" s="50">
        <f>+I116</f>
        <v>12</v>
      </c>
      <c r="E116" s="50">
        <f>+J116</f>
        <v>525.79999999999995</v>
      </c>
      <c r="F116" s="50" t="s">
        <v>3159</v>
      </c>
      <c r="G116" s="50">
        <v>59071</v>
      </c>
      <c r="I116" s="50">
        <v>12</v>
      </c>
      <c r="J116" s="50">
        <v>525.79999999999995</v>
      </c>
      <c r="K116" s="120">
        <f t="shared" ref="K116:K117" si="60">+A116-D116</f>
        <v>0</v>
      </c>
      <c r="L116" s="31">
        <f t="shared" ref="L116" si="61">((+B116/A116)-(E116/D116))/(B116/A116)</f>
        <v>3.8461538461538533E-2</v>
      </c>
    </row>
    <row r="117" spans="1:12" x14ac:dyDescent="0.3">
      <c r="A117" s="871">
        <v>683</v>
      </c>
      <c r="B117" s="964">
        <v>29949.75</v>
      </c>
      <c r="C117" s="873" t="s">
        <v>4583</v>
      </c>
      <c r="D117" s="873">
        <f>+I117+I118</f>
        <v>683</v>
      </c>
      <c r="E117" s="873">
        <f>+J117+J118</f>
        <v>29549.599999999999</v>
      </c>
      <c r="F117" s="39" t="s">
        <v>4584</v>
      </c>
      <c r="G117" s="39">
        <v>31091</v>
      </c>
      <c r="H117" s="40"/>
      <c r="I117" s="39">
        <v>600</v>
      </c>
      <c r="J117" s="39">
        <v>25959.3</v>
      </c>
      <c r="K117" s="1081">
        <f t="shared" si="60"/>
        <v>0</v>
      </c>
      <c r="L117" s="879">
        <f>((+B117/A117)-(E117/D117))/(B117/A117)</f>
        <v>1.33607125268158E-2</v>
      </c>
    </row>
    <row r="118" spans="1:12" ht="15" thickBot="1" x14ac:dyDescent="0.35">
      <c r="A118" s="872"/>
      <c r="B118" s="965"/>
      <c r="C118" s="874"/>
      <c r="D118" s="874"/>
      <c r="E118" s="874"/>
      <c r="F118" s="42" t="s">
        <v>4584</v>
      </c>
      <c r="G118" s="42">
        <v>31091</v>
      </c>
      <c r="H118" s="43"/>
      <c r="I118" s="42">
        <v>83</v>
      </c>
      <c r="J118" s="42">
        <v>3590.3</v>
      </c>
      <c r="K118" s="1082"/>
      <c r="L118" s="880"/>
    </row>
    <row r="119" spans="1:12" ht="15" thickBot="1" x14ac:dyDescent="0.35">
      <c r="A119" s="178">
        <v>351</v>
      </c>
      <c r="B119" s="232">
        <v>14684</v>
      </c>
      <c r="C119" s="45" t="s">
        <v>4585</v>
      </c>
      <c r="D119" s="45">
        <f>+I119</f>
        <v>351</v>
      </c>
      <c r="E119" s="45">
        <f>+J119</f>
        <v>14527.3</v>
      </c>
      <c r="F119" s="45" t="s">
        <v>4586</v>
      </c>
      <c r="G119" s="45">
        <v>31101</v>
      </c>
      <c r="H119" s="14"/>
      <c r="I119" s="45">
        <v>351</v>
      </c>
      <c r="J119" s="45">
        <v>14527.3</v>
      </c>
      <c r="K119" s="120">
        <f t="shared" ref="K119:K121" si="62">+A119-D119</f>
        <v>0</v>
      </c>
      <c r="L119" s="31">
        <f t="shared" ref="L119" si="63">((+B119/A119)-(E119/D119))/(B119/A119)</f>
        <v>1.0671479160991672E-2</v>
      </c>
    </row>
    <row r="120" spans="1:12" ht="15" thickBot="1" x14ac:dyDescent="0.35">
      <c r="A120" s="178">
        <v>604</v>
      </c>
      <c r="B120" s="232">
        <v>26005.5</v>
      </c>
      <c r="C120" s="45" t="s">
        <v>4682</v>
      </c>
      <c r="D120" s="45">
        <f>+I120</f>
        <v>604</v>
      </c>
      <c r="E120" s="45">
        <f>+J120</f>
        <v>25493.4</v>
      </c>
      <c r="F120" s="45" t="s">
        <v>4683</v>
      </c>
      <c r="G120" s="45">
        <v>31111</v>
      </c>
      <c r="H120" s="14"/>
      <c r="I120" s="45">
        <v>604</v>
      </c>
      <c r="J120" s="45">
        <v>25493.4</v>
      </c>
      <c r="K120" s="120">
        <f t="shared" ref="K120" si="64">+A120-D120</f>
        <v>0</v>
      </c>
      <c r="L120" s="31">
        <f t="shared" ref="L120" si="65">((+B120/A120)-(E120/D120))/(B120/A120)</f>
        <v>1.9691988233258267E-2</v>
      </c>
    </row>
    <row r="121" spans="1:12" x14ac:dyDescent="0.3">
      <c r="A121" s="871">
        <v>799</v>
      </c>
      <c r="B121" s="964">
        <v>36495.5</v>
      </c>
      <c r="C121" s="873" t="s">
        <v>4587</v>
      </c>
      <c r="D121" s="873">
        <f>+I121+I122</f>
        <v>799</v>
      </c>
      <c r="E121" s="873">
        <f>+J121+J122</f>
        <v>36063.599999999999</v>
      </c>
      <c r="F121" s="39" t="s">
        <v>4588</v>
      </c>
      <c r="G121" s="39">
        <v>31151</v>
      </c>
      <c r="H121" s="40"/>
      <c r="I121" s="39">
        <v>665</v>
      </c>
      <c r="J121" s="39">
        <v>29879.1</v>
      </c>
      <c r="K121" s="1081">
        <f t="shared" si="62"/>
        <v>0</v>
      </c>
      <c r="L121" s="879">
        <f>((+B121/A121)-(E121/D121))/(B121/A121)</f>
        <v>1.1834335740022827E-2</v>
      </c>
    </row>
    <row r="122" spans="1:12" ht="15" thickBot="1" x14ac:dyDescent="0.35">
      <c r="A122" s="872"/>
      <c r="B122" s="965"/>
      <c r="C122" s="874"/>
      <c r="D122" s="874"/>
      <c r="E122" s="874"/>
      <c r="F122" s="42" t="s">
        <v>4588</v>
      </c>
      <c r="G122" s="42">
        <v>31151</v>
      </c>
      <c r="H122" s="43"/>
      <c r="I122" s="42">
        <v>134</v>
      </c>
      <c r="J122" s="42">
        <v>6184.5</v>
      </c>
      <c r="K122" s="1082"/>
      <c r="L122" s="880"/>
    </row>
    <row r="123" spans="1:12" ht="15" thickBot="1" x14ac:dyDescent="0.35">
      <c r="A123" s="178">
        <v>443</v>
      </c>
      <c r="B123" s="232">
        <v>18710</v>
      </c>
      <c r="C123" s="45" t="s">
        <v>4589</v>
      </c>
      <c r="D123" s="45">
        <f>+I123</f>
        <v>443</v>
      </c>
      <c r="E123" s="45">
        <f>+J123</f>
        <v>18513.2</v>
      </c>
      <c r="F123" s="45" t="s">
        <v>4590</v>
      </c>
      <c r="G123" s="45">
        <v>31161</v>
      </c>
      <c r="H123" s="14"/>
      <c r="I123" s="45">
        <v>443</v>
      </c>
      <c r="J123" s="45">
        <v>18513.2</v>
      </c>
      <c r="K123" s="120">
        <f t="shared" ref="K123:K124" si="66">+A123-D123</f>
        <v>0</v>
      </c>
      <c r="L123" s="31">
        <f t="shared" ref="L123:L124" si="67">((+B123/A123)-(E123/D123))/(B123/A123)</f>
        <v>1.0518439337252742E-2</v>
      </c>
    </row>
    <row r="124" spans="1:12" ht="15" thickBot="1" x14ac:dyDescent="0.35">
      <c r="A124" s="178">
        <v>267</v>
      </c>
      <c r="B124" s="232">
        <v>13106.5</v>
      </c>
      <c r="C124" s="45" t="s">
        <v>4591</v>
      </c>
      <c r="D124" s="45">
        <f>+I124</f>
        <v>267</v>
      </c>
      <c r="E124" s="45">
        <f>+J124</f>
        <v>12842.6</v>
      </c>
      <c r="F124" s="45" t="s">
        <v>4592</v>
      </c>
      <c r="G124" s="45">
        <v>31181</v>
      </c>
      <c r="H124" s="14"/>
      <c r="I124" s="45">
        <v>267</v>
      </c>
      <c r="J124" s="45">
        <v>12842.6</v>
      </c>
      <c r="K124" s="120">
        <f t="shared" si="66"/>
        <v>0</v>
      </c>
      <c r="L124" s="31">
        <f t="shared" si="67"/>
        <v>2.0135047495517505E-2</v>
      </c>
    </row>
    <row r="125" spans="1:12" ht="15" thickBot="1" x14ac:dyDescent="0.35">
      <c r="A125" s="178">
        <v>600</v>
      </c>
      <c r="B125" s="232">
        <v>26025.25</v>
      </c>
      <c r="C125" s="45" t="s">
        <v>4684</v>
      </c>
      <c r="D125" s="45">
        <f t="shared" ref="D125:E126" si="68">+I125</f>
        <v>600</v>
      </c>
      <c r="E125" s="45">
        <f t="shared" si="68"/>
        <v>26188.799999999999</v>
      </c>
      <c r="F125" s="45" t="s">
        <v>4685</v>
      </c>
      <c r="G125" s="45">
        <v>31211</v>
      </c>
      <c r="H125" s="14"/>
      <c r="I125" s="45">
        <v>600</v>
      </c>
      <c r="J125" s="45">
        <v>26188.799999999999</v>
      </c>
      <c r="K125" s="120">
        <f t="shared" ref="K125:K127" si="69">+A125-D125</f>
        <v>0</v>
      </c>
      <c r="L125" s="31">
        <f t="shared" ref="L125:L126" si="70">((+B125/A125)-(E125/D125))/(B125/A125)</f>
        <v>-6.2842816111275748E-3</v>
      </c>
    </row>
    <row r="126" spans="1:12" ht="15" thickBot="1" x14ac:dyDescent="0.35">
      <c r="A126" s="179">
        <v>542</v>
      </c>
      <c r="B126" s="234">
        <v>24220.25</v>
      </c>
      <c r="C126" s="42" t="s">
        <v>4686</v>
      </c>
      <c r="D126" s="42">
        <f t="shared" si="68"/>
        <v>542</v>
      </c>
      <c r="E126" s="42">
        <f t="shared" si="68"/>
        <v>23990.3</v>
      </c>
      <c r="F126" s="42" t="s">
        <v>4687</v>
      </c>
      <c r="G126" s="42">
        <v>31221</v>
      </c>
      <c r="H126" s="43"/>
      <c r="I126" s="42">
        <v>542</v>
      </c>
      <c r="J126" s="42">
        <v>23990.3</v>
      </c>
      <c r="K126" s="120">
        <f t="shared" si="69"/>
        <v>0</v>
      </c>
      <c r="L126" s="31">
        <f t="shared" si="70"/>
        <v>9.4941216544007414E-3</v>
      </c>
    </row>
    <row r="127" spans="1:12" x14ac:dyDescent="0.3">
      <c r="A127" s="871">
        <v>1124</v>
      </c>
      <c r="B127" s="964">
        <v>48400</v>
      </c>
      <c r="C127" s="873" t="s">
        <v>4688</v>
      </c>
      <c r="D127" s="873">
        <f>+I127+I128+I129</f>
        <v>1124</v>
      </c>
      <c r="E127" s="873">
        <f>+J127+J128+J129</f>
        <v>47935.6</v>
      </c>
      <c r="F127" s="50" t="s">
        <v>4689</v>
      </c>
      <c r="G127" s="50">
        <v>31231</v>
      </c>
      <c r="I127" s="50">
        <v>58</v>
      </c>
      <c r="J127" s="50">
        <v>2418.1</v>
      </c>
      <c r="K127" s="1081">
        <f t="shared" si="69"/>
        <v>0</v>
      </c>
      <c r="L127" s="879">
        <f>((+B127/A127)-(E127/D127))/(B127/A127)</f>
        <v>9.5950413223140386E-3</v>
      </c>
    </row>
    <row r="128" spans="1:12" x14ac:dyDescent="0.3">
      <c r="A128" s="875"/>
      <c r="B128" s="966"/>
      <c r="C128" s="881"/>
      <c r="D128" s="881"/>
      <c r="E128" s="881"/>
      <c r="F128" s="50" t="s">
        <v>4689</v>
      </c>
      <c r="G128" s="50">
        <v>31231</v>
      </c>
      <c r="I128" s="50">
        <v>814</v>
      </c>
      <c r="J128" s="50">
        <v>34614.800000000003</v>
      </c>
      <c r="K128" s="1083"/>
      <c r="L128" s="885"/>
    </row>
    <row r="129" spans="1:12" ht="15" thickBot="1" x14ac:dyDescent="0.35">
      <c r="A129" s="872"/>
      <c r="B129" s="965"/>
      <c r="C129" s="874"/>
      <c r="D129" s="874"/>
      <c r="E129" s="874"/>
      <c r="F129" s="42" t="s">
        <v>4689</v>
      </c>
      <c r="G129" s="42">
        <v>31231</v>
      </c>
      <c r="H129" s="43"/>
      <c r="I129" s="42">
        <v>252</v>
      </c>
      <c r="J129" s="42">
        <v>10902.699999999999</v>
      </c>
      <c r="K129" s="1082"/>
      <c r="L129" s="880"/>
    </row>
    <row r="130" spans="1:12" ht="15" thickBot="1" x14ac:dyDescent="0.35">
      <c r="A130" s="199">
        <v>647</v>
      </c>
      <c r="B130" s="275">
        <v>28895</v>
      </c>
      <c r="C130" s="10" t="s">
        <v>4765</v>
      </c>
      <c r="D130" s="10">
        <v>647</v>
      </c>
      <c r="E130" s="10">
        <v>28962</v>
      </c>
      <c r="F130" s="42" t="s">
        <v>4767</v>
      </c>
      <c r="G130" s="42">
        <v>31241</v>
      </c>
      <c r="H130" s="43"/>
      <c r="I130" s="42"/>
      <c r="J130" s="42"/>
      <c r="K130" s="120">
        <f t="shared" ref="K130:K131" si="71">+A130-D130</f>
        <v>0</v>
      </c>
      <c r="L130" s="31">
        <f t="shared" ref="L130:L131" si="72">((+B130/A130)-(E130/D130))/(B130/A130)</f>
        <v>-2.3187402664821082E-3</v>
      </c>
    </row>
    <row r="131" spans="1:12" ht="15" thickBot="1" x14ac:dyDescent="0.35">
      <c r="A131" s="199">
        <v>300</v>
      </c>
      <c r="B131" s="275">
        <v>13501</v>
      </c>
      <c r="C131" s="10" t="s">
        <v>4766</v>
      </c>
      <c r="D131" s="10">
        <v>300</v>
      </c>
      <c r="E131" s="10">
        <v>13356.1</v>
      </c>
      <c r="F131" s="42" t="s">
        <v>4768</v>
      </c>
      <c r="G131" s="42">
        <v>31251</v>
      </c>
      <c r="H131" s="43"/>
      <c r="I131" s="42"/>
      <c r="J131" s="42"/>
      <c r="K131" s="120">
        <f t="shared" si="71"/>
        <v>0</v>
      </c>
      <c r="L131" s="31">
        <f t="shared" si="72"/>
        <v>1.0732538330493971E-2</v>
      </c>
    </row>
    <row r="132" spans="1:12" ht="15" thickBot="1" x14ac:dyDescent="0.35">
      <c r="A132" s="175">
        <v>440</v>
      </c>
      <c r="B132" s="242">
        <v>19512.25</v>
      </c>
      <c r="C132" s="8" t="s">
        <v>4690</v>
      </c>
      <c r="D132" s="8">
        <f>+I132</f>
        <v>440</v>
      </c>
      <c r="E132" s="8">
        <f>+J132</f>
        <v>19512.099999999999</v>
      </c>
      <c r="F132" s="45" t="s">
        <v>4691</v>
      </c>
      <c r="G132" s="45">
        <v>31261</v>
      </c>
      <c r="H132" s="14"/>
      <c r="I132" s="45">
        <v>440</v>
      </c>
      <c r="J132" s="45">
        <v>19512.099999999999</v>
      </c>
      <c r="K132" s="120">
        <f t="shared" ref="K132:K134" si="73">+A132-D132</f>
        <v>0</v>
      </c>
      <c r="L132" s="31">
        <f t="shared" ref="L132:L133" si="74">((+B132/A132)-(E132/D132))/(B132/A132)</f>
        <v>7.6874783789600676E-6</v>
      </c>
    </row>
    <row r="133" spans="1:12" ht="15" thickBot="1" x14ac:dyDescent="0.35">
      <c r="A133" s="175">
        <v>554</v>
      </c>
      <c r="B133" s="242">
        <v>24495.25</v>
      </c>
      <c r="C133" s="8" t="s">
        <v>4692</v>
      </c>
      <c r="D133" s="8">
        <f>+I133</f>
        <v>554</v>
      </c>
      <c r="E133" s="8">
        <f>+J133</f>
        <v>24371.599999999999</v>
      </c>
      <c r="F133" s="45" t="s">
        <v>4693</v>
      </c>
      <c r="G133" s="45">
        <v>31271</v>
      </c>
      <c r="H133" s="14"/>
      <c r="I133" s="45">
        <v>554</v>
      </c>
      <c r="J133" s="45">
        <v>24371.599999999999</v>
      </c>
      <c r="K133" s="120">
        <f t="shared" si="73"/>
        <v>0</v>
      </c>
      <c r="L133" s="31">
        <f t="shared" si="74"/>
        <v>5.0479174533838512E-3</v>
      </c>
    </row>
    <row r="134" spans="1:12" x14ac:dyDescent="0.3">
      <c r="A134" s="871">
        <v>1200</v>
      </c>
      <c r="B134" s="964">
        <v>50918.25</v>
      </c>
      <c r="C134" s="873" t="s">
        <v>4694</v>
      </c>
      <c r="D134" s="873">
        <f>+I134+I135</f>
        <v>1200</v>
      </c>
      <c r="E134" s="873">
        <f>+J134+J135</f>
        <v>50997</v>
      </c>
      <c r="F134" s="39" t="s">
        <v>4695</v>
      </c>
      <c r="G134" s="39">
        <v>31281</v>
      </c>
      <c r="H134" s="40"/>
      <c r="I134" s="39">
        <v>1000</v>
      </c>
      <c r="J134" s="39">
        <v>42376.5</v>
      </c>
      <c r="K134" s="1081">
        <f t="shared" si="73"/>
        <v>0</v>
      </c>
      <c r="L134" s="879">
        <f>((+B134/A134)-(E134/D134))/(B134/A134)</f>
        <v>-1.5465967506739749E-3</v>
      </c>
    </row>
    <row r="135" spans="1:12" ht="15" thickBot="1" x14ac:dyDescent="0.35">
      <c r="A135" s="872"/>
      <c r="B135" s="965"/>
      <c r="C135" s="874"/>
      <c r="D135" s="874"/>
      <c r="E135" s="874"/>
      <c r="F135" s="42" t="s">
        <v>4695</v>
      </c>
      <c r="G135" s="42">
        <v>31281</v>
      </c>
      <c r="H135" s="43"/>
      <c r="I135" s="42">
        <v>200</v>
      </c>
      <c r="J135" s="42">
        <v>8620.5</v>
      </c>
      <c r="K135" s="1082"/>
      <c r="L135" s="880"/>
    </row>
    <row r="136" spans="1:12" ht="15" thickBot="1" x14ac:dyDescent="0.35">
      <c r="A136" s="178">
        <v>889</v>
      </c>
      <c r="B136" s="232">
        <v>40152.5</v>
      </c>
      <c r="C136" s="45" t="s">
        <v>4763</v>
      </c>
      <c r="D136" s="45">
        <v>889</v>
      </c>
      <c r="E136" s="45">
        <v>39747.199999999997</v>
      </c>
      <c r="F136" s="45" t="s">
        <v>4764</v>
      </c>
      <c r="G136" s="45">
        <v>31291</v>
      </c>
      <c r="H136" s="14"/>
      <c r="I136" s="45">
        <v>600</v>
      </c>
      <c r="J136" s="45">
        <v>26668.7</v>
      </c>
      <c r="K136" s="120">
        <f t="shared" ref="K136" si="75">+A136-D136</f>
        <v>0</v>
      </c>
      <c r="L136" s="31">
        <f t="shared" ref="L136" si="76">((+B136/A136)-(E136/D136))/(B136/A136)</f>
        <v>1.009401656185795E-2</v>
      </c>
    </row>
    <row r="137" spans="1:12" ht="15" thickBot="1" x14ac:dyDescent="0.35">
      <c r="A137" s="177">
        <v>849</v>
      </c>
      <c r="B137" s="233">
        <v>38140.25</v>
      </c>
      <c r="C137" s="39" t="s">
        <v>4831</v>
      </c>
      <c r="D137" s="39">
        <f t="shared" ref="D137:E143" si="77">+I137</f>
        <v>849</v>
      </c>
      <c r="E137" s="39">
        <f t="shared" si="77"/>
        <v>37516.300000000003</v>
      </c>
      <c r="F137" s="39" t="s">
        <v>4832</v>
      </c>
      <c r="G137" s="39">
        <v>31301</v>
      </c>
      <c r="H137" s="40"/>
      <c r="I137" s="39">
        <v>849</v>
      </c>
      <c r="J137" s="39">
        <v>37516.300000000003</v>
      </c>
      <c r="K137" s="120">
        <f t="shared" ref="K137:K141" si="78">+A137-D137</f>
        <v>0</v>
      </c>
      <c r="L137" s="31">
        <f t="shared" ref="L137:L140" si="79">((+B137/A137)-(E137/D137))/(B137/A137)</f>
        <v>1.6359357896185596E-2</v>
      </c>
    </row>
    <row r="138" spans="1:12" ht="15" thickBot="1" x14ac:dyDescent="0.35">
      <c r="A138" s="178">
        <v>923</v>
      </c>
      <c r="B138" s="232">
        <v>40953</v>
      </c>
      <c r="C138" s="45" t="s">
        <v>4833</v>
      </c>
      <c r="D138" s="45">
        <f t="shared" si="77"/>
        <v>923</v>
      </c>
      <c r="E138" s="45">
        <f t="shared" si="77"/>
        <v>40853.199999999997</v>
      </c>
      <c r="F138" s="45" t="s">
        <v>4834</v>
      </c>
      <c r="G138" s="45">
        <v>31331</v>
      </c>
      <c r="H138" s="14"/>
      <c r="I138" s="45">
        <v>923</v>
      </c>
      <c r="J138" s="45">
        <v>40853.199999999997</v>
      </c>
      <c r="K138" s="120">
        <f t="shared" si="78"/>
        <v>0</v>
      </c>
      <c r="L138" s="31">
        <f t="shared" si="79"/>
        <v>2.4369399067223148E-3</v>
      </c>
    </row>
    <row r="139" spans="1:12" ht="15" thickBot="1" x14ac:dyDescent="0.35">
      <c r="A139" s="178">
        <v>300</v>
      </c>
      <c r="B139" s="232">
        <v>13184.75</v>
      </c>
      <c r="C139" s="45" t="s">
        <v>4835</v>
      </c>
      <c r="D139" s="45">
        <f t="shared" si="77"/>
        <v>300</v>
      </c>
      <c r="E139" s="45">
        <f t="shared" si="77"/>
        <v>13186.8</v>
      </c>
      <c r="F139" s="45" t="s">
        <v>4836</v>
      </c>
      <c r="G139" s="45">
        <v>31361</v>
      </c>
      <c r="H139" s="14"/>
      <c r="I139" s="45">
        <v>300</v>
      </c>
      <c r="J139" s="45">
        <v>13186.8</v>
      </c>
      <c r="K139" s="120">
        <f t="shared" si="78"/>
        <v>0</v>
      </c>
      <c r="L139" s="31">
        <f t="shared" si="79"/>
        <v>-1.5548265989115008E-4</v>
      </c>
    </row>
    <row r="140" spans="1:12" ht="15" thickBot="1" x14ac:dyDescent="0.35">
      <c r="A140" s="177">
        <v>1440</v>
      </c>
      <c r="B140" s="233">
        <v>62493</v>
      </c>
      <c r="C140" s="39" t="s">
        <v>4837</v>
      </c>
      <c r="D140" s="39">
        <f>+I140</f>
        <v>1440</v>
      </c>
      <c r="E140" s="39">
        <f>+J140</f>
        <v>62014.400000000001</v>
      </c>
      <c r="F140" s="39" t="s">
        <v>4838</v>
      </c>
      <c r="G140" s="39">
        <v>31371</v>
      </c>
      <c r="H140" s="40"/>
      <c r="I140" s="39">
        <v>1440</v>
      </c>
      <c r="J140" s="39">
        <v>62014.400000000001</v>
      </c>
      <c r="K140" s="120">
        <f t="shared" si="78"/>
        <v>0</v>
      </c>
      <c r="L140" s="31">
        <f t="shared" si="79"/>
        <v>7.6584577472677143E-3</v>
      </c>
    </row>
    <row r="141" spans="1:12" x14ac:dyDescent="0.3">
      <c r="A141" s="871">
        <v>868</v>
      </c>
      <c r="B141" s="964">
        <v>37515.5</v>
      </c>
      <c r="C141" s="873" t="s">
        <v>4839</v>
      </c>
      <c r="D141" s="873">
        <f>+I141+I142</f>
        <v>868</v>
      </c>
      <c r="E141" s="873">
        <f>+J141+J142</f>
        <v>37706.6</v>
      </c>
      <c r="F141" s="39" t="s">
        <v>4840</v>
      </c>
      <c r="G141" s="39">
        <v>31381</v>
      </c>
      <c r="H141" s="40"/>
      <c r="I141" s="39">
        <v>738</v>
      </c>
      <c r="J141" s="39">
        <v>32046.7</v>
      </c>
      <c r="K141" s="1081">
        <f t="shared" si="78"/>
        <v>0</v>
      </c>
      <c r="L141" s="879">
        <f>((+B141/A141)-(E141/D141))/(B141/A141)</f>
        <v>-5.0938945235968836E-3</v>
      </c>
    </row>
    <row r="142" spans="1:12" ht="15" thickBot="1" x14ac:dyDescent="0.35">
      <c r="A142" s="872"/>
      <c r="B142" s="965"/>
      <c r="C142" s="874"/>
      <c r="D142" s="874"/>
      <c r="E142" s="874"/>
      <c r="F142" s="42" t="s">
        <v>4840</v>
      </c>
      <c r="G142" s="42">
        <v>31381</v>
      </c>
      <c r="H142" s="43"/>
      <c r="I142" s="42">
        <v>130</v>
      </c>
      <c r="J142" s="42">
        <v>5659.9</v>
      </c>
      <c r="K142" s="1082"/>
      <c r="L142" s="880"/>
    </row>
    <row r="143" spans="1:12" ht="15" thickBot="1" x14ac:dyDescent="0.35">
      <c r="A143" s="179">
        <v>600</v>
      </c>
      <c r="B143" s="234">
        <v>25662</v>
      </c>
      <c r="C143" s="42" t="s">
        <v>4841</v>
      </c>
      <c r="D143" s="42">
        <f t="shared" si="77"/>
        <v>599</v>
      </c>
      <c r="E143" s="42">
        <f t="shared" si="77"/>
        <v>25566.5</v>
      </c>
      <c r="F143" s="42" t="s">
        <v>4842</v>
      </c>
      <c r="G143" s="42">
        <v>31391</v>
      </c>
      <c r="H143" s="43"/>
      <c r="I143" s="42">
        <v>599</v>
      </c>
      <c r="J143" s="42">
        <v>25566.5</v>
      </c>
      <c r="K143" s="120">
        <f t="shared" ref="K143:K146" si="80">+A143-D143</f>
        <v>1</v>
      </c>
      <c r="L143" s="31">
        <f t="shared" ref="L143:L146" si="81">((+B143/A143)-(E143/D143))/(B143/A143)</f>
        <v>2.0582195483627537E-3</v>
      </c>
    </row>
    <row r="144" spans="1:12" ht="15" thickBot="1" x14ac:dyDescent="0.35">
      <c r="A144" s="354">
        <v>1076</v>
      </c>
      <c r="B144" s="355">
        <v>51808</v>
      </c>
      <c r="C144" s="356" t="s">
        <v>4947</v>
      </c>
      <c r="D144" s="45">
        <f>+I144</f>
        <v>1076</v>
      </c>
      <c r="E144" s="45">
        <f>+J144</f>
        <v>51017.299999999996</v>
      </c>
      <c r="F144" s="45" t="s">
        <v>4948</v>
      </c>
      <c r="G144" s="45">
        <v>31411</v>
      </c>
      <c r="H144" s="14"/>
      <c r="I144" s="45">
        <v>1076</v>
      </c>
      <c r="J144" s="45">
        <v>51017.299999999996</v>
      </c>
      <c r="K144" s="120">
        <f t="shared" ref="K144:K145" si="82">+A144-D144</f>
        <v>0</v>
      </c>
      <c r="L144" s="31">
        <f t="shared" ref="L144:L145" si="83">((+B144/A144)-(E144/D144))/(B144/A144)</f>
        <v>1.5262121680049567E-2</v>
      </c>
    </row>
    <row r="145" spans="1:12" ht="15" thickBot="1" x14ac:dyDescent="0.35">
      <c r="A145" s="354">
        <v>960</v>
      </c>
      <c r="B145" s="355">
        <v>44321</v>
      </c>
      <c r="C145" s="356" t="s">
        <v>4949</v>
      </c>
      <c r="D145" s="45">
        <f>+I145</f>
        <v>960</v>
      </c>
      <c r="E145" s="45">
        <f>+J145</f>
        <v>43780.100000000006</v>
      </c>
      <c r="F145" s="45" t="s">
        <v>4950</v>
      </c>
      <c r="G145" s="45">
        <v>31421</v>
      </c>
      <c r="H145" s="14"/>
      <c r="I145" s="45">
        <v>960</v>
      </c>
      <c r="J145" s="45">
        <v>43780.100000000006</v>
      </c>
      <c r="K145" s="120">
        <f t="shared" si="82"/>
        <v>0</v>
      </c>
      <c r="L145" s="31">
        <f t="shared" si="83"/>
        <v>1.2204147018343277E-2</v>
      </c>
    </row>
    <row r="146" spans="1:12" ht="15" thickBot="1" x14ac:dyDescent="0.35">
      <c r="A146" s="178">
        <v>1550</v>
      </c>
      <c r="B146" s="232">
        <v>58024</v>
      </c>
      <c r="C146" s="45" t="s">
        <v>4843</v>
      </c>
      <c r="D146" s="45">
        <f>+I146+750</f>
        <v>1550</v>
      </c>
      <c r="E146" s="45">
        <f>+J146+27560.5</f>
        <v>56832.100000000006</v>
      </c>
      <c r="F146" s="45" t="s">
        <v>4844</v>
      </c>
      <c r="G146" s="45">
        <v>31441</v>
      </c>
      <c r="H146" s="14"/>
      <c r="I146" s="45">
        <v>800</v>
      </c>
      <c r="J146" s="45">
        <v>29271.600000000006</v>
      </c>
      <c r="K146" s="120">
        <f t="shared" si="80"/>
        <v>0</v>
      </c>
      <c r="L146" s="31">
        <f t="shared" si="81"/>
        <v>2.0541500068936985E-2</v>
      </c>
    </row>
    <row r="147" spans="1:12" ht="15" thickBot="1" x14ac:dyDescent="0.35">
      <c r="A147" s="354">
        <v>472</v>
      </c>
      <c r="B147" s="355">
        <v>22060.5</v>
      </c>
      <c r="C147" s="356" t="s">
        <v>4951</v>
      </c>
      <c r="D147" s="45">
        <f t="shared" ref="D147:E154" si="84">+I147</f>
        <v>472</v>
      </c>
      <c r="E147" s="45">
        <f t="shared" si="84"/>
        <v>22023.5</v>
      </c>
      <c r="F147" s="45" t="s">
        <v>4952</v>
      </c>
      <c r="G147" s="45">
        <v>31451</v>
      </c>
      <c r="H147" s="14"/>
      <c r="I147" s="45">
        <v>472</v>
      </c>
      <c r="J147" s="45">
        <v>22023.5</v>
      </c>
      <c r="K147" s="120">
        <f t="shared" ref="K147:K157" si="85">+A147-D147</f>
        <v>0</v>
      </c>
      <c r="L147" s="31">
        <f t="shared" ref="L147:L154" si="86">((+B147/A147)-(E147/D147))/(B147/A147)</f>
        <v>1.6772058656876053E-3</v>
      </c>
    </row>
    <row r="148" spans="1:12" ht="15" thickBot="1" x14ac:dyDescent="0.35">
      <c r="A148" s="354">
        <v>387</v>
      </c>
      <c r="B148" s="355">
        <v>16213.25</v>
      </c>
      <c r="C148" s="356" t="s">
        <v>4953</v>
      </c>
      <c r="D148" s="45">
        <f t="shared" si="84"/>
        <v>387</v>
      </c>
      <c r="E148" s="45">
        <f t="shared" si="84"/>
        <v>15540.6</v>
      </c>
      <c r="F148" s="45" t="s">
        <v>4954</v>
      </c>
      <c r="G148" s="45">
        <v>31471</v>
      </c>
      <c r="H148" s="14"/>
      <c r="I148" s="45">
        <v>387</v>
      </c>
      <c r="J148" s="45">
        <v>15540.6</v>
      </c>
      <c r="K148" s="120">
        <f t="shared" si="85"/>
        <v>0</v>
      </c>
      <c r="L148" s="31">
        <f t="shared" si="86"/>
        <v>4.1487672120025319E-2</v>
      </c>
    </row>
    <row r="149" spans="1:12" ht="15" thickBot="1" x14ac:dyDescent="0.35">
      <c r="A149" s="354">
        <v>681</v>
      </c>
      <c r="B149" s="355">
        <v>30978.75</v>
      </c>
      <c r="C149" s="356" t="s">
        <v>4955</v>
      </c>
      <c r="D149" s="45">
        <f t="shared" si="84"/>
        <v>681</v>
      </c>
      <c r="E149" s="45">
        <f t="shared" si="84"/>
        <v>29953.5</v>
      </c>
      <c r="F149" s="45" t="s">
        <v>4956</v>
      </c>
      <c r="G149" s="45">
        <v>31481</v>
      </c>
      <c r="H149" s="14"/>
      <c r="I149" s="45">
        <v>681</v>
      </c>
      <c r="J149" s="45">
        <v>29953.5</v>
      </c>
      <c r="K149" s="120">
        <f t="shared" si="85"/>
        <v>0</v>
      </c>
      <c r="L149" s="31">
        <f t="shared" si="86"/>
        <v>3.3095266916838076E-2</v>
      </c>
    </row>
    <row r="150" spans="1:12" ht="15" thickBot="1" x14ac:dyDescent="0.35">
      <c r="A150" s="354">
        <v>1391</v>
      </c>
      <c r="B150" s="355">
        <v>62877</v>
      </c>
      <c r="C150" s="356" t="s">
        <v>4957</v>
      </c>
      <c r="D150" s="45">
        <f t="shared" si="84"/>
        <v>1391</v>
      </c>
      <c r="E150" s="45">
        <f t="shared" si="84"/>
        <v>62442.399999999994</v>
      </c>
      <c r="F150" s="45" t="s">
        <v>4958</v>
      </c>
      <c r="G150" s="45">
        <v>31491</v>
      </c>
      <c r="H150" s="14"/>
      <c r="I150" s="45">
        <v>1391</v>
      </c>
      <c r="J150" s="45">
        <v>62442.399999999994</v>
      </c>
      <c r="K150" s="120">
        <f t="shared" si="85"/>
        <v>0</v>
      </c>
      <c r="L150" s="31">
        <f t="shared" si="86"/>
        <v>6.9119073747157915E-3</v>
      </c>
    </row>
    <row r="151" spans="1:12" ht="15" thickBot="1" x14ac:dyDescent="0.35">
      <c r="A151" s="354">
        <v>200</v>
      </c>
      <c r="B151" s="355">
        <v>8759</v>
      </c>
      <c r="C151" s="356" t="s">
        <v>4959</v>
      </c>
      <c r="D151" s="45">
        <f t="shared" si="84"/>
        <v>200</v>
      </c>
      <c r="E151" s="45">
        <f t="shared" si="84"/>
        <v>8615.7999999999993</v>
      </c>
      <c r="F151" s="45" t="s">
        <v>4960</v>
      </c>
      <c r="G151" s="45">
        <v>31501</v>
      </c>
      <c r="H151" s="14"/>
      <c r="I151" s="45">
        <v>200</v>
      </c>
      <c r="J151" s="45">
        <v>8615.7999999999993</v>
      </c>
      <c r="K151" s="120">
        <f t="shared" si="85"/>
        <v>0</v>
      </c>
      <c r="L151" s="31">
        <f t="shared" si="86"/>
        <v>1.6348898276059096E-2</v>
      </c>
    </row>
    <row r="152" spans="1:12" ht="15" thickBot="1" x14ac:dyDescent="0.35">
      <c r="A152" s="178">
        <v>154</v>
      </c>
      <c r="B152" s="232">
        <v>7230</v>
      </c>
      <c r="C152" s="45" t="s">
        <v>4961</v>
      </c>
      <c r="D152" s="45">
        <f t="shared" si="84"/>
        <v>155</v>
      </c>
      <c r="E152" s="45">
        <f t="shared" si="84"/>
        <v>7048.1</v>
      </c>
      <c r="F152" s="45" t="s">
        <v>5113</v>
      </c>
      <c r="G152" s="45">
        <v>31431</v>
      </c>
      <c r="H152" s="14"/>
      <c r="I152" s="45">
        <v>155</v>
      </c>
      <c r="J152" s="45">
        <v>7048.1</v>
      </c>
      <c r="K152" s="120">
        <f t="shared" si="85"/>
        <v>-1</v>
      </c>
      <c r="L152" s="31">
        <f t="shared" si="86"/>
        <v>3.1448355864899732E-2</v>
      </c>
    </row>
    <row r="153" spans="1:12" ht="15" thickBot="1" x14ac:dyDescent="0.35">
      <c r="A153" s="178">
        <v>941</v>
      </c>
      <c r="B153" s="232">
        <v>41719</v>
      </c>
      <c r="C153" s="45" t="s">
        <v>4962</v>
      </c>
      <c r="D153" s="45">
        <f t="shared" si="84"/>
        <v>941</v>
      </c>
      <c r="E153" s="45">
        <f t="shared" si="84"/>
        <v>41621.399999999994</v>
      </c>
      <c r="F153" s="45" t="s">
        <v>4963</v>
      </c>
      <c r="G153" s="45">
        <v>31511</v>
      </c>
      <c r="H153" s="14"/>
      <c r="I153" s="45">
        <v>941</v>
      </c>
      <c r="J153" s="45">
        <v>41621.399999999994</v>
      </c>
      <c r="K153" s="120">
        <f t="shared" si="85"/>
        <v>0</v>
      </c>
      <c r="L153" s="31">
        <f t="shared" si="86"/>
        <v>2.3394616361851047E-3</v>
      </c>
    </row>
    <row r="154" spans="1:12" ht="15" thickBot="1" x14ac:dyDescent="0.35">
      <c r="A154" s="178">
        <v>382</v>
      </c>
      <c r="B154" s="232">
        <v>16666.25</v>
      </c>
      <c r="C154" s="45" t="s">
        <v>4964</v>
      </c>
      <c r="D154" s="45">
        <f t="shared" si="84"/>
        <v>382</v>
      </c>
      <c r="E154" s="45">
        <f t="shared" si="84"/>
        <v>16523.3</v>
      </c>
      <c r="F154" s="45" t="s">
        <v>4965</v>
      </c>
      <c r="G154" s="45">
        <v>31521</v>
      </c>
      <c r="H154" s="14"/>
      <c r="I154" s="45">
        <v>382</v>
      </c>
      <c r="J154" s="45">
        <v>16523.3</v>
      </c>
      <c r="K154" s="120">
        <f t="shared" si="85"/>
        <v>0</v>
      </c>
      <c r="L154" s="31">
        <f t="shared" si="86"/>
        <v>8.5772144303608733E-3</v>
      </c>
    </row>
    <row r="155" spans="1:12" x14ac:dyDescent="0.3">
      <c r="A155" s="871">
        <v>2448</v>
      </c>
      <c r="B155" s="964">
        <v>111659.5</v>
      </c>
      <c r="C155" s="873" t="s">
        <v>5048</v>
      </c>
      <c r="D155" s="873">
        <v>2446</v>
      </c>
      <c r="E155" s="873">
        <v>110082.7</v>
      </c>
      <c r="F155" s="39" t="s">
        <v>5049</v>
      </c>
      <c r="G155" s="39">
        <v>31541</v>
      </c>
      <c r="H155" s="40"/>
      <c r="I155" s="39">
        <v>705</v>
      </c>
      <c r="J155" s="39">
        <v>31672</v>
      </c>
      <c r="K155" s="1081">
        <f t="shared" ref="K155" si="87">+A155-D155</f>
        <v>2</v>
      </c>
      <c r="L155" s="879">
        <f>((+B155/A155)-(E155/D155))/(B155/A155)</f>
        <v>1.3315388441638144E-2</v>
      </c>
    </row>
    <row r="156" spans="1:12" ht="15" thickBot="1" x14ac:dyDescent="0.35">
      <c r="A156" s="872"/>
      <c r="B156" s="965"/>
      <c r="C156" s="874"/>
      <c r="D156" s="874"/>
      <c r="E156" s="874"/>
      <c r="F156" s="42" t="s">
        <v>5049</v>
      </c>
      <c r="G156" s="42">
        <v>31541</v>
      </c>
      <c r="H156" s="43"/>
      <c r="I156" s="42">
        <v>1000</v>
      </c>
      <c r="J156" s="42">
        <v>45240</v>
      </c>
      <c r="K156" s="1082"/>
      <c r="L156" s="880"/>
    </row>
    <row r="157" spans="1:12" x14ac:dyDescent="0.3">
      <c r="A157" s="871">
        <v>2349</v>
      </c>
      <c r="B157" s="964">
        <v>104888.5</v>
      </c>
      <c r="C157" s="873" t="s">
        <v>4966</v>
      </c>
      <c r="D157" s="873">
        <v>2349</v>
      </c>
      <c r="E157" s="873">
        <v>103384.4</v>
      </c>
      <c r="F157" s="39" t="s">
        <v>4967</v>
      </c>
      <c r="G157" s="39">
        <v>31551</v>
      </c>
      <c r="H157" s="40"/>
      <c r="I157" s="39">
        <v>400</v>
      </c>
      <c r="J157" s="39">
        <v>18099.900000000001</v>
      </c>
      <c r="K157" s="1081">
        <f t="shared" si="85"/>
        <v>0</v>
      </c>
      <c r="L157" s="879">
        <f>((+B157/A157)-(E157/D157))/(B157/A157)</f>
        <v>1.4339989608012305E-2</v>
      </c>
    </row>
    <row r="158" spans="1:12" ht="15" thickBot="1" x14ac:dyDescent="0.35">
      <c r="A158" s="872"/>
      <c r="B158" s="965"/>
      <c r="C158" s="874"/>
      <c r="D158" s="874"/>
      <c r="E158" s="874"/>
      <c r="F158" s="42" t="s">
        <v>4967</v>
      </c>
      <c r="G158" s="42">
        <v>31551</v>
      </c>
      <c r="H158" s="43"/>
      <c r="I158" s="42">
        <v>800</v>
      </c>
      <c r="J158" s="42">
        <v>35417.600000000006</v>
      </c>
      <c r="K158" s="1082"/>
      <c r="L158" s="880"/>
    </row>
    <row r="159" spans="1:12" x14ac:dyDescent="0.3">
      <c r="A159" s="871">
        <v>992</v>
      </c>
      <c r="B159" s="964">
        <v>43490.75</v>
      </c>
      <c r="C159" s="873" t="s">
        <v>5114</v>
      </c>
      <c r="D159" s="873">
        <f>+I159+I160</f>
        <v>992</v>
      </c>
      <c r="E159" s="873">
        <f>+J159+J160</f>
        <v>44658.400000000001</v>
      </c>
      <c r="F159" s="39" t="s">
        <v>5115</v>
      </c>
      <c r="G159" s="39">
        <v>31561</v>
      </c>
      <c r="H159" s="40"/>
      <c r="I159" s="39">
        <v>655</v>
      </c>
      <c r="J159" s="39">
        <v>29463.3</v>
      </c>
      <c r="K159" s="1081">
        <f t="shared" ref="K159" si="88">+A159-D159</f>
        <v>0</v>
      </c>
      <c r="L159" s="879">
        <f>((+B159/A159)-(E159/D159))/(B159/A159)</f>
        <v>-2.6848237843679457E-2</v>
      </c>
    </row>
    <row r="160" spans="1:12" ht="15" thickBot="1" x14ac:dyDescent="0.35">
      <c r="A160" s="872"/>
      <c r="B160" s="965"/>
      <c r="C160" s="874"/>
      <c r="D160" s="874"/>
      <c r="E160" s="874"/>
      <c r="F160" s="42" t="s">
        <v>5115</v>
      </c>
      <c r="G160" s="42">
        <v>31561</v>
      </c>
      <c r="H160" s="43"/>
      <c r="I160" s="42">
        <v>337</v>
      </c>
      <c r="J160" s="42">
        <v>15195.100000000002</v>
      </c>
      <c r="K160" s="1082"/>
      <c r="L160" s="880"/>
    </row>
    <row r="161" spans="1:12" x14ac:dyDescent="0.3">
      <c r="A161" s="871">
        <v>1916</v>
      </c>
      <c r="B161" s="964">
        <v>85496</v>
      </c>
      <c r="C161" s="873" t="s">
        <v>5116</v>
      </c>
      <c r="D161" s="873">
        <f>+I161+I162+I163</f>
        <v>1916</v>
      </c>
      <c r="E161" s="873">
        <f>+J161+J162+J163</f>
        <v>86942.1</v>
      </c>
      <c r="F161" s="39" t="s">
        <v>5117</v>
      </c>
      <c r="G161" s="39">
        <v>31591</v>
      </c>
      <c r="H161" s="40"/>
      <c r="I161" s="39">
        <v>1059</v>
      </c>
      <c r="J161" s="39">
        <v>48293.8</v>
      </c>
      <c r="K161" s="1081">
        <f t="shared" ref="K161" si="89">+A161-D161</f>
        <v>0</v>
      </c>
      <c r="L161" s="879">
        <f>((+B161/A161)-(E161/D161))/(B161/A161)</f>
        <v>-1.6914241601946312E-2</v>
      </c>
    </row>
    <row r="162" spans="1:12" x14ac:dyDescent="0.3">
      <c r="A162" s="875"/>
      <c r="B162" s="966"/>
      <c r="C162" s="881"/>
      <c r="D162" s="881"/>
      <c r="E162" s="881"/>
      <c r="F162" s="50" t="s">
        <v>5117</v>
      </c>
      <c r="G162" s="50">
        <v>31592</v>
      </c>
      <c r="I162" s="50">
        <v>600</v>
      </c>
      <c r="J162" s="50">
        <v>27223.200000000001</v>
      </c>
      <c r="K162" s="1083"/>
      <c r="L162" s="885"/>
    </row>
    <row r="163" spans="1:12" ht="15" thickBot="1" x14ac:dyDescent="0.35">
      <c r="A163" s="872"/>
      <c r="B163" s="965"/>
      <c r="C163" s="874"/>
      <c r="D163" s="874"/>
      <c r="E163" s="874"/>
      <c r="F163" s="42" t="s">
        <v>5117</v>
      </c>
      <c r="G163" s="42">
        <v>31592</v>
      </c>
      <c r="H163" s="43"/>
      <c r="I163" s="42">
        <v>257</v>
      </c>
      <c r="J163" s="42">
        <v>11425.099999999999</v>
      </c>
      <c r="K163" s="1082"/>
      <c r="L163" s="880"/>
    </row>
    <row r="164" spans="1:12" ht="15" thickBot="1" x14ac:dyDescent="0.35">
      <c r="A164" s="174">
        <v>141</v>
      </c>
      <c r="B164" s="261">
        <v>6441.8</v>
      </c>
      <c r="C164" s="12" t="s">
        <v>5118</v>
      </c>
      <c r="D164" s="12">
        <f>+I164</f>
        <v>141</v>
      </c>
      <c r="E164" s="12">
        <f>+J164</f>
        <v>6393.2</v>
      </c>
      <c r="F164" s="39" t="s">
        <v>5119</v>
      </c>
      <c r="G164" s="39">
        <v>31601</v>
      </c>
      <c r="H164" s="40"/>
      <c r="I164" s="39">
        <v>141</v>
      </c>
      <c r="J164" s="39">
        <v>6393.2</v>
      </c>
      <c r="K164" s="120">
        <f t="shared" ref="K164" si="90">+A164-D164</f>
        <v>0</v>
      </c>
      <c r="L164" s="31">
        <f t="shared" ref="L164" si="91">((+B164/A164)-(E164/D164))/(B164/A164)</f>
        <v>7.5444751466980826E-3</v>
      </c>
    </row>
    <row r="165" spans="1:12" x14ac:dyDescent="0.3">
      <c r="A165" s="871">
        <v>1122</v>
      </c>
      <c r="B165" s="964">
        <v>41999</v>
      </c>
      <c r="C165" s="873" t="s">
        <v>5120</v>
      </c>
      <c r="D165" s="873">
        <f>+I165+I166</f>
        <v>1122</v>
      </c>
      <c r="E165" s="873">
        <f>+J165+J166</f>
        <v>42448.5</v>
      </c>
      <c r="F165" s="39" t="s">
        <v>5121</v>
      </c>
      <c r="G165" s="39">
        <v>31611</v>
      </c>
      <c r="H165" s="40"/>
      <c r="I165" s="39">
        <v>1000</v>
      </c>
      <c r="J165" s="39">
        <v>38640.9</v>
      </c>
      <c r="K165" s="1081">
        <f t="shared" ref="K165" si="92">+A165-D165</f>
        <v>0</v>
      </c>
      <c r="L165" s="879">
        <f>((+B165/A165)-(E165/D165))/(B165/A165)</f>
        <v>-1.0702635777042448E-2</v>
      </c>
    </row>
    <row r="166" spans="1:12" ht="15" thickBot="1" x14ac:dyDescent="0.35">
      <c r="A166" s="875"/>
      <c r="B166" s="1105"/>
      <c r="C166" s="876"/>
      <c r="D166" s="876"/>
      <c r="E166" s="876"/>
      <c r="F166" s="364" t="s">
        <v>5121</v>
      </c>
      <c r="G166" s="364">
        <v>31611</v>
      </c>
      <c r="H166" s="363"/>
      <c r="I166" s="364">
        <v>122</v>
      </c>
      <c r="J166" s="364">
        <v>3807.6</v>
      </c>
      <c r="K166" s="1082"/>
      <c r="L166" s="880"/>
    </row>
    <row r="167" spans="1:12" ht="15" thickBot="1" x14ac:dyDescent="0.35">
      <c r="A167" s="177">
        <v>1418</v>
      </c>
      <c r="B167" s="233">
        <v>62379.5</v>
      </c>
      <c r="C167" s="39" t="s">
        <v>5122</v>
      </c>
      <c r="D167" s="12">
        <f t="shared" ref="D167:E176" si="93">+I167</f>
        <v>1418</v>
      </c>
      <c r="E167" s="12">
        <f t="shared" si="93"/>
        <v>64204.4</v>
      </c>
      <c r="F167" s="39" t="s">
        <v>5123</v>
      </c>
      <c r="G167" s="39">
        <v>31621</v>
      </c>
      <c r="H167" s="40"/>
      <c r="I167" s="39">
        <v>1418</v>
      </c>
      <c r="J167" s="39">
        <v>64204.4</v>
      </c>
      <c r="K167" s="120">
        <f t="shared" ref="K167:K171" si="94">+A167-D167</f>
        <v>0</v>
      </c>
      <c r="L167" s="31">
        <f t="shared" ref="L167:L171" si="95">((+B167/A167)-(E167/D167))/(B167/A167)</f>
        <v>-2.9254803260686652E-2</v>
      </c>
    </row>
    <row r="168" spans="1:12" ht="15" thickBot="1" x14ac:dyDescent="0.35">
      <c r="A168" s="178">
        <v>400</v>
      </c>
      <c r="B168" s="232">
        <v>17453.5</v>
      </c>
      <c r="C168" s="45" t="s">
        <v>5124</v>
      </c>
      <c r="D168" s="8">
        <f t="shared" si="93"/>
        <v>400</v>
      </c>
      <c r="E168" s="8">
        <f t="shared" si="93"/>
        <v>17510.599999999999</v>
      </c>
      <c r="F168" s="45" t="s">
        <v>5125</v>
      </c>
      <c r="G168" s="45">
        <v>31631</v>
      </c>
      <c r="H168" s="14"/>
      <c r="I168" s="45">
        <v>400</v>
      </c>
      <c r="J168" s="45">
        <v>17510.599999999999</v>
      </c>
      <c r="K168" s="120">
        <f t="shared" si="94"/>
        <v>0</v>
      </c>
      <c r="L168" s="31">
        <f t="shared" si="95"/>
        <v>-3.2715501188873173E-3</v>
      </c>
    </row>
    <row r="169" spans="1:12" ht="15" thickBot="1" x14ac:dyDescent="0.35">
      <c r="A169" s="178">
        <v>360</v>
      </c>
      <c r="B169" s="232">
        <v>15706.75</v>
      </c>
      <c r="C169" s="45" t="s">
        <v>5126</v>
      </c>
      <c r="D169" s="8">
        <f t="shared" si="93"/>
        <v>360</v>
      </c>
      <c r="E169" s="8">
        <f t="shared" si="93"/>
        <v>16114.199999999999</v>
      </c>
      <c r="F169" s="45" t="s">
        <v>5127</v>
      </c>
      <c r="G169" s="45">
        <v>31641</v>
      </c>
      <c r="H169" s="14"/>
      <c r="I169" s="45">
        <v>360</v>
      </c>
      <c r="J169" s="45">
        <v>16114.199999999999</v>
      </c>
      <c r="K169" s="120">
        <f t="shared" si="94"/>
        <v>0</v>
      </c>
      <c r="L169" s="31">
        <f t="shared" si="95"/>
        <v>-2.5941076288856613E-2</v>
      </c>
    </row>
    <row r="170" spans="1:12" ht="15" thickBot="1" x14ac:dyDescent="0.35">
      <c r="A170" s="178">
        <v>1189</v>
      </c>
      <c r="B170" s="232">
        <v>52516.5</v>
      </c>
      <c r="C170" s="45" t="s">
        <v>5128</v>
      </c>
      <c r="D170" s="8">
        <f t="shared" si="93"/>
        <v>1136</v>
      </c>
      <c r="E170" s="8">
        <f t="shared" si="93"/>
        <v>51683.3</v>
      </c>
      <c r="F170" s="45" t="s">
        <v>5129</v>
      </c>
      <c r="G170" s="45">
        <v>31651</v>
      </c>
      <c r="H170" s="14"/>
      <c r="I170" s="45">
        <v>1136</v>
      </c>
      <c r="J170" s="45">
        <v>51683.3</v>
      </c>
      <c r="K170" s="120">
        <f t="shared" si="94"/>
        <v>53</v>
      </c>
      <c r="L170" s="31">
        <f t="shared" si="95"/>
        <v>-3.0049236370112049E-2</v>
      </c>
    </row>
    <row r="171" spans="1:12" ht="15" thickBot="1" x14ac:dyDescent="0.35">
      <c r="A171" s="178">
        <v>1147</v>
      </c>
      <c r="B171" s="232">
        <v>50759.25</v>
      </c>
      <c r="C171" s="45" t="s">
        <v>5130</v>
      </c>
      <c r="D171" s="8">
        <f>+I171+353</f>
        <v>1147</v>
      </c>
      <c r="E171" s="8">
        <f>+J171+16073.5</f>
        <v>51991.8</v>
      </c>
      <c r="F171" s="45" t="s">
        <v>5131</v>
      </c>
      <c r="G171" s="45">
        <v>31661</v>
      </c>
      <c r="H171" s="14"/>
      <c r="I171" s="45">
        <v>794</v>
      </c>
      <c r="J171" s="45">
        <v>35918.300000000003</v>
      </c>
      <c r="K171" s="120">
        <f t="shared" si="94"/>
        <v>0</v>
      </c>
      <c r="L171" s="31">
        <f t="shared" si="95"/>
        <v>-2.428227367425647E-2</v>
      </c>
    </row>
    <row r="172" spans="1:12" ht="15" thickBot="1" x14ac:dyDescent="0.35">
      <c r="A172" s="376">
        <v>2490</v>
      </c>
      <c r="B172" s="233">
        <v>106898.25</v>
      </c>
      <c r="C172" s="45" t="s">
        <v>5250</v>
      </c>
      <c r="D172" s="372">
        <v>2490</v>
      </c>
      <c r="E172" s="372">
        <v>107724.7</v>
      </c>
      <c r="F172" s="45" t="s">
        <v>5251</v>
      </c>
      <c r="G172" s="45">
        <v>31671</v>
      </c>
      <c r="H172" s="40"/>
      <c r="I172" s="378"/>
      <c r="J172" s="378"/>
      <c r="K172" s="120">
        <f t="shared" ref="K172" si="96">+A172-D172</f>
        <v>0</v>
      </c>
      <c r="L172" s="31">
        <f t="shared" ref="L172" si="97">((+B172/A172)-(E172/D172))/(B172/A172)</f>
        <v>-7.7311836255504786E-3</v>
      </c>
    </row>
    <row r="173" spans="1:12" ht="15" thickBot="1" x14ac:dyDescent="0.35">
      <c r="A173" s="177">
        <v>1064</v>
      </c>
      <c r="B173" s="233">
        <v>45946.75</v>
      </c>
      <c r="C173" s="39" t="s">
        <v>5132</v>
      </c>
      <c r="D173" s="12">
        <f t="shared" si="93"/>
        <v>1064</v>
      </c>
      <c r="E173" s="12">
        <f t="shared" si="93"/>
        <v>47478.3</v>
      </c>
      <c r="F173" s="39" t="s">
        <v>5133</v>
      </c>
      <c r="G173" s="39">
        <v>31691</v>
      </c>
      <c r="H173" s="40"/>
      <c r="I173" s="39">
        <v>1064</v>
      </c>
      <c r="J173" s="39">
        <v>47478.3</v>
      </c>
      <c r="K173" s="120">
        <f t="shared" ref="K173" si="98">+A173-D173</f>
        <v>0</v>
      </c>
      <c r="L173" s="31">
        <f t="shared" ref="L173" si="99">((+B173/A173)-(E173/D173))/(B173/A173)</f>
        <v>-3.3333151963958287E-2</v>
      </c>
    </row>
    <row r="174" spans="1:12" x14ac:dyDescent="0.3">
      <c r="A174" s="871">
        <v>1123</v>
      </c>
      <c r="B174" s="964">
        <v>49079.5</v>
      </c>
      <c r="C174" s="873" t="s">
        <v>5134</v>
      </c>
      <c r="D174" s="873">
        <f>+I174+I175</f>
        <v>1123</v>
      </c>
      <c r="E174" s="873">
        <f>+J174+J175</f>
        <v>50971.200000000004</v>
      </c>
      <c r="F174" s="39" t="s">
        <v>5135</v>
      </c>
      <c r="G174" s="39">
        <v>31701</v>
      </c>
      <c r="H174" s="39"/>
      <c r="I174" s="39">
        <v>97</v>
      </c>
      <c r="J174" s="39">
        <v>4346.8</v>
      </c>
      <c r="K174" s="1081">
        <f t="shared" ref="K174" si="100">+A174-D174</f>
        <v>0</v>
      </c>
      <c r="L174" s="879">
        <f>((+B174/A174)-(E174/D174))/(B174/A174)</f>
        <v>-3.8543587444860014E-2</v>
      </c>
    </row>
    <row r="175" spans="1:12" ht="15" thickBot="1" x14ac:dyDescent="0.35">
      <c r="A175" s="872"/>
      <c r="B175" s="965"/>
      <c r="C175" s="874"/>
      <c r="D175" s="874"/>
      <c r="E175" s="874"/>
      <c r="F175" s="42" t="s">
        <v>5135</v>
      </c>
      <c r="G175" s="42">
        <v>31701</v>
      </c>
      <c r="H175" s="42"/>
      <c r="I175" s="42">
        <v>1026</v>
      </c>
      <c r="J175" s="42">
        <v>46624.4</v>
      </c>
      <c r="K175" s="1082"/>
      <c r="L175" s="880"/>
    </row>
    <row r="176" spans="1:12" ht="15" thickBot="1" x14ac:dyDescent="0.35">
      <c r="A176" s="212">
        <v>256</v>
      </c>
      <c r="B176" s="365">
        <v>11391</v>
      </c>
      <c r="C176" s="364" t="s">
        <v>5136</v>
      </c>
      <c r="D176" s="362">
        <f t="shared" si="93"/>
        <v>256</v>
      </c>
      <c r="E176" s="362">
        <f t="shared" si="93"/>
        <v>11562.099999999999</v>
      </c>
      <c r="F176" s="364" t="s">
        <v>5137</v>
      </c>
      <c r="G176" s="364">
        <v>31711</v>
      </c>
      <c r="H176" s="363"/>
      <c r="I176" s="364">
        <v>256</v>
      </c>
      <c r="J176" s="364">
        <v>11562.099999999999</v>
      </c>
      <c r="K176" s="120">
        <f t="shared" ref="K176:K178" si="101">+A176-D176</f>
        <v>0</v>
      </c>
      <c r="L176" s="31">
        <f t="shared" ref="L176:L178" si="102">((+B176/A176)-(E176/D176))/(B176/A176)</f>
        <v>-1.5020630322184052E-2</v>
      </c>
    </row>
    <row r="177" spans="1:12" ht="15" thickBot="1" x14ac:dyDescent="0.35">
      <c r="A177" s="178">
        <v>75</v>
      </c>
      <c r="B177" s="232">
        <v>2980.75</v>
      </c>
      <c r="C177" s="8" t="s">
        <v>5138</v>
      </c>
      <c r="D177" s="8">
        <f>+I177</f>
        <v>75</v>
      </c>
      <c r="E177" s="8">
        <f>+J177</f>
        <v>3025.8</v>
      </c>
      <c r="F177" s="45" t="s">
        <v>5139</v>
      </c>
      <c r="G177" s="45">
        <v>31721</v>
      </c>
      <c r="H177" s="14"/>
      <c r="I177" s="45">
        <v>75</v>
      </c>
      <c r="J177" s="45">
        <v>3025.8</v>
      </c>
      <c r="K177" s="120">
        <f t="shared" si="101"/>
        <v>0</v>
      </c>
      <c r="L177" s="31">
        <f t="shared" si="102"/>
        <v>-1.5113645894489698E-2</v>
      </c>
    </row>
    <row r="178" spans="1:12" ht="15" thickBot="1" x14ac:dyDescent="0.35">
      <c r="A178" s="178">
        <v>815</v>
      </c>
      <c r="B178" s="195">
        <v>35667.25</v>
      </c>
      <c r="C178" s="8" t="s">
        <v>5140</v>
      </c>
      <c r="D178" s="8">
        <f>+I178</f>
        <v>815</v>
      </c>
      <c r="E178" s="8">
        <f>+J178</f>
        <v>36945.799999999996</v>
      </c>
      <c r="F178" s="45" t="s">
        <v>5141</v>
      </c>
      <c r="G178" s="45">
        <v>31731</v>
      </c>
      <c r="H178" s="45"/>
      <c r="I178" s="45">
        <v>815</v>
      </c>
      <c r="J178" s="45">
        <v>36945.799999999996</v>
      </c>
      <c r="K178" s="120">
        <f t="shared" si="101"/>
        <v>0</v>
      </c>
      <c r="L178" s="31">
        <f t="shared" si="102"/>
        <v>-3.5846609985350518E-2</v>
      </c>
    </row>
    <row r="179" spans="1:12" ht="15" thickBot="1" x14ac:dyDescent="0.35">
      <c r="A179" s="178">
        <v>81</v>
      </c>
      <c r="B179" s="195">
        <v>3380</v>
      </c>
      <c r="C179" s="8" t="s">
        <v>5252</v>
      </c>
      <c r="D179" s="8">
        <f t="shared" ref="D179:E181" si="103">+I179</f>
        <v>80</v>
      </c>
      <c r="E179" s="8">
        <f t="shared" si="103"/>
        <v>3343.4</v>
      </c>
      <c r="F179" s="45" t="s">
        <v>5253</v>
      </c>
      <c r="G179" s="45">
        <v>31741</v>
      </c>
      <c r="H179" s="45"/>
      <c r="I179" s="45">
        <v>80</v>
      </c>
      <c r="J179" s="45">
        <v>3343.4</v>
      </c>
      <c r="K179" s="120">
        <f t="shared" ref="K179:K182" si="104">+A179-D179</f>
        <v>1</v>
      </c>
      <c r="L179" s="31">
        <f t="shared" ref="L179:L182" si="105">((+B179/A179)-(E179/D179))/(B179/A179)</f>
        <v>-1.5362426035504628E-3</v>
      </c>
    </row>
    <row r="180" spans="1:12" ht="15" thickBot="1" x14ac:dyDescent="0.35">
      <c r="A180" s="377">
        <v>166</v>
      </c>
      <c r="B180" s="346">
        <v>6758</v>
      </c>
      <c r="C180" s="373" t="s">
        <v>5254</v>
      </c>
      <c r="D180" s="8">
        <f t="shared" si="103"/>
        <v>166</v>
      </c>
      <c r="E180" s="8">
        <f t="shared" si="103"/>
        <v>6991.6</v>
      </c>
      <c r="F180" s="379" t="s">
        <v>5255</v>
      </c>
      <c r="G180" s="379">
        <v>31761</v>
      </c>
      <c r="H180" s="379"/>
      <c r="I180" s="379">
        <v>166</v>
      </c>
      <c r="J180" s="379">
        <v>6991.6</v>
      </c>
      <c r="K180" s="120">
        <f t="shared" si="104"/>
        <v>0</v>
      </c>
      <c r="L180" s="31">
        <f t="shared" si="105"/>
        <v>-3.4566439775081358E-2</v>
      </c>
    </row>
    <row r="181" spans="1:12" ht="15" thickBot="1" x14ac:dyDescent="0.35">
      <c r="A181" s="178">
        <v>331</v>
      </c>
      <c r="B181" s="232">
        <v>16666.88</v>
      </c>
      <c r="C181" s="45" t="s">
        <v>5256</v>
      </c>
      <c r="D181" s="8">
        <f t="shared" si="103"/>
        <v>331</v>
      </c>
      <c r="E181" s="8">
        <f t="shared" si="103"/>
        <v>16823.7</v>
      </c>
      <c r="F181" s="45" t="s">
        <v>5257</v>
      </c>
      <c r="G181" s="45">
        <v>31771</v>
      </c>
      <c r="H181" s="14"/>
      <c r="I181" s="45">
        <v>331</v>
      </c>
      <c r="J181" s="45">
        <v>16823.7</v>
      </c>
      <c r="K181" s="120">
        <f t="shared" si="104"/>
        <v>0</v>
      </c>
      <c r="L181" s="31">
        <f t="shared" si="105"/>
        <v>-9.4090795637815638E-3</v>
      </c>
    </row>
    <row r="182" spans="1:12" ht="15" thickBot="1" x14ac:dyDescent="0.35">
      <c r="A182" s="178">
        <v>838</v>
      </c>
      <c r="B182" s="232">
        <v>33677</v>
      </c>
      <c r="C182" s="45" t="s">
        <v>5258</v>
      </c>
      <c r="D182" s="8">
        <v>839</v>
      </c>
      <c r="E182" s="8">
        <v>34982.1</v>
      </c>
      <c r="F182" s="45" t="s">
        <v>5259</v>
      </c>
      <c r="G182" s="45">
        <v>31791</v>
      </c>
      <c r="H182" s="14"/>
      <c r="I182" s="45">
        <v>88</v>
      </c>
      <c r="J182" s="45">
        <v>3776.9</v>
      </c>
      <c r="K182" s="120">
        <f t="shared" si="104"/>
        <v>-1</v>
      </c>
      <c r="L182" s="31">
        <f t="shared" si="105"/>
        <v>-3.7515366747616456E-2</v>
      </c>
    </row>
    <row r="183" spans="1:12" ht="15" thickBot="1" x14ac:dyDescent="0.35">
      <c r="A183" s="388">
        <v>353</v>
      </c>
      <c r="B183" s="233">
        <v>14227.25</v>
      </c>
      <c r="C183" s="392" t="s">
        <v>5364</v>
      </c>
      <c r="D183" s="382">
        <f t="shared" ref="D183:E183" si="106">+I183</f>
        <v>353</v>
      </c>
      <c r="E183" s="382">
        <f t="shared" si="106"/>
        <v>14568.3</v>
      </c>
      <c r="F183" s="392" t="s">
        <v>5365</v>
      </c>
      <c r="G183" s="392">
        <v>31811</v>
      </c>
      <c r="H183" s="40"/>
      <c r="I183" s="392">
        <v>353</v>
      </c>
      <c r="J183" s="392">
        <v>14568.3</v>
      </c>
      <c r="K183" s="120">
        <f t="shared" ref="K183:K184" si="107">+A183-D183</f>
        <v>0</v>
      </c>
      <c r="L183" s="31">
        <f t="shared" ref="L183" si="108">((+B183/A183)-(E183/D183))/(B183/A183)</f>
        <v>-2.3971603788504298E-2</v>
      </c>
    </row>
    <row r="184" spans="1:12" x14ac:dyDescent="0.3">
      <c r="A184" s="871">
        <v>804</v>
      </c>
      <c r="B184" s="964">
        <v>34229.25</v>
      </c>
      <c r="C184" s="873" t="s">
        <v>5366</v>
      </c>
      <c r="D184" s="873">
        <f>+I184+I185</f>
        <v>804</v>
      </c>
      <c r="E184" s="873">
        <f>+J184+J185</f>
        <v>34876.400000000001</v>
      </c>
      <c r="F184" s="392" t="s">
        <v>5367</v>
      </c>
      <c r="G184" s="392">
        <v>31821</v>
      </c>
      <c r="H184" s="40"/>
      <c r="I184" s="392">
        <v>653</v>
      </c>
      <c r="J184" s="392">
        <v>28294.1</v>
      </c>
      <c r="K184" s="1081">
        <f t="shared" si="107"/>
        <v>0</v>
      </c>
      <c r="L184" s="879">
        <f>((+B184/A184)-(E184/D184))/(B184/A184)</f>
        <v>-1.8906344719793657E-2</v>
      </c>
    </row>
    <row r="185" spans="1:12" ht="15" thickBot="1" x14ac:dyDescent="0.35">
      <c r="A185" s="872"/>
      <c r="B185" s="965"/>
      <c r="C185" s="874"/>
      <c r="D185" s="874"/>
      <c r="E185" s="874"/>
      <c r="F185" s="393" t="s">
        <v>5367</v>
      </c>
      <c r="G185" s="393">
        <v>31821</v>
      </c>
      <c r="H185" s="394"/>
      <c r="I185" s="393">
        <v>151</v>
      </c>
      <c r="J185" s="393">
        <v>6582.3</v>
      </c>
      <c r="K185" s="1082"/>
      <c r="L185" s="880"/>
    </row>
    <row r="186" spans="1:12" ht="15" thickBot="1" x14ac:dyDescent="0.35">
      <c r="A186" s="388">
        <v>171</v>
      </c>
      <c r="B186" s="233">
        <v>7302.25</v>
      </c>
      <c r="C186" s="392" t="s">
        <v>5368</v>
      </c>
      <c r="D186" s="382">
        <f t="shared" ref="D186:E186" si="109">+I186</f>
        <v>171</v>
      </c>
      <c r="E186" s="382">
        <f t="shared" si="109"/>
        <v>7334.5</v>
      </c>
      <c r="F186" s="392" t="s">
        <v>5369</v>
      </c>
      <c r="G186" s="392">
        <v>31831</v>
      </c>
      <c r="H186" s="40"/>
      <c r="I186" s="392">
        <v>171</v>
      </c>
      <c r="J186" s="392">
        <v>7334.5</v>
      </c>
      <c r="K186" s="120">
        <f t="shared" ref="K186" si="110">+A186-D186</f>
        <v>0</v>
      </c>
      <c r="L186" s="31">
        <f t="shared" ref="L186" si="111">((+B186/A186)-(E186/D186))/(B186/A186)</f>
        <v>-4.4164469855181212E-3</v>
      </c>
    </row>
    <row r="187" spans="1:12" x14ac:dyDescent="0.3">
      <c r="A187" s="871">
        <v>825</v>
      </c>
      <c r="B187" s="964">
        <v>37459.75</v>
      </c>
      <c r="C187" s="873" t="s">
        <v>5370</v>
      </c>
      <c r="D187" s="873">
        <f>+I187+I188+I189</f>
        <v>825</v>
      </c>
      <c r="E187" s="873">
        <f>+J187+J188+J189</f>
        <v>38505.899999999994</v>
      </c>
      <c r="F187" s="392" t="s">
        <v>5371</v>
      </c>
      <c r="G187" s="392">
        <v>31841</v>
      </c>
      <c r="H187" s="392"/>
      <c r="I187" s="392">
        <v>79</v>
      </c>
      <c r="J187" s="392">
        <v>3741.8</v>
      </c>
      <c r="K187" s="1081">
        <f t="shared" ref="K187" si="112">+A187-D187</f>
        <v>0</v>
      </c>
      <c r="L187" s="879">
        <f>((+B187/A187)-(E187/D187))/(B187/A187)</f>
        <v>-2.7927308644611772E-2</v>
      </c>
    </row>
    <row r="188" spans="1:12" x14ac:dyDescent="0.3">
      <c r="A188" s="875"/>
      <c r="B188" s="966"/>
      <c r="C188" s="881"/>
      <c r="D188" s="881"/>
      <c r="E188" s="881"/>
      <c r="F188" s="50" t="s">
        <v>5371</v>
      </c>
      <c r="G188" s="50">
        <v>31841</v>
      </c>
      <c r="H188" s="50"/>
      <c r="I188" s="50">
        <v>199</v>
      </c>
      <c r="J188" s="50">
        <v>9262.4</v>
      </c>
      <c r="K188" s="1083"/>
      <c r="L188" s="885"/>
    </row>
    <row r="189" spans="1:12" ht="15" thickBot="1" x14ac:dyDescent="0.35">
      <c r="A189" s="872"/>
      <c r="B189" s="965"/>
      <c r="C189" s="874"/>
      <c r="D189" s="874"/>
      <c r="E189" s="874"/>
      <c r="F189" s="393" t="s">
        <v>5371</v>
      </c>
      <c r="G189" s="393">
        <v>31841</v>
      </c>
      <c r="H189" s="393"/>
      <c r="I189" s="393">
        <v>547</v>
      </c>
      <c r="J189" s="393">
        <v>25501.699999999997</v>
      </c>
      <c r="K189" s="1082"/>
      <c r="L189" s="880"/>
    </row>
    <row r="190" spans="1:12" ht="15" thickBot="1" x14ac:dyDescent="0.35">
      <c r="A190" s="178">
        <v>190</v>
      </c>
      <c r="B190" s="232">
        <v>7785.75</v>
      </c>
      <c r="C190" s="45" t="s">
        <v>5372</v>
      </c>
      <c r="D190" s="8">
        <f t="shared" ref="D190:E194" si="113">+I190</f>
        <v>190</v>
      </c>
      <c r="E190" s="8">
        <f t="shared" si="113"/>
        <v>7821.4</v>
      </c>
      <c r="F190" s="45" t="s">
        <v>5373</v>
      </c>
      <c r="G190" s="45">
        <v>31851</v>
      </c>
      <c r="H190" s="14"/>
      <c r="I190" s="45">
        <v>190</v>
      </c>
      <c r="J190" s="45">
        <v>7821.4</v>
      </c>
      <c r="K190" s="120">
        <f t="shared" ref="K190" si="114">+A190-D190</f>
        <v>0</v>
      </c>
      <c r="L190" s="31">
        <f t="shared" ref="L190" si="115">((+B190/A190)-(E190/D190))/(B190/A190)</f>
        <v>-4.5788780785409123E-3</v>
      </c>
    </row>
    <row r="191" spans="1:12" ht="15" thickBot="1" x14ac:dyDescent="0.35">
      <c r="A191" s="178">
        <v>555</v>
      </c>
      <c r="B191" s="232">
        <v>24850.75</v>
      </c>
      <c r="C191" s="45" t="s">
        <v>5382</v>
      </c>
      <c r="D191" s="8">
        <f t="shared" si="113"/>
        <v>555</v>
      </c>
      <c r="E191" s="8">
        <f t="shared" si="113"/>
        <v>25456.300000000003</v>
      </c>
      <c r="F191" s="45" t="s">
        <v>5383</v>
      </c>
      <c r="G191" s="45">
        <v>31861</v>
      </c>
      <c r="H191" s="14"/>
      <c r="I191" s="45">
        <v>555</v>
      </c>
      <c r="J191" s="45">
        <v>25456.300000000003</v>
      </c>
      <c r="K191" s="120">
        <f t="shared" ref="K191:K195" si="116">+A191-D191</f>
        <v>0</v>
      </c>
      <c r="L191" s="31">
        <f t="shared" ref="L191:L194" si="117">((+B191/A191)-(E191/D191))/(B191/A191)</f>
        <v>-2.4367473818697728E-2</v>
      </c>
    </row>
    <row r="192" spans="1:12" ht="15" thickBot="1" x14ac:dyDescent="0.35">
      <c r="A192" s="178">
        <v>105</v>
      </c>
      <c r="B192" s="232">
        <v>4336.25</v>
      </c>
      <c r="C192" s="45" t="s">
        <v>5384</v>
      </c>
      <c r="D192" s="8">
        <f t="shared" si="113"/>
        <v>105</v>
      </c>
      <c r="E192" s="8">
        <f t="shared" si="113"/>
        <v>4343.8999999999996</v>
      </c>
      <c r="F192" s="45" t="s">
        <v>5385</v>
      </c>
      <c r="G192" s="45">
        <v>31871</v>
      </c>
      <c r="H192" s="14"/>
      <c r="I192" s="45">
        <v>105</v>
      </c>
      <c r="J192" s="45">
        <v>4343.8999999999996</v>
      </c>
      <c r="K192" s="120">
        <f t="shared" si="116"/>
        <v>0</v>
      </c>
      <c r="L192" s="31">
        <f t="shared" si="117"/>
        <v>-1.7641971749782746E-3</v>
      </c>
    </row>
    <row r="193" spans="1:12" ht="15" thickBot="1" x14ac:dyDescent="0.35">
      <c r="A193" s="178">
        <v>103</v>
      </c>
      <c r="B193" s="232">
        <v>4235.1000000000004</v>
      </c>
      <c r="C193" s="45" t="s">
        <v>5386</v>
      </c>
      <c r="D193" s="8">
        <f t="shared" si="113"/>
        <v>103</v>
      </c>
      <c r="E193" s="8">
        <f t="shared" si="113"/>
        <v>4160</v>
      </c>
      <c r="F193" s="45" t="s">
        <v>5387</v>
      </c>
      <c r="G193" s="45">
        <v>31881</v>
      </c>
      <c r="H193" s="14"/>
      <c r="I193" s="45">
        <v>103</v>
      </c>
      <c r="J193" s="45">
        <v>4160</v>
      </c>
      <c r="K193" s="120">
        <f t="shared" si="116"/>
        <v>0</v>
      </c>
      <c r="L193" s="31">
        <f t="shared" si="117"/>
        <v>1.7732757195815869E-2</v>
      </c>
    </row>
    <row r="194" spans="1:12" ht="15" thickBot="1" x14ac:dyDescent="0.35">
      <c r="A194" s="178">
        <v>759</v>
      </c>
      <c r="B194" s="232">
        <v>33267.5</v>
      </c>
      <c r="C194" s="45" t="s">
        <v>5388</v>
      </c>
      <c r="D194" s="8">
        <f t="shared" si="113"/>
        <v>759</v>
      </c>
      <c r="E194" s="8">
        <f t="shared" si="113"/>
        <v>33579.799999999996</v>
      </c>
      <c r="F194" s="45" t="s">
        <v>5389</v>
      </c>
      <c r="G194" s="45">
        <v>31891</v>
      </c>
      <c r="H194" s="14"/>
      <c r="I194" s="45">
        <v>759</v>
      </c>
      <c r="J194" s="45">
        <v>33579.799999999996</v>
      </c>
      <c r="K194" s="120">
        <f t="shared" si="116"/>
        <v>0</v>
      </c>
      <c r="L194" s="31">
        <f t="shared" si="117"/>
        <v>-9.3875403922745928E-3</v>
      </c>
    </row>
    <row r="195" spans="1:12" x14ac:dyDescent="0.3">
      <c r="A195" s="871">
        <v>600</v>
      </c>
      <c r="B195" s="964">
        <v>26925.75</v>
      </c>
      <c r="C195" s="873" t="s">
        <v>5390</v>
      </c>
      <c r="D195" s="873">
        <f>+I195+I196</f>
        <v>600</v>
      </c>
      <c r="E195" s="873">
        <f>+J195+J196</f>
        <v>27048</v>
      </c>
      <c r="F195" s="400" t="s">
        <v>5391</v>
      </c>
      <c r="G195" s="400">
        <v>31901</v>
      </c>
      <c r="H195" s="40"/>
      <c r="I195" s="400">
        <v>200</v>
      </c>
      <c r="J195" s="400">
        <v>8936.9</v>
      </c>
      <c r="K195" s="1081">
        <f t="shared" si="116"/>
        <v>0</v>
      </c>
      <c r="L195" s="879">
        <f>((+B195/A195)-(E195/D195))/(B195/A195)</f>
        <v>-4.5402635024093911E-3</v>
      </c>
    </row>
    <row r="196" spans="1:12" ht="15" thickBot="1" x14ac:dyDescent="0.35">
      <c r="A196" s="872"/>
      <c r="B196" s="965"/>
      <c r="C196" s="874"/>
      <c r="D196" s="874"/>
      <c r="E196" s="874"/>
      <c r="F196" s="401" t="s">
        <v>5391</v>
      </c>
      <c r="G196" s="401">
        <v>31901</v>
      </c>
      <c r="H196" s="402"/>
      <c r="I196" s="401">
        <v>400</v>
      </c>
      <c r="J196" s="401">
        <v>18111.099999999999</v>
      </c>
      <c r="K196" s="1082"/>
      <c r="L196" s="880"/>
    </row>
    <row r="197" spans="1:12" ht="15" thickBot="1" x14ac:dyDescent="0.35">
      <c r="A197" s="178">
        <v>500</v>
      </c>
      <c r="B197" s="232">
        <v>22457.5</v>
      </c>
      <c r="C197" s="45" t="s">
        <v>5392</v>
      </c>
      <c r="D197" s="8">
        <v>500</v>
      </c>
      <c r="E197" s="8">
        <v>23017.599999999999</v>
      </c>
      <c r="F197" s="45" t="s">
        <v>5393</v>
      </c>
      <c r="G197" s="45">
        <v>31911</v>
      </c>
      <c r="H197" s="14"/>
      <c r="I197" s="45">
        <v>410</v>
      </c>
      <c r="J197" s="45">
        <v>19042.900000000001</v>
      </c>
      <c r="K197" s="120">
        <f t="shared" ref="K197:K199" si="118">+A197-D197</f>
        <v>0</v>
      </c>
      <c r="L197" s="31">
        <f t="shared" ref="L197:L198" si="119">((+B197/A197)-(E197/D197))/(B197/A197)</f>
        <v>-2.4940443059111587E-2</v>
      </c>
    </row>
    <row r="198" spans="1:12" ht="15" thickBot="1" x14ac:dyDescent="0.35">
      <c r="A198" s="178">
        <v>220</v>
      </c>
      <c r="B198" s="232">
        <v>9158.2000000000007</v>
      </c>
      <c r="C198" s="45" t="s">
        <v>5394</v>
      </c>
      <c r="D198" s="8">
        <f t="shared" ref="D198:E198" si="120">+I198</f>
        <v>218</v>
      </c>
      <c r="E198" s="8">
        <f t="shared" si="120"/>
        <v>8966.6</v>
      </c>
      <c r="F198" s="45" t="s">
        <v>5395</v>
      </c>
      <c r="G198" s="45">
        <v>31921</v>
      </c>
      <c r="H198" s="14"/>
      <c r="I198" s="45">
        <v>218</v>
      </c>
      <c r="J198" s="45">
        <v>8966.6</v>
      </c>
      <c r="K198" s="120">
        <f t="shared" si="118"/>
        <v>2</v>
      </c>
      <c r="L198" s="31">
        <f t="shared" si="119"/>
        <v>1.1938766862363729E-2</v>
      </c>
    </row>
    <row r="199" spans="1:12" x14ac:dyDescent="0.3">
      <c r="A199" s="871">
        <v>408</v>
      </c>
      <c r="B199" s="964">
        <v>18417.25</v>
      </c>
      <c r="C199" s="873" t="s">
        <v>5396</v>
      </c>
      <c r="D199" s="873">
        <f>+I199+I200</f>
        <v>408</v>
      </c>
      <c r="E199" s="873">
        <f>+J199+J200</f>
        <v>18506.400000000001</v>
      </c>
      <c r="F199" s="400" t="s">
        <v>5397</v>
      </c>
      <c r="G199" s="400">
        <v>31931</v>
      </c>
      <c r="H199" s="40"/>
      <c r="I199" s="400">
        <v>200</v>
      </c>
      <c r="J199" s="400">
        <v>9046.4</v>
      </c>
      <c r="K199" s="1081">
        <f t="shared" si="118"/>
        <v>0</v>
      </c>
      <c r="L199" s="879">
        <f>((+B199/A199)-(E199/D199))/(B199/A199)</f>
        <v>-4.8405706606578121E-3</v>
      </c>
    </row>
    <row r="200" spans="1:12" ht="15" thickBot="1" x14ac:dyDescent="0.35">
      <c r="A200" s="872"/>
      <c r="B200" s="965"/>
      <c r="C200" s="874"/>
      <c r="D200" s="874"/>
      <c r="E200" s="874"/>
      <c r="F200" s="401" t="s">
        <v>5397</v>
      </c>
      <c r="G200" s="401">
        <v>31931</v>
      </c>
      <c r="H200" s="402"/>
      <c r="I200" s="401">
        <v>208</v>
      </c>
      <c r="J200" s="401">
        <v>9460</v>
      </c>
      <c r="K200" s="1082"/>
      <c r="L200" s="880"/>
    </row>
    <row r="201" spans="1:12" ht="15" thickBot="1" x14ac:dyDescent="0.35">
      <c r="A201" s="178">
        <v>616</v>
      </c>
      <c r="B201" s="232">
        <v>26512</v>
      </c>
      <c r="C201" s="45" t="s">
        <v>5398</v>
      </c>
      <c r="D201" s="8">
        <f t="shared" ref="D201:E202" si="121">+I201</f>
        <v>616</v>
      </c>
      <c r="E201" s="8">
        <f t="shared" si="121"/>
        <v>26686</v>
      </c>
      <c r="F201" s="45" t="s">
        <v>5399</v>
      </c>
      <c r="G201" s="45">
        <v>31941</v>
      </c>
      <c r="H201" s="14"/>
      <c r="I201" s="45">
        <v>616</v>
      </c>
      <c r="J201" s="45">
        <v>26686</v>
      </c>
      <c r="K201" s="120">
        <f t="shared" ref="K201:K204" si="122">+A201-D201</f>
        <v>0</v>
      </c>
      <c r="L201" s="31">
        <f t="shared" ref="L201:L203" si="123">((+B201/A201)-(E201/D201))/(B201/A201)</f>
        <v>-6.5630657815327941E-3</v>
      </c>
    </row>
    <row r="202" spans="1:12" ht="15" thickBot="1" x14ac:dyDescent="0.35">
      <c r="A202" s="178">
        <v>986</v>
      </c>
      <c r="B202" s="232">
        <v>40523.25</v>
      </c>
      <c r="C202" s="45" t="s">
        <v>5400</v>
      </c>
      <c r="D202" s="8">
        <f t="shared" si="121"/>
        <v>986</v>
      </c>
      <c r="E202" s="8">
        <f t="shared" si="121"/>
        <v>41955.7</v>
      </c>
      <c r="F202" s="45" t="s">
        <v>5401</v>
      </c>
      <c r="G202" s="45">
        <v>31951</v>
      </c>
      <c r="H202" s="14"/>
      <c r="I202" s="45">
        <v>986</v>
      </c>
      <c r="J202" s="45">
        <v>41955.7</v>
      </c>
      <c r="K202" s="120">
        <f t="shared" si="122"/>
        <v>0</v>
      </c>
      <c r="L202" s="31">
        <f t="shared" si="123"/>
        <v>-3.5348842948184085E-2</v>
      </c>
    </row>
    <row r="203" spans="1:12" ht="15" thickBot="1" x14ac:dyDescent="0.35">
      <c r="A203" s="178">
        <v>264</v>
      </c>
      <c r="B203" s="232">
        <v>12055.75</v>
      </c>
      <c r="C203" s="45" t="s">
        <v>5402</v>
      </c>
      <c r="D203" s="8">
        <v>264</v>
      </c>
      <c r="E203" s="8">
        <v>12281.2</v>
      </c>
      <c r="F203" s="45" t="s">
        <v>5403</v>
      </c>
      <c r="G203" s="45">
        <v>31961</v>
      </c>
      <c r="H203" s="14"/>
      <c r="I203" s="45">
        <v>43</v>
      </c>
      <c r="J203" s="45">
        <v>2124.6</v>
      </c>
      <c r="K203" s="120">
        <f t="shared" si="122"/>
        <v>0</v>
      </c>
      <c r="L203" s="31">
        <f t="shared" si="123"/>
        <v>-1.8700620036082475E-2</v>
      </c>
    </row>
    <row r="204" spans="1:12" x14ac:dyDescent="0.3">
      <c r="A204" s="871">
        <v>1391</v>
      </c>
      <c r="B204" s="964">
        <v>62587.5</v>
      </c>
      <c r="C204" s="873" t="s">
        <v>5500</v>
      </c>
      <c r="D204" s="873">
        <f>+I204+I205</f>
        <v>1391</v>
      </c>
      <c r="E204" s="873">
        <f>+J204+J205</f>
        <v>63073.400000000009</v>
      </c>
      <c r="F204" s="413" t="s">
        <v>5501</v>
      </c>
      <c r="G204" s="413">
        <v>31971</v>
      </c>
      <c r="H204" s="40"/>
      <c r="I204" s="413">
        <v>800</v>
      </c>
      <c r="J204" s="413">
        <v>36384.100000000006</v>
      </c>
      <c r="K204" s="1081">
        <f t="shared" si="122"/>
        <v>0</v>
      </c>
      <c r="L204" s="879">
        <f>((+B204/A204)-(E204/D204))/(B204/A204)</f>
        <v>-7.7635310565210558E-3</v>
      </c>
    </row>
    <row r="205" spans="1:12" ht="15" thickBot="1" x14ac:dyDescent="0.35">
      <c r="A205" s="872"/>
      <c r="B205" s="965"/>
      <c r="C205" s="874"/>
      <c r="D205" s="874"/>
      <c r="E205" s="874"/>
      <c r="F205" s="414" t="s">
        <v>5501</v>
      </c>
      <c r="G205" s="414">
        <v>31971</v>
      </c>
      <c r="H205" s="415"/>
      <c r="I205" s="414">
        <v>591</v>
      </c>
      <c r="J205" s="414">
        <v>26689.300000000003</v>
      </c>
      <c r="K205" s="1082"/>
      <c r="L205" s="880"/>
    </row>
    <row r="206" spans="1:12" ht="15" thickBot="1" x14ac:dyDescent="0.35">
      <c r="A206" s="410">
        <v>924</v>
      </c>
      <c r="B206" s="233">
        <v>40107.25</v>
      </c>
      <c r="C206" s="413" t="s">
        <v>5502</v>
      </c>
      <c r="D206" s="404">
        <f>+I206</f>
        <v>924</v>
      </c>
      <c r="E206" s="404">
        <f>+J206</f>
        <v>41512.5</v>
      </c>
      <c r="F206" s="413" t="s">
        <v>5503</v>
      </c>
      <c r="G206" s="413">
        <v>31981</v>
      </c>
      <c r="H206" s="40"/>
      <c r="I206" s="413">
        <v>924</v>
      </c>
      <c r="J206" s="413">
        <v>41512.5</v>
      </c>
      <c r="K206" s="120">
        <f t="shared" ref="K206:K207" si="124">+A206-D206</f>
        <v>0</v>
      </c>
      <c r="L206" s="31">
        <f t="shared" ref="L206" si="125">((+B206/A206)-(E206/D206))/(B206/A206)</f>
        <v>-3.5037306222690467E-2</v>
      </c>
    </row>
    <row r="207" spans="1:12" x14ac:dyDescent="0.3">
      <c r="A207" s="871">
        <v>584</v>
      </c>
      <c r="B207" s="964">
        <v>24811.5</v>
      </c>
      <c r="C207" s="873" t="s">
        <v>5504</v>
      </c>
      <c r="D207" s="873">
        <f>+I207+I208+I209</f>
        <v>584</v>
      </c>
      <c r="E207" s="873">
        <f>+J207+J208+J209</f>
        <v>25806.800000000003</v>
      </c>
      <c r="F207" s="413" t="s">
        <v>5505</v>
      </c>
      <c r="G207" s="413">
        <v>32001</v>
      </c>
      <c r="H207" s="40"/>
      <c r="I207" s="413">
        <v>100</v>
      </c>
      <c r="J207" s="413">
        <v>4671.3</v>
      </c>
      <c r="K207" s="1081">
        <f t="shared" si="124"/>
        <v>0</v>
      </c>
      <c r="L207" s="879">
        <f>((+B207/A207)-(E207/D207))/(B207/A207)</f>
        <v>-4.0114463051407721E-2</v>
      </c>
    </row>
    <row r="208" spans="1:12" x14ac:dyDescent="0.3">
      <c r="A208" s="875"/>
      <c r="B208" s="966"/>
      <c r="C208" s="881"/>
      <c r="D208" s="881"/>
      <c r="E208" s="881"/>
      <c r="F208" s="50" t="s">
        <v>5505</v>
      </c>
      <c r="G208" s="50">
        <v>32001</v>
      </c>
      <c r="I208" s="50">
        <v>207</v>
      </c>
      <c r="J208" s="50">
        <v>8938.1</v>
      </c>
      <c r="K208" s="1083"/>
      <c r="L208" s="885"/>
    </row>
    <row r="209" spans="1:12" ht="15" thickBot="1" x14ac:dyDescent="0.35">
      <c r="A209" s="872"/>
      <c r="B209" s="965"/>
      <c r="C209" s="881"/>
      <c r="D209" s="881"/>
      <c r="E209" s="881"/>
      <c r="F209" s="50" t="s">
        <v>5505</v>
      </c>
      <c r="G209" s="50">
        <v>32001</v>
      </c>
      <c r="I209" s="50">
        <v>277</v>
      </c>
      <c r="J209" s="50">
        <v>12197.400000000001</v>
      </c>
      <c r="K209" s="1082"/>
      <c r="L209" s="880"/>
    </row>
    <row r="210" spans="1:12" x14ac:dyDescent="0.3">
      <c r="A210" s="871">
        <v>1807</v>
      </c>
      <c r="B210" s="964">
        <v>72600</v>
      </c>
      <c r="C210" s="873" t="s">
        <v>5506</v>
      </c>
      <c r="D210" s="873">
        <f>+I210+I211+I212</f>
        <v>1807</v>
      </c>
      <c r="E210" s="873">
        <f>+J210+J211+J212</f>
        <v>74165.600000000006</v>
      </c>
      <c r="F210" s="413" t="s">
        <v>5507</v>
      </c>
      <c r="G210" s="413">
        <v>32011</v>
      </c>
      <c r="H210" s="413"/>
      <c r="I210" s="413">
        <v>751</v>
      </c>
      <c r="J210" s="413">
        <v>30821.599999999999</v>
      </c>
      <c r="K210" s="1081">
        <f t="shared" ref="K210" si="126">+A210-D210</f>
        <v>0</v>
      </c>
      <c r="L210" s="879">
        <f>((+B210/A210)-(E210/D210))/(B210/A210)</f>
        <v>-2.1564738292011186E-2</v>
      </c>
    </row>
    <row r="211" spans="1:12" x14ac:dyDescent="0.3">
      <c r="A211" s="875"/>
      <c r="B211" s="966"/>
      <c r="C211" s="881"/>
      <c r="D211" s="881"/>
      <c r="E211" s="881"/>
      <c r="F211" s="50" t="s">
        <v>5507</v>
      </c>
      <c r="G211" s="50">
        <v>32011</v>
      </c>
      <c r="H211" s="50"/>
      <c r="I211" s="50">
        <v>239</v>
      </c>
      <c r="J211" s="50">
        <v>9759</v>
      </c>
      <c r="K211" s="1083"/>
      <c r="L211" s="885"/>
    </row>
    <row r="212" spans="1:12" ht="15" thickBot="1" x14ac:dyDescent="0.35">
      <c r="A212" s="872"/>
      <c r="B212" s="965"/>
      <c r="C212" s="874"/>
      <c r="D212" s="874"/>
      <c r="E212" s="874"/>
      <c r="F212" s="414" t="s">
        <v>5507</v>
      </c>
      <c r="G212" s="414">
        <v>32012</v>
      </c>
      <c r="H212" s="414"/>
      <c r="I212" s="414">
        <v>817</v>
      </c>
      <c r="J212" s="414">
        <v>33585</v>
      </c>
      <c r="K212" s="1082"/>
      <c r="L212" s="880"/>
    </row>
    <row r="213" spans="1:12" x14ac:dyDescent="0.3">
      <c r="A213" s="871">
        <v>1406</v>
      </c>
      <c r="B213" s="964">
        <v>56970</v>
      </c>
      <c r="C213" s="873" t="s">
        <v>5508</v>
      </c>
      <c r="D213" s="873">
        <f>+I213+I215+I216+I214</f>
        <v>1406</v>
      </c>
      <c r="E213" s="873">
        <f>+J213+J215+J216+J214</f>
        <v>56759.3</v>
      </c>
      <c r="F213" s="50" t="s">
        <v>5509</v>
      </c>
      <c r="G213" s="50">
        <v>32021</v>
      </c>
      <c r="H213" s="50"/>
      <c r="I213" s="50">
        <v>80</v>
      </c>
      <c r="J213" s="50">
        <v>3288.2</v>
      </c>
      <c r="K213" s="1081">
        <f t="shared" ref="K213" si="127">+A213-D213</f>
        <v>0</v>
      </c>
      <c r="L213" s="879">
        <f t="shared" ref="L213" si="128">((+B213/A213)-(E213/D213))/(B213/A213)</f>
        <v>3.6984377742669992E-3</v>
      </c>
    </row>
    <row r="214" spans="1:12" x14ac:dyDescent="0.3">
      <c r="A214" s="875"/>
      <c r="B214" s="966"/>
      <c r="C214" s="881"/>
      <c r="D214" s="881"/>
      <c r="E214" s="881"/>
      <c r="F214" s="50" t="s">
        <v>5509</v>
      </c>
      <c r="G214" s="50">
        <v>32021</v>
      </c>
      <c r="H214" s="50"/>
      <c r="I214" s="50">
        <v>20</v>
      </c>
      <c r="J214" s="50">
        <v>826</v>
      </c>
      <c r="K214" s="1083"/>
      <c r="L214" s="885"/>
    </row>
    <row r="215" spans="1:12" x14ac:dyDescent="0.3">
      <c r="A215" s="875"/>
      <c r="B215" s="966"/>
      <c r="C215" s="881"/>
      <c r="D215" s="881"/>
      <c r="E215" s="881"/>
      <c r="F215" s="50" t="s">
        <v>5509</v>
      </c>
      <c r="G215" s="50">
        <v>32021</v>
      </c>
      <c r="H215" s="50"/>
      <c r="I215" s="50">
        <v>700</v>
      </c>
      <c r="J215" s="50">
        <v>28362.5</v>
      </c>
      <c r="K215" s="1083"/>
      <c r="L215" s="885"/>
    </row>
    <row r="216" spans="1:12" ht="15" thickBot="1" x14ac:dyDescent="0.35">
      <c r="A216" s="872"/>
      <c r="B216" s="965"/>
      <c r="C216" s="874"/>
      <c r="D216" s="874"/>
      <c r="E216" s="874"/>
      <c r="F216" s="414" t="s">
        <v>5509</v>
      </c>
      <c r="G216" s="414">
        <v>32021</v>
      </c>
      <c r="H216" s="414"/>
      <c r="I216" s="414">
        <v>606</v>
      </c>
      <c r="J216" s="414">
        <v>24282.6</v>
      </c>
      <c r="K216" s="1082"/>
      <c r="L216" s="880"/>
    </row>
    <row r="217" spans="1:12" ht="15" thickBot="1" x14ac:dyDescent="0.35">
      <c r="A217" s="178">
        <v>60</v>
      </c>
      <c r="B217" s="195">
        <f>+A217*42.39</f>
        <v>2543.4</v>
      </c>
      <c r="C217" s="45" t="s">
        <v>5420</v>
      </c>
      <c r="D217" s="8">
        <f>+I217</f>
        <v>60</v>
      </c>
      <c r="E217" s="8">
        <f>+J217</f>
        <v>2462.6</v>
      </c>
      <c r="F217" s="45" t="s">
        <v>5421</v>
      </c>
      <c r="G217" s="45">
        <v>102261</v>
      </c>
      <c r="H217" s="45"/>
      <c r="I217" s="45">
        <v>60</v>
      </c>
      <c r="J217" s="45">
        <v>2462.6</v>
      </c>
      <c r="K217" s="120">
        <f t="shared" ref="K217:K218" si="129">+A217-D217</f>
        <v>0</v>
      </c>
      <c r="L217" s="31">
        <f t="shared" ref="L217:L218" si="130">((+B217/A217)-(E217/D217))/(B217/A217)</f>
        <v>3.1768498859794082E-2</v>
      </c>
    </row>
    <row r="218" spans="1:12" ht="15" thickBot="1" x14ac:dyDescent="0.35">
      <c r="A218" s="175">
        <v>1407</v>
      </c>
      <c r="B218" s="242">
        <v>61662.5</v>
      </c>
      <c r="C218" s="8" t="s">
        <v>5510</v>
      </c>
      <c r="D218" s="8">
        <v>1407</v>
      </c>
      <c r="E218" s="8">
        <v>60951</v>
      </c>
      <c r="F218" s="45" t="s">
        <v>5511</v>
      </c>
      <c r="G218" s="46">
        <v>32051</v>
      </c>
      <c r="H218" s="50"/>
      <c r="I218" s="50">
        <v>1030</v>
      </c>
      <c r="J218" s="50">
        <v>44324.3</v>
      </c>
      <c r="K218" s="120">
        <f t="shared" si="129"/>
        <v>0</v>
      </c>
      <c r="L218" s="31">
        <f t="shared" si="130"/>
        <v>1.1538617474153615E-2</v>
      </c>
    </row>
    <row r="219" spans="1:12" ht="15" thickBot="1" x14ac:dyDescent="0.35">
      <c r="A219" s="175">
        <v>326</v>
      </c>
      <c r="B219" s="242">
        <v>13157.5</v>
      </c>
      <c r="C219" s="8" t="s">
        <v>5578</v>
      </c>
      <c r="D219" s="8">
        <f>+I219</f>
        <v>326</v>
      </c>
      <c r="E219" s="8">
        <f>+J219</f>
        <v>13587.3</v>
      </c>
      <c r="F219" s="45" t="s">
        <v>5579</v>
      </c>
      <c r="G219" s="45">
        <v>32071</v>
      </c>
      <c r="H219" s="45"/>
      <c r="I219" s="45">
        <v>326</v>
      </c>
      <c r="J219" s="45">
        <v>13587.3</v>
      </c>
      <c r="K219" s="120">
        <f t="shared" ref="K219:K221" si="131">+A219-D219</f>
        <v>0</v>
      </c>
      <c r="L219" s="31">
        <f t="shared" ref="L219:L220" si="132">((+B219/A219)-(E219/D219))/(B219/A219)</f>
        <v>-3.266577997339927E-2</v>
      </c>
    </row>
    <row r="220" spans="1:12" ht="15" thickBot="1" x14ac:dyDescent="0.35">
      <c r="A220" s="175">
        <v>364</v>
      </c>
      <c r="B220" s="242">
        <v>14651.25</v>
      </c>
      <c r="C220" s="8" t="s">
        <v>5580</v>
      </c>
      <c r="D220" s="8">
        <f>+I220</f>
        <v>364</v>
      </c>
      <c r="E220" s="8">
        <f>+J220</f>
        <v>15041.8</v>
      </c>
      <c r="F220" s="45" t="s">
        <v>5581</v>
      </c>
      <c r="G220" s="45">
        <v>32081</v>
      </c>
      <c r="H220" s="45"/>
      <c r="I220" s="45">
        <v>364</v>
      </c>
      <c r="J220" s="45">
        <v>15041.8</v>
      </c>
      <c r="K220" s="120">
        <f t="shared" si="131"/>
        <v>0</v>
      </c>
      <c r="L220" s="31">
        <f t="shared" si="132"/>
        <v>-2.6656428632369365E-2</v>
      </c>
    </row>
    <row r="221" spans="1:12" x14ac:dyDescent="0.3">
      <c r="A221" s="871">
        <v>1160</v>
      </c>
      <c r="B221" s="964">
        <v>50136</v>
      </c>
      <c r="C221" s="873" t="s">
        <v>5582</v>
      </c>
      <c r="D221" s="873">
        <f>+I221+I222</f>
        <v>1145</v>
      </c>
      <c r="E221" s="873">
        <f>+J221+J222</f>
        <v>51310.9</v>
      </c>
      <c r="F221" s="435" t="s">
        <v>5583</v>
      </c>
      <c r="G221" s="435">
        <v>32091</v>
      </c>
      <c r="H221" s="435"/>
      <c r="I221" s="435">
        <v>298</v>
      </c>
      <c r="J221" s="435">
        <v>13189.9</v>
      </c>
      <c r="K221" s="1081">
        <f t="shared" si="131"/>
        <v>15</v>
      </c>
      <c r="L221" s="879">
        <f>((+B221/A221)-(E221/D221))/(B221/A221)</f>
        <v>-3.6841694521033856E-2</v>
      </c>
    </row>
    <row r="222" spans="1:12" ht="15" thickBot="1" x14ac:dyDescent="0.35">
      <c r="A222" s="872"/>
      <c r="B222" s="965"/>
      <c r="C222" s="874"/>
      <c r="D222" s="874"/>
      <c r="E222" s="874"/>
      <c r="F222" s="436" t="s">
        <v>5583</v>
      </c>
      <c r="G222" s="436">
        <v>32091</v>
      </c>
      <c r="H222" s="436"/>
      <c r="I222" s="436">
        <v>847</v>
      </c>
      <c r="J222" s="436">
        <v>38121</v>
      </c>
      <c r="K222" s="1082"/>
      <c r="L222" s="880"/>
    </row>
    <row r="223" spans="1:12" ht="15" thickBot="1" x14ac:dyDescent="0.35">
      <c r="A223" s="175">
        <v>575</v>
      </c>
      <c r="B223" s="242">
        <v>25315.5</v>
      </c>
      <c r="C223" s="8" t="s">
        <v>5584</v>
      </c>
      <c r="D223" s="8">
        <f>+I223</f>
        <v>573</v>
      </c>
      <c r="E223" s="8">
        <f>+J223</f>
        <v>25429.8</v>
      </c>
      <c r="F223" s="45" t="s">
        <v>5585</v>
      </c>
      <c r="G223" s="45">
        <v>32111</v>
      </c>
      <c r="H223" s="45"/>
      <c r="I223" s="45">
        <v>573</v>
      </c>
      <c r="J223" s="45">
        <v>25429.8</v>
      </c>
      <c r="K223" s="120">
        <f t="shared" ref="K223:K225" si="133">+A223-D223</f>
        <v>2</v>
      </c>
      <c r="L223" s="31">
        <f t="shared" ref="L223:L224" si="134">((+B223/A223)-(E223/D223))/(B223/A223)</f>
        <v>-8.0211810718367627E-3</v>
      </c>
    </row>
    <row r="224" spans="1:12" ht="15" thickBot="1" x14ac:dyDescent="0.35">
      <c r="A224" s="425">
        <v>549</v>
      </c>
      <c r="B224" s="433">
        <v>20120.5</v>
      </c>
      <c r="C224" s="427" t="s">
        <v>5586</v>
      </c>
      <c r="D224" s="427">
        <f t="shared" ref="D224:E224" si="135">+I224</f>
        <v>549</v>
      </c>
      <c r="E224" s="427">
        <f t="shared" si="135"/>
        <v>20372.099999999999</v>
      </c>
      <c r="F224" s="435" t="s">
        <v>5587</v>
      </c>
      <c r="G224" s="435">
        <v>32121</v>
      </c>
      <c r="H224" s="435"/>
      <c r="I224" s="435">
        <v>549</v>
      </c>
      <c r="J224" s="435">
        <v>20372.099999999999</v>
      </c>
      <c r="K224" s="120">
        <f t="shared" si="133"/>
        <v>0</v>
      </c>
      <c r="L224" s="31">
        <f t="shared" si="134"/>
        <v>-1.2504659426952509E-2</v>
      </c>
    </row>
    <row r="225" spans="1:12" x14ac:dyDescent="0.3">
      <c r="A225" s="871">
        <v>731</v>
      </c>
      <c r="B225" s="964">
        <v>32394.75</v>
      </c>
      <c r="C225" s="873" t="s">
        <v>5588</v>
      </c>
      <c r="D225" s="873">
        <f>+I225+I226</f>
        <v>731</v>
      </c>
      <c r="E225" s="873">
        <f>+J225+J226</f>
        <v>32341.8</v>
      </c>
      <c r="F225" s="427" t="s">
        <v>5589</v>
      </c>
      <c r="G225" s="435">
        <v>32131</v>
      </c>
      <c r="H225" s="40"/>
      <c r="I225" s="435">
        <v>448</v>
      </c>
      <c r="J225" s="435">
        <v>19685.599999999999</v>
      </c>
      <c r="K225" s="1081">
        <f t="shared" si="133"/>
        <v>0</v>
      </c>
      <c r="L225" s="879">
        <f>((+B225/A225)-(E225/D225))/(B225/A225)</f>
        <v>1.6345241127033927E-3</v>
      </c>
    </row>
    <row r="226" spans="1:12" ht="15" thickBot="1" x14ac:dyDescent="0.35">
      <c r="A226" s="872"/>
      <c r="B226" s="965"/>
      <c r="C226" s="874"/>
      <c r="D226" s="874"/>
      <c r="E226" s="874"/>
      <c r="F226" s="429" t="s">
        <v>5589</v>
      </c>
      <c r="G226" s="436">
        <v>32131</v>
      </c>
      <c r="H226" s="437"/>
      <c r="I226" s="436">
        <v>283</v>
      </c>
      <c r="J226" s="436">
        <v>12656.2</v>
      </c>
      <c r="K226" s="1082"/>
      <c r="L226" s="880"/>
    </row>
    <row r="227" spans="1:12" ht="15" thickBot="1" x14ac:dyDescent="0.35">
      <c r="A227" s="431">
        <v>400</v>
      </c>
      <c r="B227" s="233">
        <v>14671.75</v>
      </c>
      <c r="C227" s="435" t="s">
        <v>5590</v>
      </c>
      <c r="D227" s="427">
        <f t="shared" ref="D227:E227" si="136">+I227</f>
        <v>400</v>
      </c>
      <c r="E227" s="427">
        <f t="shared" si="136"/>
        <v>14706.4</v>
      </c>
      <c r="F227" s="435" t="s">
        <v>5591</v>
      </c>
      <c r="G227" s="435">
        <v>32141</v>
      </c>
      <c r="H227" s="40"/>
      <c r="I227" s="435">
        <v>400</v>
      </c>
      <c r="J227" s="435">
        <v>14706.4</v>
      </c>
      <c r="K227" s="120">
        <f t="shared" ref="K227:K228" si="137">+A227-D227</f>
        <v>0</v>
      </c>
      <c r="L227" s="31">
        <f t="shared" ref="L227" si="138">((+B227/A227)-(E227/D227))/(B227/A227)</f>
        <v>-2.3616814626748125E-3</v>
      </c>
    </row>
    <row r="228" spans="1:12" x14ac:dyDescent="0.3">
      <c r="A228" s="871">
        <v>2500</v>
      </c>
      <c r="B228" s="964">
        <v>104560.25</v>
      </c>
      <c r="C228" s="873" t="s">
        <v>5592</v>
      </c>
      <c r="D228" s="873">
        <f>+I228+I229+I230</f>
        <v>2503</v>
      </c>
      <c r="E228" s="873">
        <f>+J228+J229+J230</f>
        <v>106105</v>
      </c>
      <c r="F228" s="435" t="s">
        <v>5593</v>
      </c>
      <c r="G228" s="435">
        <v>32151</v>
      </c>
      <c r="H228" s="40"/>
      <c r="I228" s="435">
        <v>917</v>
      </c>
      <c r="J228" s="435">
        <v>39086</v>
      </c>
      <c r="K228" s="1081">
        <f t="shared" si="137"/>
        <v>-3</v>
      </c>
      <c r="L228" s="879">
        <f>((+B228/A228)-(E228/D228))/(B228/A228)</f>
        <v>-1.3557509742663254E-2</v>
      </c>
    </row>
    <row r="229" spans="1:12" x14ac:dyDescent="0.3">
      <c r="A229" s="875"/>
      <c r="B229" s="966"/>
      <c r="C229" s="881"/>
      <c r="D229" s="881"/>
      <c r="E229" s="881"/>
      <c r="F229" s="50" t="s">
        <v>5593</v>
      </c>
      <c r="G229" s="50">
        <v>32151</v>
      </c>
      <c r="I229" s="50">
        <v>333</v>
      </c>
      <c r="J229" s="50">
        <v>13814.7</v>
      </c>
      <c r="K229" s="1083"/>
      <c r="L229" s="885"/>
    </row>
    <row r="230" spans="1:12" ht="15" thickBot="1" x14ac:dyDescent="0.35">
      <c r="A230" s="872"/>
      <c r="B230" s="965"/>
      <c r="C230" s="874"/>
      <c r="D230" s="874"/>
      <c r="E230" s="874"/>
      <c r="F230" s="436" t="s">
        <v>5593</v>
      </c>
      <c r="G230" s="436">
        <v>32152</v>
      </c>
      <c r="H230" s="437"/>
      <c r="I230" s="436">
        <v>1253</v>
      </c>
      <c r="J230" s="436">
        <v>53204.3</v>
      </c>
      <c r="K230" s="1082"/>
      <c r="L230" s="880"/>
    </row>
    <row r="231" spans="1:12" ht="15" thickBot="1" x14ac:dyDescent="0.35">
      <c r="A231" s="431">
        <v>655</v>
      </c>
      <c r="B231" s="233">
        <v>28487.5</v>
      </c>
      <c r="C231" s="435" t="s">
        <v>5594</v>
      </c>
      <c r="D231" s="435">
        <f>+I231</f>
        <v>655</v>
      </c>
      <c r="E231" s="435">
        <f>+J231</f>
        <v>28524.2</v>
      </c>
      <c r="F231" s="435" t="s">
        <v>5595</v>
      </c>
      <c r="G231" s="435">
        <v>32181</v>
      </c>
      <c r="H231" s="40"/>
      <c r="I231" s="435">
        <v>655</v>
      </c>
      <c r="J231" s="435">
        <v>28524.2</v>
      </c>
      <c r="K231" s="120">
        <f t="shared" ref="K231:K233" si="139">+A231-D231</f>
        <v>0</v>
      </c>
      <c r="L231" s="31">
        <f t="shared" ref="L231:L232" si="140">((+B231/A231)-(E231/D231))/(B231/A231)</f>
        <v>-1.2882843352347388E-3</v>
      </c>
    </row>
    <row r="232" spans="1:12" ht="15" thickBot="1" x14ac:dyDescent="0.35">
      <c r="A232" s="178">
        <v>1180</v>
      </c>
      <c r="B232" s="232">
        <v>50838.75</v>
      </c>
      <c r="C232" s="45" t="s">
        <v>5596</v>
      </c>
      <c r="D232" s="45">
        <v>1180</v>
      </c>
      <c r="E232" s="45">
        <v>50028.5</v>
      </c>
      <c r="F232" s="45" t="s">
        <v>5597</v>
      </c>
      <c r="G232" s="45">
        <v>32191</v>
      </c>
      <c r="H232" s="14"/>
      <c r="I232" s="45">
        <v>550</v>
      </c>
      <c r="J232" s="45">
        <v>23430.1</v>
      </c>
      <c r="K232" s="120">
        <f t="shared" si="139"/>
        <v>0</v>
      </c>
      <c r="L232" s="31">
        <f t="shared" si="140"/>
        <v>1.5937645988542245E-2</v>
      </c>
    </row>
    <row r="233" spans="1:12" x14ac:dyDescent="0.3">
      <c r="A233" s="871">
        <v>1203</v>
      </c>
      <c r="B233" s="964">
        <v>44868.5</v>
      </c>
      <c r="C233" s="873" t="s">
        <v>5695</v>
      </c>
      <c r="D233" s="873">
        <f>+I233+I234</f>
        <v>1203</v>
      </c>
      <c r="E233" s="873">
        <f>+J233+J234</f>
        <v>45004.800000000003</v>
      </c>
      <c r="F233" s="448" t="s">
        <v>5696</v>
      </c>
      <c r="G233" s="448">
        <v>32211</v>
      </c>
      <c r="H233" s="40"/>
      <c r="I233" s="448">
        <v>600</v>
      </c>
      <c r="J233" s="448">
        <v>22431.9</v>
      </c>
      <c r="K233" s="1081">
        <f t="shared" si="139"/>
        <v>0</v>
      </c>
      <c r="L233" s="879">
        <f>((+B233/A233)-(E233/D233))/(B233/A233)</f>
        <v>-3.0377659159544954E-3</v>
      </c>
    </row>
    <row r="234" spans="1:12" ht="15" thickBot="1" x14ac:dyDescent="0.35">
      <c r="A234" s="872"/>
      <c r="B234" s="965"/>
      <c r="C234" s="874"/>
      <c r="D234" s="874"/>
      <c r="E234" s="874"/>
      <c r="F234" s="449" t="s">
        <v>5696</v>
      </c>
      <c r="G234" s="449">
        <v>32211</v>
      </c>
      <c r="H234" s="450"/>
      <c r="I234" s="449">
        <v>603</v>
      </c>
      <c r="J234" s="449">
        <v>22572.9</v>
      </c>
      <c r="K234" s="1082"/>
      <c r="L234" s="880"/>
    </row>
    <row r="235" spans="1:12" ht="15" thickBot="1" x14ac:dyDescent="0.35">
      <c r="A235" s="178">
        <v>684</v>
      </c>
      <c r="B235" s="232">
        <v>27074.6</v>
      </c>
      <c r="C235" s="45" t="s">
        <v>5697</v>
      </c>
      <c r="D235" s="45">
        <f>+I235</f>
        <v>686</v>
      </c>
      <c r="E235" s="45">
        <f>+J235</f>
        <v>27654.899999999998</v>
      </c>
      <c r="F235" s="45" t="s">
        <v>5698</v>
      </c>
      <c r="G235" s="45">
        <v>32221</v>
      </c>
      <c r="H235" s="14"/>
      <c r="I235" s="45">
        <v>686</v>
      </c>
      <c r="J235" s="45">
        <v>27654.899999999998</v>
      </c>
      <c r="K235" s="120">
        <f t="shared" ref="K235:K236" si="141">+A235-D235</f>
        <v>-2</v>
      </c>
      <c r="L235" s="31">
        <f t="shared" ref="L235" si="142">((+B235/A235)-(E235/D235))/(B235/A235)</f>
        <v>-1.8455433113979722E-2</v>
      </c>
    </row>
    <row r="236" spans="1:12" x14ac:dyDescent="0.3">
      <c r="A236" s="871">
        <v>1792</v>
      </c>
      <c r="B236" s="964">
        <v>68432.5</v>
      </c>
      <c r="C236" s="873" t="s">
        <v>5699</v>
      </c>
      <c r="D236" s="873">
        <f>+I236+I237</f>
        <v>1792</v>
      </c>
      <c r="E236" s="873">
        <f>+J236+J237</f>
        <v>69752.899999999994</v>
      </c>
      <c r="F236" s="448" t="s">
        <v>5700</v>
      </c>
      <c r="G236" s="448">
        <v>32231</v>
      </c>
      <c r="H236" s="40"/>
      <c r="I236" s="448">
        <v>1045</v>
      </c>
      <c r="J236" s="448">
        <v>40377.999999999993</v>
      </c>
      <c r="K236" s="1081">
        <f t="shared" si="141"/>
        <v>0</v>
      </c>
      <c r="L236" s="879">
        <f>((+B236/A236)-(E236/D236))/(B236/A236)</f>
        <v>-1.9294925656668786E-2</v>
      </c>
    </row>
    <row r="237" spans="1:12" ht="15" thickBot="1" x14ac:dyDescent="0.35">
      <c r="A237" s="875"/>
      <c r="B237" s="966"/>
      <c r="C237" s="881"/>
      <c r="D237" s="881"/>
      <c r="E237" s="881"/>
      <c r="F237" s="50" t="s">
        <v>5700</v>
      </c>
      <c r="G237" s="50">
        <v>32232</v>
      </c>
      <c r="I237" s="50">
        <v>747</v>
      </c>
      <c r="J237" s="50">
        <v>29374.9</v>
      </c>
      <c r="K237" s="1082"/>
      <c r="L237" s="880"/>
    </row>
    <row r="238" spans="1:12" x14ac:dyDescent="0.3">
      <c r="A238" s="871">
        <v>1985</v>
      </c>
      <c r="B238" s="964">
        <v>88261.75</v>
      </c>
      <c r="C238" s="873" t="s">
        <v>5701</v>
      </c>
      <c r="D238" s="873">
        <f>+I238+I239+I241+I240</f>
        <v>1985</v>
      </c>
      <c r="E238" s="873">
        <f>+J238+J239+J241+J240</f>
        <v>89401.4</v>
      </c>
      <c r="F238" s="448" t="s">
        <v>5702</v>
      </c>
      <c r="G238" s="448">
        <v>32241</v>
      </c>
      <c r="H238" s="40"/>
      <c r="I238" s="448">
        <v>272</v>
      </c>
      <c r="J238" s="448">
        <v>12030.400000000001</v>
      </c>
      <c r="K238" s="1081">
        <f t="shared" ref="K238" si="143">+A238-D238</f>
        <v>0</v>
      </c>
      <c r="L238" s="879">
        <f t="shared" ref="L238" si="144">((+B238/A238)-(E238/D238))/(B238/A238)</f>
        <v>-1.29121618368092E-2</v>
      </c>
    </row>
    <row r="239" spans="1:12" x14ac:dyDescent="0.3">
      <c r="A239" s="875"/>
      <c r="B239" s="966"/>
      <c r="C239" s="881"/>
      <c r="D239" s="881"/>
      <c r="E239" s="881"/>
      <c r="F239" s="50" t="s">
        <v>5702</v>
      </c>
      <c r="G239" s="50">
        <v>32241</v>
      </c>
      <c r="I239" s="50">
        <v>728</v>
      </c>
      <c r="J239" s="50">
        <v>33368.199999999997</v>
      </c>
      <c r="K239" s="1083"/>
      <c r="L239" s="885"/>
    </row>
    <row r="240" spans="1:12" x14ac:dyDescent="0.3">
      <c r="A240" s="875"/>
      <c r="B240" s="966"/>
      <c r="C240" s="881"/>
      <c r="D240" s="881"/>
      <c r="E240" s="881"/>
      <c r="F240" s="50" t="s">
        <v>5702</v>
      </c>
      <c r="G240" s="50">
        <v>32242</v>
      </c>
      <c r="I240" s="50">
        <v>107</v>
      </c>
      <c r="J240" s="50">
        <v>4683.2</v>
      </c>
      <c r="K240" s="1083"/>
      <c r="L240" s="885"/>
    </row>
    <row r="241" spans="1:12" ht="15" thickBot="1" x14ac:dyDescent="0.35">
      <c r="A241" s="872"/>
      <c r="B241" s="965"/>
      <c r="C241" s="874"/>
      <c r="D241" s="874"/>
      <c r="E241" s="874"/>
      <c r="F241" s="449" t="s">
        <v>5702</v>
      </c>
      <c r="G241" s="449">
        <v>32242</v>
      </c>
      <c r="H241" s="450"/>
      <c r="I241" s="449">
        <v>878</v>
      </c>
      <c r="J241" s="449">
        <v>39319.599999999999</v>
      </c>
      <c r="K241" s="1082"/>
      <c r="L241" s="880"/>
    </row>
    <row r="242" spans="1:12" ht="15" thickBot="1" x14ac:dyDescent="0.35">
      <c r="A242" s="178">
        <v>150</v>
      </c>
      <c r="B242" s="232">
        <v>5497.5</v>
      </c>
      <c r="C242" s="45" t="s">
        <v>5703</v>
      </c>
      <c r="D242" s="45">
        <f t="shared" ref="D242:E244" si="145">+I242</f>
        <v>150</v>
      </c>
      <c r="E242" s="45">
        <f t="shared" si="145"/>
        <v>5552.3</v>
      </c>
      <c r="F242" s="45" t="s">
        <v>5704</v>
      </c>
      <c r="G242" s="45">
        <v>32251</v>
      </c>
      <c r="H242" s="14"/>
      <c r="I242" s="45">
        <v>150</v>
      </c>
      <c r="J242" s="45">
        <v>5552.3</v>
      </c>
      <c r="K242" s="120">
        <f t="shared" ref="K242:K245" si="146">+A242-D242</f>
        <v>0</v>
      </c>
      <c r="L242" s="31">
        <f t="shared" ref="L242:L244" si="147">((+B242/A242)-(E242/D242))/(B242/A242)</f>
        <v>-9.9681673487950692E-3</v>
      </c>
    </row>
    <row r="243" spans="1:12" ht="15" thickBot="1" x14ac:dyDescent="0.35">
      <c r="A243" s="178">
        <v>236</v>
      </c>
      <c r="B243" s="232">
        <v>10047</v>
      </c>
      <c r="C243" s="45" t="s">
        <v>5705</v>
      </c>
      <c r="D243" s="45">
        <f t="shared" si="145"/>
        <v>236</v>
      </c>
      <c r="E243" s="45">
        <f t="shared" si="145"/>
        <v>10211.799999999999</v>
      </c>
      <c r="F243" s="45" t="s">
        <v>5706</v>
      </c>
      <c r="G243" s="45">
        <v>32261</v>
      </c>
      <c r="H243" s="14"/>
      <c r="I243" s="45">
        <v>236</v>
      </c>
      <c r="J243" s="45">
        <v>10211.799999999999</v>
      </c>
      <c r="K243" s="120">
        <f t="shared" si="146"/>
        <v>0</v>
      </c>
      <c r="L243" s="31">
        <f t="shared" si="147"/>
        <v>-1.6402906340200869E-2</v>
      </c>
    </row>
    <row r="244" spans="1:12" ht="15" thickBot="1" x14ac:dyDescent="0.35">
      <c r="A244" s="178">
        <v>357</v>
      </c>
      <c r="B244" s="232">
        <v>15683.5</v>
      </c>
      <c r="C244" s="45" t="s">
        <v>5707</v>
      </c>
      <c r="D244" s="45">
        <f t="shared" si="145"/>
        <v>357</v>
      </c>
      <c r="E244" s="45">
        <f t="shared" si="145"/>
        <v>15761.3</v>
      </c>
      <c r="F244" s="45" t="s">
        <v>5708</v>
      </c>
      <c r="G244" s="45">
        <v>32271</v>
      </c>
      <c r="H244" s="14"/>
      <c r="I244" s="45">
        <v>357</v>
      </c>
      <c r="J244" s="45">
        <v>15761.3</v>
      </c>
      <c r="K244" s="120">
        <f t="shared" si="146"/>
        <v>0</v>
      </c>
      <c r="L244" s="31">
        <f t="shared" si="147"/>
        <v>-4.960627410973379E-3</v>
      </c>
    </row>
    <row r="245" spans="1:12" x14ac:dyDescent="0.3">
      <c r="A245" s="871">
        <v>1231</v>
      </c>
      <c r="B245" s="964">
        <v>55409</v>
      </c>
      <c r="C245" s="873" t="s">
        <v>5709</v>
      </c>
      <c r="D245" s="873">
        <f>+I245+I246</f>
        <v>1231</v>
      </c>
      <c r="E245" s="873">
        <f>+J245+J246</f>
        <v>55235.200000000004</v>
      </c>
      <c r="F245" s="442" t="s">
        <v>5710</v>
      </c>
      <c r="G245" s="442">
        <v>32281</v>
      </c>
      <c r="H245" s="38"/>
      <c r="I245" s="442">
        <v>400</v>
      </c>
      <c r="J245" s="442">
        <v>18315.300000000003</v>
      </c>
      <c r="K245" s="1081">
        <f t="shared" si="146"/>
        <v>0</v>
      </c>
      <c r="L245" s="879">
        <f>((+B245/A245)-(E245/D245))/(B245/A245)</f>
        <v>3.1366745474560925E-3</v>
      </c>
    </row>
    <row r="246" spans="1:12" ht="15" thickBot="1" x14ac:dyDescent="0.35">
      <c r="A246" s="872"/>
      <c r="B246" s="965"/>
      <c r="C246" s="874"/>
      <c r="D246" s="874"/>
      <c r="E246" s="874"/>
      <c r="F246" s="444" t="s">
        <v>5710</v>
      </c>
      <c r="G246" s="444">
        <v>32281</v>
      </c>
      <c r="H246" s="82"/>
      <c r="I246" s="444">
        <v>831</v>
      </c>
      <c r="J246" s="444">
        <v>36919.9</v>
      </c>
      <c r="K246" s="1082"/>
      <c r="L246" s="880"/>
    </row>
    <row r="247" spans="1:12" ht="15" thickBot="1" x14ac:dyDescent="0.35">
      <c r="A247" s="175">
        <v>2684</v>
      </c>
      <c r="B247" s="456">
        <v>114865.5</v>
      </c>
      <c r="C247" s="8" t="s">
        <v>5711</v>
      </c>
      <c r="D247" s="8">
        <v>2684</v>
      </c>
      <c r="E247" s="8">
        <v>115813</v>
      </c>
      <c r="F247" s="8" t="s">
        <v>5712</v>
      </c>
      <c r="G247" s="8">
        <v>32291</v>
      </c>
      <c r="H247" s="80"/>
      <c r="I247" s="8">
        <v>400</v>
      </c>
      <c r="J247" s="8">
        <v>17464.8</v>
      </c>
      <c r="K247" s="120">
        <f t="shared" ref="K247" si="148">+A247-D247</f>
        <v>0</v>
      </c>
      <c r="L247" s="31">
        <f t="shared" ref="L247" si="149">((+B247/A247)-(E247/D247))/(B247/A247)</f>
        <v>-8.2487779185221478E-3</v>
      </c>
    </row>
    <row r="248" spans="1:12" ht="15" thickBot="1" x14ac:dyDescent="0.35">
      <c r="A248" s="462">
        <v>134</v>
      </c>
      <c r="B248" s="233">
        <v>4872.7</v>
      </c>
      <c r="C248" s="465" t="s">
        <v>5815</v>
      </c>
      <c r="D248" s="465">
        <f t="shared" ref="D248:E248" si="150">+I248</f>
        <v>137</v>
      </c>
      <c r="E248" s="465">
        <f t="shared" si="150"/>
        <v>5593.9</v>
      </c>
      <c r="F248" s="465" t="s">
        <v>5816</v>
      </c>
      <c r="G248" s="465">
        <v>32301</v>
      </c>
      <c r="H248" s="40"/>
      <c r="I248" s="465">
        <v>137</v>
      </c>
      <c r="J248" s="465">
        <v>5593.9</v>
      </c>
      <c r="K248" s="120">
        <f t="shared" ref="K248:K252" si="151">+A248-D248</f>
        <v>-3</v>
      </c>
      <c r="L248" s="31">
        <f t="shared" ref="L248:L250" si="152">((+B248/A248)-(E248/D248))/(B248/A248)</f>
        <v>-0.12286942340305339</v>
      </c>
    </row>
    <row r="249" spans="1:12" ht="15" thickBot="1" x14ac:dyDescent="0.35">
      <c r="A249" s="175">
        <v>200</v>
      </c>
      <c r="B249" s="242">
        <v>9046.5</v>
      </c>
      <c r="C249" s="8" t="s">
        <v>5817</v>
      </c>
      <c r="D249" s="8">
        <f>+I249</f>
        <v>200</v>
      </c>
      <c r="E249" s="8">
        <f>+J249</f>
        <v>9131.2999999999993</v>
      </c>
      <c r="F249" s="45" t="s">
        <v>5818</v>
      </c>
      <c r="G249" s="45">
        <v>32311</v>
      </c>
      <c r="H249" s="45"/>
      <c r="I249" s="45">
        <v>200</v>
      </c>
      <c r="J249" s="45">
        <v>9131.2999999999993</v>
      </c>
      <c r="K249" s="120">
        <f t="shared" si="151"/>
        <v>0</v>
      </c>
      <c r="L249" s="31">
        <f t="shared" si="152"/>
        <v>-9.3737909688828246E-3</v>
      </c>
    </row>
    <row r="250" spans="1:12" ht="15" thickBot="1" x14ac:dyDescent="0.35">
      <c r="A250" s="175">
        <v>1274</v>
      </c>
      <c r="B250" s="242">
        <v>52282.75</v>
      </c>
      <c r="C250" s="8" t="s">
        <v>5819</v>
      </c>
      <c r="D250" s="8">
        <f>+I250</f>
        <v>1274</v>
      </c>
      <c r="E250" s="8">
        <f>+J250</f>
        <v>52391.8</v>
      </c>
      <c r="F250" s="45" t="s">
        <v>5820</v>
      </c>
      <c r="G250" s="45">
        <v>32321</v>
      </c>
      <c r="H250" s="45"/>
      <c r="I250" s="45">
        <v>1274</v>
      </c>
      <c r="J250" s="45">
        <v>52391.8</v>
      </c>
      <c r="K250" s="120">
        <f t="shared" si="151"/>
        <v>0</v>
      </c>
      <c r="L250" s="31">
        <f t="shared" si="152"/>
        <v>-2.0857739885528003E-3</v>
      </c>
    </row>
    <row r="251" spans="1:12" ht="15" thickBot="1" x14ac:dyDescent="0.35">
      <c r="A251" s="175">
        <v>2699</v>
      </c>
      <c r="B251" s="242">
        <v>114144</v>
      </c>
      <c r="C251" s="8" t="s">
        <v>5846</v>
      </c>
      <c r="D251" s="8">
        <v>2699</v>
      </c>
      <c r="E251" s="8">
        <v>114726.6</v>
      </c>
      <c r="F251" s="45" t="s">
        <v>5845</v>
      </c>
      <c r="G251" s="45">
        <v>32331</v>
      </c>
      <c r="H251" s="45"/>
      <c r="I251" s="45"/>
      <c r="J251" s="45"/>
      <c r="K251" s="120">
        <f t="shared" ref="K251" si="153">+A251-D251</f>
        <v>0</v>
      </c>
      <c r="L251" s="31">
        <f t="shared" ref="L251" si="154">((+B251/A251)-(E251/D251))/(B251/A251)</f>
        <v>-5.1040790580320333E-3</v>
      </c>
    </row>
    <row r="252" spans="1:12" x14ac:dyDescent="0.3">
      <c r="A252" s="875">
        <v>697</v>
      </c>
      <c r="B252" s="1105">
        <v>28244</v>
      </c>
      <c r="C252" s="881" t="s">
        <v>5821</v>
      </c>
      <c r="D252" s="881">
        <f>+I252+I253</f>
        <v>697</v>
      </c>
      <c r="E252" s="881">
        <f>+J252+J253</f>
        <v>28885.8</v>
      </c>
      <c r="F252" s="50" t="s">
        <v>5822</v>
      </c>
      <c r="G252" s="50">
        <v>32341</v>
      </c>
      <c r="H252" s="50"/>
      <c r="I252" s="50">
        <v>546</v>
      </c>
      <c r="J252" s="50">
        <v>22742.799999999999</v>
      </c>
      <c r="K252" s="1083">
        <f t="shared" si="151"/>
        <v>0</v>
      </c>
      <c r="L252" s="885">
        <f>((+B252/A252)-(E252/D252))/(B252/A252)</f>
        <v>-2.2723410281829792E-2</v>
      </c>
    </row>
    <row r="253" spans="1:12" ht="15" thickBot="1" x14ac:dyDescent="0.35">
      <c r="A253" s="872"/>
      <c r="B253" s="965"/>
      <c r="C253" s="874"/>
      <c r="D253" s="874"/>
      <c r="E253" s="874"/>
      <c r="F253" s="466" t="s">
        <v>5822</v>
      </c>
      <c r="G253" s="466">
        <v>32341</v>
      </c>
      <c r="H253" s="466"/>
      <c r="I253" s="466">
        <v>151</v>
      </c>
      <c r="J253" s="466">
        <v>6143</v>
      </c>
      <c r="K253" s="1082"/>
      <c r="L253" s="880"/>
    </row>
    <row r="254" spans="1:12" x14ac:dyDescent="0.3">
      <c r="A254" s="871">
        <v>1271</v>
      </c>
      <c r="B254" s="964">
        <v>52963.75</v>
      </c>
      <c r="C254" s="873" t="s">
        <v>5823</v>
      </c>
      <c r="D254" s="873">
        <f>+I255+I254</f>
        <v>1271</v>
      </c>
      <c r="E254" s="873">
        <f>+J255+J254</f>
        <v>53841.7</v>
      </c>
      <c r="F254" s="465" t="s">
        <v>5824</v>
      </c>
      <c r="G254" s="465">
        <v>32351</v>
      </c>
      <c r="H254" s="465"/>
      <c r="I254" s="465">
        <v>450</v>
      </c>
      <c r="J254" s="465">
        <v>18941.599999999999</v>
      </c>
      <c r="K254" s="1081">
        <f t="shared" ref="K254" si="155">+A254-D254</f>
        <v>0</v>
      </c>
      <c r="L254" s="879">
        <f>((+B254/A254)-(E254/D254))/(B254/A254)</f>
        <v>-1.6576431993580443E-2</v>
      </c>
    </row>
    <row r="255" spans="1:12" ht="15" thickBot="1" x14ac:dyDescent="0.35">
      <c r="A255" s="872"/>
      <c r="B255" s="965"/>
      <c r="C255" s="874"/>
      <c r="D255" s="874"/>
      <c r="E255" s="874"/>
      <c r="F255" s="466" t="s">
        <v>5824</v>
      </c>
      <c r="G255" s="466">
        <v>32351</v>
      </c>
      <c r="H255" s="467"/>
      <c r="I255" s="466">
        <v>821</v>
      </c>
      <c r="J255" s="466">
        <v>34900.1</v>
      </c>
      <c r="K255" s="1082"/>
      <c r="L255" s="880"/>
    </row>
    <row r="256" spans="1:12" ht="15" thickBot="1" x14ac:dyDescent="0.35">
      <c r="A256" s="482">
        <v>312</v>
      </c>
      <c r="B256" s="492">
        <v>13062</v>
      </c>
      <c r="C256" s="483" t="s">
        <v>5975</v>
      </c>
      <c r="D256" s="483">
        <f>+I256</f>
        <v>312</v>
      </c>
      <c r="E256" s="483">
        <f>+J256</f>
        <v>13094.6</v>
      </c>
      <c r="F256" s="50" t="s">
        <v>5976</v>
      </c>
      <c r="G256" s="50">
        <v>32361</v>
      </c>
      <c r="I256" s="50">
        <v>312</v>
      </c>
      <c r="J256" s="50">
        <v>13094.6</v>
      </c>
      <c r="K256" s="120">
        <f t="shared" ref="K256" si="156">+A256-D256</f>
        <v>0</v>
      </c>
      <c r="L256" s="31">
        <f t="shared" ref="L256" si="157">((+B256/A256)-(E256/D256))/(B256/A256)</f>
        <v>-2.4957893125095716E-3</v>
      </c>
    </row>
    <row r="257" spans="1:12" ht="15" thickBot="1" x14ac:dyDescent="0.35">
      <c r="A257" s="462">
        <v>1027</v>
      </c>
      <c r="B257" s="233">
        <v>42418.2</v>
      </c>
      <c r="C257" s="465" t="s">
        <v>5825</v>
      </c>
      <c r="D257" s="465">
        <f>+I257</f>
        <v>1027</v>
      </c>
      <c r="E257" s="465">
        <f>+J257</f>
        <v>43049.700000000004</v>
      </c>
      <c r="F257" s="465" t="s">
        <v>5826</v>
      </c>
      <c r="G257" s="465">
        <v>32371</v>
      </c>
      <c r="H257" s="40"/>
      <c r="I257" s="465">
        <v>1027</v>
      </c>
      <c r="J257" s="465">
        <v>43049.700000000004</v>
      </c>
      <c r="K257" s="120">
        <f t="shared" ref="K257:K259" si="158">+A257-D257</f>
        <v>0</v>
      </c>
      <c r="L257" s="31">
        <f t="shared" ref="L257:L258" si="159">((+B257/A257)-(E257/D257))/(B257/A257)</f>
        <v>-1.4887477545016356E-2</v>
      </c>
    </row>
    <row r="258" spans="1:12" ht="15" thickBot="1" x14ac:dyDescent="0.35">
      <c r="A258" s="178">
        <v>1246</v>
      </c>
      <c r="B258" s="232">
        <v>54638</v>
      </c>
      <c r="C258" s="45" t="s">
        <v>5827</v>
      </c>
      <c r="D258" s="45">
        <f>+I258+646</f>
        <v>1246</v>
      </c>
      <c r="E258" s="45">
        <f>+J258+28189.4</f>
        <v>55153.8</v>
      </c>
      <c r="F258" s="45" t="s">
        <v>5828</v>
      </c>
      <c r="G258" s="45">
        <v>32381</v>
      </c>
      <c r="H258" s="14"/>
      <c r="I258" s="45">
        <v>600</v>
      </c>
      <c r="J258" s="45">
        <v>26964.400000000001</v>
      </c>
      <c r="K258" s="120">
        <f t="shared" si="158"/>
        <v>0</v>
      </c>
      <c r="L258" s="31">
        <f t="shared" si="159"/>
        <v>-9.4403162634064865E-3</v>
      </c>
    </row>
    <row r="259" spans="1:12" x14ac:dyDescent="0.3">
      <c r="A259" s="871">
        <v>493</v>
      </c>
      <c r="B259" s="964">
        <v>20856.400000000001</v>
      </c>
      <c r="C259" s="873" t="s">
        <v>5977</v>
      </c>
      <c r="D259" s="873">
        <f>+I259+I260</f>
        <v>493</v>
      </c>
      <c r="E259" s="873">
        <f>+J259+J260</f>
        <v>21124.2</v>
      </c>
      <c r="F259" s="487" t="s">
        <v>5978</v>
      </c>
      <c r="G259" s="487">
        <v>32391</v>
      </c>
      <c r="H259" s="40"/>
      <c r="I259" s="487">
        <v>45</v>
      </c>
      <c r="J259" s="487">
        <v>1944.3</v>
      </c>
      <c r="K259" s="1081">
        <f t="shared" si="158"/>
        <v>0</v>
      </c>
      <c r="L259" s="879">
        <f>((+B259/A259)-(E259/D259))/(B259/A259)</f>
        <v>-1.2840183348995936E-2</v>
      </c>
    </row>
    <row r="260" spans="1:12" ht="15" thickBot="1" x14ac:dyDescent="0.35">
      <c r="A260" s="872"/>
      <c r="B260" s="965"/>
      <c r="C260" s="874"/>
      <c r="D260" s="874"/>
      <c r="E260" s="874"/>
      <c r="F260" s="488" t="s">
        <v>5978</v>
      </c>
      <c r="G260" s="488">
        <v>32391</v>
      </c>
      <c r="H260" s="491"/>
      <c r="I260" s="488">
        <v>448</v>
      </c>
      <c r="J260" s="488">
        <v>19179.900000000001</v>
      </c>
      <c r="K260" s="1082"/>
      <c r="L260" s="880"/>
    </row>
    <row r="261" spans="1:12" ht="15" thickBot="1" x14ac:dyDescent="0.35">
      <c r="A261" s="212">
        <v>1005</v>
      </c>
      <c r="B261" s="365">
        <v>41991.6</v>
      </c>
      <c r="C261" s="50" t="s">
        <v>5979</v>
      </c>
      <c r="D261" s="50">
        <f>+I261</f>
        <v>1005</v>
      </c>
      <c r="E261" s="50">
        <f>+J261</f>
        <v>41761.699999999997</v>
      </c>
      <c r="F261" s="50" t="s">
        <v>5980</v>
      </c>
      <c r="G261" s="50">
        <v>32401</v>
      </c>
      <c r="I261" s="50">
        <v>1005</v>
      </c>
      <c r="J261" s="50">
        <v>41761.699999999997</v>
      </c>
      <c r="K261" s="120">
        <f t="shared" ref="K261" si="160">+A261-D261</f>
        <v>0</v>
      </c>
      <c r="L261" s="31">
        <f t="shared" ref="L261" si="161">((+B261/A261)-(E261/D261))/(B261/A261)</f>
        <v>5.4749045047104974E-3</v>
      </c>
    </row>
    <row r="262" spans="1:12" x14ac:dyDescent="0.3">
      <c r="A262" s="871">
        <v>1513</v>
      </c>
      <c r="B262" s="964">
        <v>66197.5</v>
      </c>
      <c r="C262" s="873" t="s">
        <v>5981</v>
      </c>
      <c r="D262" s="873">
        <f>+I262+I264+I265+I266+I263</f>
        <v>1514</v>
      </c>
      <c r="E262" s="873">
        <f>+J262+J264+J265+J266+J263</f>
        <v>67699.5</v>
      </c>
      <c r="F262" s="487" t="s">
        <v>5982</v>
      </c>
      <c r="G262" s="487">
        <v>32411</v>
      </c>
      <c r="H262" s="40"/>
      <c r="I262" s="505">
        <v>600</v>
      </c>
      <c r="J262" s="505">
        <v>27000</v>
      </c>
      <c r="K262" s="1081">
        <f t="shared" ref="K262" si="162">+A262-D262</f>
        <v>-1</v>
      </c>
      <c r="L262" s="879">
        <f t="shared" ref="L262" si="163">((+B262/A262)-(E262/D262))/(B262/A262)</f>
        <v>-2.2014190054050968E-2</v>
      </c>
    </row>
    <row r="263" spans="1:12" x14ac:dyDescent="0.3">
      <c r="A263" s="875"/>
      <c r="B263" s="1105"/>
      <c r="C263" s="881"/>
      <c r="D263" s="881"/>
      <c r="E263" s="881"/>
      <c r="F263" s="50" t="s">
        <v>5982</v>
      </c>
      <c r="G263" s="50">
        <v>32411</v>
      </c>
      <c r="I263" s="347">
        <v>401</v>
      </c>
      <c r="J263" s="347">
        <v>17871.400000000001</v>
      </c>
      <c r="K263" s="1083"/>
      <c r="L263" s="885"/>
    </row>
    <row r="264" spans="1:12" x14ac:dyDescent="0.3">
      <c r="A264" s="875"/>
      <c r="B264" s="1105"/>
      <c r="C264" s="881"/>
      <c r="D264" s="881"/>
      <c r="E264" s="881"/>
      <c r="F264" s="50" t="s">
        <v>5982</v>
      </c>
      <c r="G264" s="50">
        <v>32411</v>
      </c>
      <c r="I264" s="347">
        <v>255</v>
      </c>
      <c r="J264" s="347">
        <v>11337.2</v>
      </c>
      <c r="K264" s="1083"/>
      <c r="L264" s="885"/>
    </row>
    <row r="265" spans="1:12" x14ac:dyDescent="0.3">
      <c r="A265" s="875"/>
      <c r="B265" s="1105"/>
      <c r="C265" s="881"/>
      <c r="D265" s="881"/>
      <c r="E265" s="881"/>
      <c r="F265" s="50" t="s">
        <v>5982</v>
      </c>
      <c r="G265" s="50">
        <v>32411</v>
      </c>
      <c r="I265" s="347">
        <v>200</v>
      </c>
      <c r="J265" s="347">
        <v>9012.2000000000007</v>
      </c>
      <c r="K265" s="1083"/>
      <c r="L265" s="885"/>
    </row>
    <row r="266" spans="1:12" ht="15" thickBot="1" x14ac:dyDescent="0.35">
      <c r="A266" s="872"/>
      <c r="B266" s="965"/>
      <c r="C266" s="874"/>
      <c r="D266" s="874"/>
      <c r="E266" s="874"/>
      <c r="F266" s="488" t="s">
        <v>5982</v>
      </c>
      <c r="G266" s="488">
        <v>32411</v>
      </c>
      <c r="H266" s="491"/>
      <c r="I266" s="506">
        <v>58</v>
      </c>
      <c r="J266" s="506">
        <v>2478.6999999999998</v>
      </c>
      <c r="K266" s="1082"/>
      <c r="L266" s="880"/>
    </row>
    <row r="267" spans="1:12" x14ac:dyDescent="0.3">
      <c r="A267" s="871">
        <v>1880</v>
      </c>
      <c r="B267" s="964">
        <v>70249.3</v>
      </c>
      <c r="C267" s="873" t="s">
        <v>5983</v>
      </c>
      <c r="D267" s="873">
        <f>+I267+I268</f>
        <v>1880</v>
      </c>
      <c r="E267" s="873">
        <f>+J267+J268</f>
        <v>70038.200000000012</v>
      </c>
      <c r="F267" s="50" t="s">
        <v>5984</v>
      </c>
      <c r="G267" s="50">
        <v>32431</v>
      </c>
      <c r="I267" s="50">
        <v>1680</v>
      </c>
      <c r="J267" s="50">
        <v>63323.700000000004</v>
      </c>
      <c r="K267" s="1081">
        <f t="shared" ref="K267" si="164">+A267-D267</f>
        <v>0</v>
      </c>
      <c r="L267" s="879">
        <f t="shared" ref="L267" si="165">((+B267/A267)-(E267/D267))/(B267/A267)</f>
        <v>3.0050121495870997E-3</v>
      </c>
    </row>
    <row r="268" spans="1:12" ht="15" thickBot="1" x14ac:dyDescent="0.35">
      <c r="A268" s="872"/>
      <c r="B268" s="965"/>
      <c r="C268" s="874"/>
      <c r="D268" s="874"/>
      <c r="E268" s="874"/>
      <c r="F268" s="50" t="s">
        <v>5984</v>
      </c>
      <c r="G268" s="50">
        <v>32431</v>
      </c>
      <c r="I268" s="50">
        <v>200</v>
      </c>
      <c r="J268" s="50">
        <v>6714.5</v>
      </c>
      <c r="K268" s="1082"/>
      <c r="L268" s="880"/>
    </row>
    <row r="269" spans="1:12" x14ac:dyDescent="0.3">
      <c r="A269" s="873">
        <v>596</v>
      </c>
      <c r="B269" s="964">
        <v>26313</v>
      </c>
      <c r="C269" s="873" t="s">
        <v>5985</v>
      </c>
      <c r="D269" s="873">
        <f>+I269+I270</f>
        <v>596</v>
      </c>
      <c r="E269" s="873">
        <f>+J269+J270</f>
        <v>26318.6</v>
      </c>
      <c r="F269" s="487" t="s">
        <v>5986</v>
      </c>
      <c r="G269" s="487">
        <v>32441</v>
      </c>
      <c r="H269" s="40"/>
      <c r="I269" s="487">
        <v>350</v>
      </c>
      <c r="J269" s="487">
        <v>15360.1</v>
      </c>
      <c r="K269" s="1081">
        <f t="shared" ref="K269" si="166">+A269-D269</f>
        <v>0</v>
      </c>
      <c r="L269" s="879">
        <f t="shared" ref="L269" si="167">((+B269/A269)-(E269/D269))/(B269/A269)</f>
        <v>-2.1282255919126541E-4</v>
      </c>
    </row>
    <row r="270" spans="1:12" ht="15" thickBot="1" x14ac:dyDescent="0.35">
      <c r="A270" s="874"/>
      <c r="B270" s="965"/>
      <c r="C270" s="881"/>
      <c r="D270" s="881"/>
      <c r="E270" s="881"/>
      <c r="F270" s="50" t="s">
        <v>5986</v>
      </c>
      <c r="G270" s="50">
        <v>32441</v>
      </c>
      <c r="I270" s="50">
        <v>246</v>
      </c>
      <c r="J270" s="50">
        <v>10958.5</v>
      </c>
      <c r="K270" s="1082"/>
      <c r="L270" s="880"/>
    </row>
    <row r="271" spans="1:12" x14ac:dyDescent="0.3">
      <c r="A271" s="873">
        <v>1237</v>
      </c>
      <c r="B271" s="964">
        <v>47154.7</v>
      </c>
      <c r="C271" s="873" t="s">
        <v>5987</v>
      </c>
      <c r="D271" s="873">
        <v>1237</v>
      </c>
      <c r="E271" s="873">
        <v>46578.400000000001</v>
      </c>
      <c r="F271" s="487" t="s">
        <v>5988</v>
      </c>
      <c r="G271" s="487">
        <v>32451</v>
      </c>
      <c r="H271" s="40"/>
      <c r="I271" s="487">
        <v>765</v>
      </c>
      <c r="J271" s="487">
        <v>29515.1</v>
      </c>
      <c r="K271" s="1081">
        <f t="shared" ref="K271" si="168">+A271-D271</f>
        <v>0</v>
      </c>
      <c r="L271" s="879">
        <f t="shared" ref="L271" si="169">((+B271/A271)-(E271/D271))/(B271/A271)</f>
        <v>1.2221475271818039E-2</v>
      </c>
    </row>
    <row r="272" spans="1:12" ht="15" thickBot="1" x14ac:dyDescent="0.35">
      <c r="A272" s="874"/>
      <c r="B272" s="965"/>
      <c r="C272" s="874"/>
      <c r="D272" s="874"/>
      <c r="E272" s="874"/>
      <c r="F272" s="488" t="s">
        <v>5988</v>
      </c>
      <c r="G272" s="488">
        <v>32451</v>
      </c>
      <c r="H272" s="491"/>
      <c r="I272" s="488">
        <v>200</v>
      </c>
      <c r="J272" s="488">
        <v>6601</v>
      </c>
      <c r="K272" s="1082"/>
      <c r="L272" s="880"/>
    </row>
    <row r="273" spans="1:12" x14ac:dyDescent="0.3">
      <c r="A273" s="499">
        <v>340</v>
      </c>
      <c r="B273" s="233">
        <v>13520.3</v>
      </c>
      <c r="C273" s="502" t="s">
        <v>6073</v>
      </c>
      <c r="D273" s="873">
        <f>+I273+I274</f>
        <v>340</v>
      </c>
      <c r="E273" s="873">
        <f>+J273+J274</f>
        <v>13300.2</v>
      </c>
      <c r="F273" s="502" t="s">
        <v>6074</v>
      </c>
      <c r="G273" s="502">
        <v>32461</v>
      </c>
      <c r="H273" s="40"/>
      <c r="I273" s="502">
        <v>71</v>
      </c>
      <c r="J273" s="502">
        <v>2327.3000000000002</v>
      </c>
      <c r="K273" s="1081">
        <f t="shared" ref="K273" si="170">+A273-D273</f>
        <v>0</v>
      </c>
      <c r="L273" s="879">
        <f t="shared" ref="L273" si="171">((+B273/A273)-(E273/D273))/(B273/A273)</f>
        <v>1.6279224573419255E-2</v>
      </c>
    </row>
    <row r="274" spans="1:12" ht="15" thickBot="1" x14ac:dyDescent="0.35">
      <c r="A274" s="212"/>
      <c r="B274" s="365"/>
      <c r="C274" s="50"/>
      <c r="D274" s="881"/>
      <c r="E274" s="881"/>
      <c r="F274" s="50" t="s">
        <v>6074</v>
      </c>
      <c r="G274" s="50">
        <v>32461</v>
      </c>
      <c r="I274" s="50">
        <v>269</v>
      </c>
      <c r="J274" s="50">
        <v>10972.900000000001</v>
      </c>
      <c r="K274" s="1082"/>
      <c r="L274" s="880"/>
    </row>
    <row r="275" spans="1:12" x14ac:dyDescent="0.3">
      <c r="A275" s="871">
        <v>2002</v>
      </c>
      <c r="B275" s="964">
        <v>77398.2</v>
      </c>
      <c r="C275" s="873" t="s">
        <v>6075</v>
      </c>
      <c r="D275" s="873">
        <f>+I275+I276+I277+I278</f>
        <v>2002</v>
      </c>
      <c r="E275" s="873">
        <f>+J275+J276+J277+J278</f>
        <v>76765.60000000002</v>
      </c>
      <c r="F275" s="502" t="s">
        <v>6076</v>
      </c>
      <c r="G275" s="502">
        <v>32471</v>
      </c>
      <c r="H275" s="40"/>
      <c r="I275" s="502">
        <v>500</v>
      </c>
      <c r="J275" s="502">
        <v>18894.5</v>
      </c>
      <c r="K275" s="1081">
        <f t="shared" ref="K275" si="172">+A275-D275</f>
        <v>0</v>
      </c>
      <c r="L275" s="879">
        <f t="shared" ref="L275" si="173">((+B275/A275)-(E275/D275))/(B275/A275)</f>
        <v>8.173316692119046E-3</v>
      </c>
    </row>
    <row r="276" spans="1:12" x14ac:dyDescent="0.3">
      <c r="A276" s="875"/>
      <c r="B276" s="1105"/>
      <c r="C276" s="881"/>
      <c r="D276" s="881"/>
      <c r="E276" s="881"/>
      <c r="F276" s="50" t="s">
        <v>6076</v>
      </c>
      <c r="G276" s="50">
        <v>32471</v>
      </c>
      <c r="I276" s="50">
        <v>1232</v>
      </c>
      <c r="J276" s="50">
        <v>47787.700000000004</v>
      </c>
      <c r="K276" s="1083"/>
      <c r="L276" s="885"/>
    </row>
    <row r="277" spans="1:12" x14ac:dyDescent="0.3">
      <c r="A277" s="875"/>
      <c r="B277" s="1105"/>
      <c r="C277" s="881"/>
      <c r="D277" s="881"/>
      <c r="E277" s="881"/>
      <c r="F277" s="50" t="s">
        <v>6076</v>
      </c>
      <c r="G277" s="50">
        <v>32471</v>
      </c>
      <c r="I277" s="50">
        <v>250</v>
      </c>
      <c r="J277" s="50">
        <v>9333.2999999999993</v>
      </c>
      <c r="K277" s="1083"/>
      <c r="L277" s="885"/>
    </row>
    <row r="278" spans="1:12" ht="15" thickBot="1" x14ac:dyDescent="0.35">
      <c r="A278" s="872"/>
      <c r="B278" s="965"/>
      <c r="C278" s="874"/>
      <c r="D278" s="874"/>
      <c r="E278" s="874"/>
      <c r="F278" s="503" t="s">
        <v>6076</v>
      </c>
      <c r="G278" s="503">
        <v>32471</v>
      </c>
      <c r="H278" s="504"/>
      <c r="I278" s="503">
        <v>20</v>
      </c>
      <c r="J278" s="503">
        <v>750.1</v>
      </c>
      <c r="K278" s="1082"/>
      <c r="L278" s="880"/>
    </row>
    <row r="279" spans="1:12" x14ac:dyDescent="0.3">
      <c r="A279" s="871">
        <v>500</v>
      </c>
      <c r="B279" s="964">
        <v>19586</v>
      </c>
      <c r="C279" s="873" t="s">
        <v>6077</v>
      </c>
      <c r="D279" s="873">
        <f>+I279+I280</f>
        <v>500</v>
      </c>
      <c r="E279" s="873">
        <f>+J279+J280</f>
        <v>19623.600000000002</v>
      </c>
      <c r="F279" s="502" t="s">
        <v>6078</v>
      </c>
      <c r="G279" s="502">
        <v>32481</v>
      </c>
      <c r="H279" s="40"/>
      <c r="I279" s="502">
        <v>400</v>
      </c>
      <c r="J279" s="502">
        <v>15682.300000000001</v>
      </c>
      <c r="K279" s="1081">
        <f t="shared" ref="K279" si="174">+A279-D279</f>
        <v>0</v>
      </c>
      <c r="L279" s="879">
        <f t="shared" ref="L279" si="175">((+B279/A279)-(E279/D279))/(B279/A279)</f>
        <v>-1.919738588788152E-3</v>
      </c>
    </row>
    <row r="280" spans="1:12" ht="15" thickBot="1" x14ac:dyDescent="0.35">
      <c r="A280" s="872"/>
      <c r="B280" s="965"/>
      <c r="C280" s="874"/>
      <c r="D280" s="874"/>
      <c r="E280" s="874"/>
      <c r="F280" s="503" t="s">
        <v>6078</v>
      </c>
      <c r="G280" s="503">
        <v>32481</v>
      </c>
      <c r="H280" s="504"/>
      <c r="I280" s="503">
        <v>100</v>
      </c>
      <c r="J280" s="503">
        <v>3941.3</v>
      </c>
      <c r="K280" s="1082"/>
      <c r="L280" s="880"/>
    </row>
    <row r="281" spans="1:12" ht="15" thickBot="1" x14ac:dyDescent="0.35">
      <c r="A281" s="178">
        <v>250</v>
      </c>
      <c r="B281" s="232">
        <v>10609.5</v>
      </c>
      <c r="C281" s="45" t="s">
        <v>6079</v>
      </c>
      <c r="D281" s="45">
        <f>+I281</f>
        <v>250</v>
      </c>
      <c r="E281" s="45">
        <f>+J281</f>
        <v>10498.3</v>
      </c>
      <c r="F281" s="45" t="s">
        <v>6080</v>
      </c>
      <c r="G281" s="45">
        <v>32491</v>
      </c>
      <c r="H281" s="14"/>
      <c r="I281" s="45">
        <v>250</v>
      </c>
      <c r="J281" s="45">
        <v>10498.3</v>
      </c>
      <c r="K281" s="120">
        <f t="shared" ref="K281:K282" si="176">+A281-D281</f>
        <v>0</v>
      </c>
      <c r="L281" s="31">
        <f t="shared" ref="L281:L282" si="177">((+B281/A281)-(E281/D281))/(B281/A281)</f>
        <v>1.0481172534049857E-2</v>
      </c>
    </row>
    <row r="282" spans="1:12" ht="15" thickBot="1" x14ac:dyDescent="0.35">
      <c r="A282" s="178">
        <v>440</v>
      </c>
      <c r="B282" s="232">
        <v>18638.75</v>
      </c>
      <c r="C282" s="45" t="s">
        <v>6081</v>
      </c>
      <c r="D282" s="45">
        <f>+I282</f>
        <v>440</v>
      </c>
      <c r="E282" s="45">
        <f>+J282</f>
        <v>18784</v>
      </c>
      <c r="F282" s="45" t="s">
        <v>6082</v>
      </c>
      <c r="G282" s="45">
        <v>32501</v>
      </c>
      <c r="H282" s="14"/>
      <c r="I282" s="45">
        <v>440</v>
      </c>
      <c r="J282" s="45">
        <v>18784</v>
      </c>
      <c r="K282" s="120">
        <f t="shared" si="176"/>
        <v>0</v>
      </c>
      <c r="L282" s="31">
        <f t="shared" si="177"/>
        <v>-7.7929045670980732E-3</v>
      </c>
    </row>
    <row r="283" spans="1:12" x14ac:dyDescent="0.3">
      <c r="A283" s="871">
        <v>180</v>
      </c>
      <c r="B283" s="964">
        <v>9702.25</v>
      </c>
      <c r="C283" s="873" t="s">
        <v>6083</v>
      </c>
      <c r="D283" s="873">
        <f>+I283+I284</f>
        <v>180</v>
      </c>
      <c r="E283" s="873">
        <f>+J283+J284</f>
        <v>9554.4</v>
      </c>
      <c r="F283" s="495" t="s">
        <v>6084</v>
      </c>
      <c r="G283" s="495">
        <v>32511</v>
      </c>
      <c r="H283" s="38"/>
      <c r="I283" s="495">
        <v>60</v>
      </c>
      <c r="J283" s="495">
        <v>3203</v>
      </c>
      <c r="K283" s="1081">
        <f t="shared" ref="K283" si="178">+A283-D283</f>
        <v>0</v>
      </c>
      <c r="L283" s="879">
        <f t="shared" ref="L283" si="179">((+B283/A283)-(E283/D283))/(B283/A283)</f>
        <v>1.5238733283516735E-2</v>
      </c>
    </row>
    <row r="284" spans="1:12" ht="15" thickBot="1" x14ac:dyDescent="0.35">
      <c r="A284" s="875"/>
      <c r="B284" s="1105"/>
      <c r="C284" s="881"/>
      <c r="D284" s="881"/>
      <c r="E284" s="881"/>
      <c r="F284" s="496" t="s">
        <v>6084</v>
      </c>
      <c r="G284" s="496">
        <v>32511</v>
      </c>
      <c r="H284" s="81"/>
      <c r="I284" s="496">
        <v>120</v>
      </c>
      <c r="J284" s="496">
        <v>6351.4</v>
      </c>
      <c r="K284" s="1082"/>
      <c r="L284" s="880"/>
    </row>
    <row r="285" spans="1:12" x14ac:dyDescent="0.3">
      <c r="A285" s="871">
        <v>1000</v>
      </c>
      <c r="B285" s="964">
        <v>40316.199999999997</v>
      </c>
      <c r="C285" s="873" t="s">
        <v>6085</v>
      </c>
      <c r="D285" s="873">
        <f>+I285+I286</f>
        <v>1000</v>
      </c>
      <c r="E285" s="873">
        <f>+J285+J286</f>
        <v>39651</v>
      </c>
      <c r="F285" s="502" t="s">
        <v>6086</v>
      </c>
      <c r="G285" s="502">
        <v>32521</v>
      </c>
      <c r="H285" s="40"/>
      <c r="I285" s="502">
        <v>500</v>
      </c>
      <c r="J285" s="502">
        <v>19914.099999999999</v>
      </c>
      <c r="K285" s="1081">
        <f t="shared" ref="K285" si="180">+A285-D285</f>
        <v>0</v>
      </c>
      <c r="L285" s="879">
        <f t="shared" ref="L285" si="181">((+B285/A285)-(E285/D285))/(B285/A285)</f>
        <v>1.6499570892097758E-2</v>
      </c>
    </row>
    <row r="286" spans="1:12" ht="15" thickBot="1" x14ac:dyDescent="0.35">
      <c r="A286" s="872"/>
      <c r="B286" s="965"/>
      <c r="C286" s="874"/>
      <c r="D286" s="874"/>
      <c r="E286" s="874"/>
      <c r="F286" s="503" t="s">
        <v>6086</v>
      </c>
      <c r="G286" s="503">
        <v>32521</v>
      </c>
      <c r="H286" s="504"/>
      <c r="I286" s="503">
        <v>500</v>
      </c>
      <c r="J286" s="503">
        <v>19736.900000000001</v>
      </c>
      <c r="K286" s="1082"/>
      <c r="L286" s="880"/>
    </row>
    <row r="287" spans="1:12" ht="15" thickBot="1" x14ac:dyDescent="0.35">
      <c r="A287" s="178">
        <v>440</v>
      </c>
      <c r="B287" s="232">
        <v>19570</v>
      </c>
      <c r="C287" s="45" t="s">
        <v>6087</v>
      </c>
      <c r="D287" s="45">
        <f>+I287</f>
        <v>440</v>
      </c>
      <c r="E287" s="45">
        <f>+J287</f>
        <v>19855.2</v>
      </c>
      <c r="F287" s="45" t="s">
        <v>6088</v>
      </c>
      <c r="G287" s="45">
        <v>32531</v>
      </c>
      <c r="H287" s="14"/>
      <c r="I287" s="45">
        <v>440</v>
      </c>
      <c r="J287" s="45">
        <v>19855.2</v>
      </c>
      <c r="K287" s="120">
        <f t="shared" ref="K287:K288" si="182">+A287-D287</f>
        <v>0</v>
      </c>
      <c r="L287" s="31">
        <f t="shared" ref="L287" si="183">((+B287/A287)-(E287/D287))/(B287/A287)</f>
        <v>-1.4573326520183961E-2</v>
      </c>
    </row>
    <row r="288" spans="1:12" x14ac:dyDescent="0.3">
      <c r="A288" s="871">
        <v>2200</v>
      </c>
      <c r="B288" s="964">
        <v>88910.9</v>
      </c>
      <c r="C288" s="873" t="s">
        <v>6089</v>
      </c>
      <c r="D288" s="873">
        <f>+I288+I289+I290</f>
        <v>2200</v>
      </c>
      <c r="E288" s="873">
        <f>+J288+J289+J290</f>
        <v>87763.7</v>
      </c>
      <c r="F288" s="502" t="s">
        <v>6090</v>
      </c>
      <c r="G288" s="502">
        <v>32541</v>
      </c>
      <c r="H288" s="40"/>
      <c r="I288" s="502">
        <v>996</v>
      </c>
      <c r="J288" s="502">
        <v>39328.699999999997</v>
      </c>
      <c r="K288" s="1081">
        <f t="shared" si="182"/>
        <v>0</v>
      </c>
      <c r="L288" s="879">
        <f>((+B288/A288)-(E288/D288))/(B288/A288)</f>
        <v>1.2902804942926019E-2</v>
      </c>
    </row>
    <row r="289" spans="1:12" x14ac:dyDescent="0.3">
      <c r="A289" s="875"/>
      <c r="B289" s="1105"/>
      <c r="C289" s="881"/>
      <c r="D289" s="881"/>
      <c r="E289" s="881"/>
      <c r="F289" s="50" t="s">
        <v>6090</v>
      </c>
      <c r="G289" s="50">
        <v>32541</v>
      </c>
      <c r="I289" s="50">
        <v>104</v>
      </c>
      <c r="J289" s="50">
        <v>4218.8999999999996</v>
      </c>
      <c r="K289" s="1083"/>
      <c r="L289" s="885"/>
    </row>
    <row r="290" spans="1:12" ht="15" thickBot="1" x14ac:dyDescent="0.35">
      <c r="A290" s="872"/>
      <c r="B290" s="965"/>
      <c r="C290" s="874"/>
      <c r="D290" s="874"/>
      <c r="E290" s="874"/>
      <c r="F290" s="503" t="s">
        <v>6090</v>
      </c>
      <c r="G290" s="503">
        <v>32542</v>
      </c>
      <c r="H290" s="504"/>
      <c r="I290" s="503">
        <v>1100</v>
      </c>
      <c r="J290" s="503">
        <v>44216.1</v>
      </c>
      <c r="K290" s="1082"/>
      <c r="L290" s="880"/>
    </row>
    <row r="291" spans="1:12" x14ac:dyDescent="0.3">
      <c r="A291" s="871">
        <v>475</v>
      </c>
      <c r="B291" s="964">
        <v>17858.099999999999</v>
      </c>
      <c r="C291" s="873" t="s">
        <v>6189</v>
      </c>
      <c r="D291" s="873">
        <f>+I291+I292</f>
        <v>475</v>
      </c>
      <c r="E291" s="873">
        <f>+J291+J292</f>
        <v>18117.8</v>
      </c>
      <c r="F291" s="516" t="s">
        <v>6190</v>
      </c>
      <c r="G291" s="516">
        <v>32591</v>
      </c>
      <c r="H291" s="40"/>
      <c r="I291" s="516">
        <v>225</v>
      </c>
      <c r="J291" s="516">
        <v>7936.3</v>
      </c>
      <c r="K291" s="1081">
        <f t="shared" ref="K291" si="184">+A291-D291</f>
        <v>0</v>
      </c>
      <c r="L291" s="879">
        <f t="shared" ref="L291" si="185">((+B291/A291)-(E291/D291))/(B291/A291)</f>
        <v>-1.454242052625993E-2</v>
      </c>
    </row>
    <row r="292" spans="1:12" ht="15" thickBot="1" x14ac:dyDescent="0.35">
      <c r="A292" s="872"/>
      <c r="B292" s="965"/>
      <c r="C292" s="874"/>
      <c r="D292" s="874"/>
      <c r="E292" s="874"/>
      <c r="F292" s="517" t="s">
        <v>6190</v>
      </c>
      <c r="G292" s="517">
        <v>32591</v>
      </c>
      <c r="H292" s="519"/>
      <c r="I292" s="517">
        <v>250</v>
      </c>
      <c r="J292" s="517">
        <v>10181.5</v>
      </c>
      <c r="K292" s="1082"/>
      <c r="L292" s="880"/>
    </row>
    <row r="293" spans="1:12" ht="15" thickBot="1" x14ac:dyDescent="0.35">
      <c r="A293" s="512">
        <v>254</v>
      </c>
      <c r="B293" s="520">
        <v>8908.7999999999993</v>
      </c>
      <c r="C293" s="513" t="s">
        <v>6191</v>
      </c>
      <c r="D293" s="513">
        <f>+I293</f>
        <v>254</v>
      </c>
      <c r="E293" s="513">
        <f>+J293</f>
        <v>8959</v>
      </c>
      <c r="F293" s="50" t="s">
        <v>6192</v>
      </c>
      <c r="G293" s="50">
        <v>32601</v>
      </c>
      <c r="I293" s="50">
        <v>254</v>
      </c>
      <c r="J293" s="50">
        <v>8959</v>
      </c>
      <c r="K293" s="120">
        <f t="shared" ref="K293:K294" si="186">+A293-D293</f>
        <v>0</v>
      </c>
      <c r="L293" s="31">
        <f t="shared" ref="L293:L294" si="187">((+B293/A293)-(E293/D293))/(B293/A293)</f>
        <v>-5.634877873563396E-3</v>
      </c>
    </row>
    <row r="294" spans="1:12" x14ac:dyDescent="0.3">
      <c r="A294" s="871">
        <v>1013</v>
      </c>
      <c r="B294" s="964">
        <v>42108.9</v>
      </c>
      <c r="C294" s="873" t="s">
        <v>6193</v>
      </c>
      <c r="D294" s="873">
        <f>+I294+I295</f>
        <v>1013</v>
      </c>
      <c r="E294" s="873">
        <f>+J294+J295</f>
        <v>42688.7</v>
      </c>
      <c r="F294" s="516" t="s">
        <v>6194</v>
      </c>
      <c r="G294" s="516">
        <v>32611</v>
      </c>
      <c r="H294" s="40"/>
      <c r="I294" s="516">
        <v>829</v>
      </c>
      <c r="J294" s="516">
        <v>34812.5</v>
      </c>
      <c r="K294" s="1081">
        <f t="shared" si="186"/>
        <v>0</v>
      </c>
      <c r="L294" s="879">
        <f t="shared" si="187"/>
        <v>-1.3769060697382117E-2</v>
      </c>
    </row>
    <row r="295" spans="1:12" ht="15" thickBot="1" x14ac:dyDescent="0.35">
      <c r="A295" s="872"/>
      <c r="B295" s="965"/>
      <c r="C295" s="874"/>
      <c r="D295" s="874"/>
      <c r="E295" s="874"/>
      <c r="F295" s="517" t="s">
        <v>6194</v>
      </c>
      <c r="G295" s="517">
        <v>32611</v>
      </c>
      <c r="H295" s="519"/>
      <c r="I295" s="517">
        <v>184</v>
      </c>
      <c r="J295" s="517">
        <v>7876.2</v>
      </c>
      <c r="K295" s="1082"/>
      <c r="L295" s="880"/>
    </row>
    <row r="296" spans="1:12" x14ac:dyDescent="0.3">
      <c r="A296" s="875">
        <v>1623</v>
      </c>
      <c r="B296" s="1105">
        <v>68763.25</v>
      </c>
      <c r="C296" s="881" t="s">
        <v>6195</v>
      </c>
      <c r="D296" s="881">
        <f>+I296+I297</f>
        <v>1623</v>
      </c>
      <c r="E296" s="881">
        <f>+J296+J297</f>
        <v>69370.200000000012</v>
      </c>
      <c r="F296" s="50" t="s">
        <v>6196</v>
      </c>
      <c r="G296" s="50">
        <v>32621</v>
      </c>
      <c r="I296" s="50">
        <v>800</v>
      </c>
      <c r="J296" s="50">
        <v>34203.100000000006</v>
      </c>
      <c r="K296" s="1081">
        <f t="shared" ref="K296" si="188">+A296-D296</f>
        <v>0</v>
      </c>
      <c r="L296" s="879">
        <f t="shared" ref="L296" si="189">((+B296/A296)-(E296/D296))/(B296/A296)</f>
        <v>-8.8266624977733198E-3</v>
      </c>
    </row>
    <row r="297" spans="1:12" ht="15" thickBot="1" x14ac:dyDescent="0.35">
      <c r="A297" s="872"/>
      <c r="B297" s="965"/>
      <c r="C297" s="874"/>
      <c r="D297" s="874"/>
      <c r="E297" s="874"/>
      <c r="F297" s="517" t="s">
        <v>6196</v>
      </c>
      <c r="G297" s="517">
        <v>32621</v>
      </c>
      <c r="H297" s="519"/>
      <c r="I297" s="517">
        <v>823</v>
      </c>
      <c r="J297" s="517">
        <v>35167.1</v>
      </c>
      <c r="K297" s="1082"/>
      <c r="L297" s="880"/>
    </row>
    <row r="298" spans="1:12" x14ac:dyDescent="0.3">
      <c r="A298" s="871">
        <v>734</v>
      </c>
      <c r="B298" s="964">
        <v>28732</v>
      </c>
      <c r="C298" s="873" t="s">
        <v>6197</v>
      </c>
      <c r="D298" s="873">
        <f>+I298+I299</f>
        <v>734</v>
      </c>
      <c r="E298" s="873">
        <f>+J298+J299</f>
        <v>29290.3</v>
      </c>
      <c r="F298" s="50" t="s">
        <v>6198</v>
      </c>
      <c r="G298" s="50">
        <v>32631</v>
      </c>
      <c r="I298" s="551">
        <v>213</v>
      </c>
      <c r="J298" s="50">
        <v>8497.2000000000007</v>
      </c>
      <c r="K298" s="1081">
        <f t="shared" ref="K298" si="190">+A298-D298</f>
        <v>0</v>
      </c>
      <c r="L298" s="879">
        <f t="shared" ref="L298" si="191">((+B298/A298)-(E298/D298))/(B298/A298)</f>
        <v>-1.9431296115828941E-2</v>
      </c>
    </row>
    <row r="299" spans="1:12" ht="15" thickBot="1" x14ac:dyDescent="0.35">
      <c r="A299" s="872"/>
      <c r="B299" s="965"/>
      <c r="C299" s="874"/>
      <c r="D299" s="874"/>
      <c r="E299" s="874"/>
      <c r="F299" s="50" t="s">
        <v>6198</v>
      </c>
      <c r="G299" s="50">
        <v>32631</v>
      </c>
      <c r="I299" s="551">
        <v>521</v>
      </c>
      <c r="J299" s="50">
        <v>20793.099999999999</v>
      </c>
      <c r="K299" s="1082"/>
      <c r="L299" s="880"/>
    </row>
    <row r="300" spans="1:12" x14ac:dyDescent="0.3">
      <c r="A300" s="871">
        <v>1245</v>
      </c>
      <c r="B300" s="964">
        <v>50446.25</v>
      </c>
      <c r="C300" s="873" t="s">
        <v>6199</v>
      </c>
      <c r="D300" s="873">
        <f>+I300+I301</f>
        <v>1245</v>
      </c>
      <c r="E300" s="873">
        <f>+J300+J301</f>
        <v>51374.6</v>
      </c>
      <c r="F300" s="516" t="s">
        <v>6200</v>
      </c>
      <c r="G300" s="516">
        <v>32641</v>
      </c>
      <c r="H300" s="40"/>
      <c r="I300" s="516">
        <v>392</v>
      </c>
      <c r="J300" s="516">
        <v>15600.6</v>
      </c>
      <c r="K300" s="1081">
        <f t="shared" ref="K300" si="192">+A300-D300</f>
        <v>0</v>
      </c>
      <c r="L300" s="879">
        <f t="shared" ref="L300" si="193">((+B300/A300)-(E300/D300))/(B300/A300)</f>
        <v>-1.8402755407983633E-2</v>
      </c>
    </row>
    <row r="301" spans="1:12" ht="15" thickBot="1" x14ac:dyDescent="0.35">
      <c r="A301" s="875"/>
      <c r="B301" s="1105"/>
      <c r="C301" s="881"/>
      <c r="D301" s="881"/>
      <c r="E301" s="881"/>
      <c r="F301" s="50" t="s">
        <v>6200</v>
      </c>
      <c r="G301" s="50">
        <v>32641</v>
      </c>
      <c r="I301" s="551">
        <v>853</v>
      </c>
      <c r="J301" s="50">
        <v>35774</v>
      </c>
      <c r="K301" s="1082"/>
      <c r="L301" s="880"/>
    </row>
    <row r="302" spans="1:12" x14ac:dyDescent="0.3">
      <c r="A302" s="871">
        <v>387</v>
      </c>
      <c r="B302" s="964">
        <v>16621.25</v>
      </c>
      <c r="C302" s="873" t="s">
        <v>6201</v>
      </c>
      <c r="D302" s="873">
        <f>+I302+I303</f>
        <v>387</v>
      </c>
      <c r="E302" s="873">
        <f>+J302+J303</f>
        <v>16757.5</v>
      </c>
      <c r="F302" s="516" t="s">
        <v>6202</v>
      </c>
      <c r="G302" s="516">
        <v>32651</v>
      </c>
      <c r="H302" s="40"/>
      <c r="I302" s="552">
        <v>286</v>
      </c>
      <c r="J302" s="516">
        <v>12528.2</v>
      </c>
      <c r="K302" s="1081">
        <f t="shared" ref="K302" si="194">+A302-D302</f>
        <v>0</v>
      </c>
      <c r="L302" s="879">
        <f t="shared" ref="L302" si="195">((+B302/A302)-(E302/D302))/(B302/A302)</f>
        <v>-8.1973377453562167E-3</v>
      </c>
    </row>
    <row r="303" spans="1:12" ht="15" thickBot="1" x14ac:dyDescent="0.35">
      <c r="A303" s="872"/>
      <c r="B303" s="965"/>
      <c r="C303" s="874"/>
      <c r="D303" s="874"/>
      <c r="E303" s="874"/>
      <c r="F303" s="517" t="s">
        <v>6202</v>
      </c>
      <c r="G303" s="517">
        <v>32651</v>
      </c>
      <c r="H303" s="519"/>
      <c r="I303" s="553">
        <v>101</v>
      </c>
      <c r="J303" s="517">
        <v>4229.3</v>
      </c>
      <c r="K303" s="1082"/>
      <c r="L303" s="880"/>
    </row>
    <row r="304" spans="1:12" ht="15" thickBot="1" x14ac:dyDescent="0.35">
      <c r="A304" s="515">
        <v>718</v>
      </c>
      <c r="B304" s="234">
        <v>33469.75</v>
      </c>
      <c r="C304" s="517" t="s">
        <v>6203</v>
      </c>
      <c r="D304" s="517">
        <f t="shared" ref="D304:E305" si="196">+I304</f>
        <v>718</v>
      </c>
      <c r="E304" s="517">
        <f t="shared" si="196"/>
        <v>33720.699999999997</v>
      </c>
      <c r="F304" s="517" t="s">
        <v>6204</v>
      </c>
      <c r="G304" s="517">
        <v>32681</v>
      </c>
      <c r="H304" s="519"/>
      <c r="I304" s="553">
        <v>718</v>
      </c>
      <c r="J304" s="517">
        <v>33720.699999999997</v>
      </c>
      <c r="K304" s="120">
        <f t="shared" ref="K304:K306" si="197">+A304-D304</f>
        <v>0</v>
      </c>
      <c r="L304" s="31">
        <f t="shared" ref="L304:L306" si="198">((+B304/A304)-(E304/D304))/(B304/A304)</f>
        <v>-7.4978151913293392E-3</v>
      </c>
    </row>
    <row r="305" spans="1:12" ht="15" thickBot="1" x14ac:dyDescent="0.35">
      <c r="A305" s="514">
        <v>201</v>
      </c>
      <c r="B305" s="233">
        <v>7848.7</v>
      </c>
      <c r="C305" s="516" t="s">
        <v>6205</v>
      </c>
      <c r="D305" s="516">
        <f t="shared" si="196"/>
        <v>201</v>
      </c>
      <c r="E305" s="516">
        <f t="shared" si="196"/>
        <v>7903.2</v>
      </c>
      <c r="F305" s="516" t="s">
        <v>1177</v>
      </c>
      <c r="G305" s="516">
        <v>32691</v>
      </c>
      <c r="H305" s="40"/>
      <c r="I305" s="552">
        <v>201</v>
      </c>
      <c r="J305" s="516">
        <v>7903.2</v>
      </c>
      <c r="K305" s="120">
        <f t="shared" si="197"/>
        <v>0</v>
      </c>
      <c r="L305" s="31">
        <f t="shared" si="198"/>
        <v>-6.9438250920533569E-3</v>
      </c>
    </row>
    <row r="306" spans="1:12" x14ac:dyDescent="0.3">
      <c r="A306" s="871">
        <v>3300</v>
      </c>
      <c r="B306" s="964">
        <v>114837.5</v>
      </c>
      <c r="C306" s="873" t="s">
        <v>6206</v>
      </c>
      <c r="D306" s="873">
        <f>+I306+I307+I308+I309</f>
        <v>3300</v>
      </c>
      <c r="E306" s="873">
        <f>+J306+J307+J308+J309</f>
        <v>115694.69999999998</v>
      </c>
      <c r="F306" s="516" t="s">
        <v>6207</v>
      </c>
      <c r="G306" s="516">
        <v>32701</v>
      </c>
      <c r="H306" s="40"/>
      <c r="I306" s="552">
        <v>1300</v>
      </c>
      <c r="J306" s="516">
        <v>45573</v>
      </c>
      <c r="K306" s="1081">
        <f t="shared" si="197"/>
        <v>0</v>
      </c>
      <c r="L306" s="879">
        <f t="shared" si="198"/>
        <v>-7.4644606509197686E-3</v>
      </c>
    </row>
    <row r="307" spans="1:12" x14ac:dyDescent="0.3">
      <c r="A307" s="875"/>
      <c r="B307" s="1105"/>
      <c r="C307" s="881"/>
      <c r="D307" s="881"/>
      <c r="E307" s="881"/>
      <c r="F307" s="50" t="s">
        <v>6207</v>
      </c>
      <c r="G307" s="50">
        <v>32702</v>
      </c>
      <c r="I307" s="551">
        <v>300</v>
      </c>
      <c r="J307" s="50">
        <v>10410.5</v>
      </c>
      <c r="K307" s="1083"/>
      <c r="L307" s="885"/>
    </row>
    <row r="308" spans="1:12" x14ac:dyDescent="0.3">
      <c r="A308" s="875"/>
      <c r="B308" s="1105"/>
      <c r="C308" s="881"/>
      <c r="D308" s="881"/>
      <c r="E308" s="881"/>
      <c r="F308" s="50" t="s">
        <v>6207</v>
      </c>
      <c r="G308" s="50">
        <v>32701</v>
      </c>
      <c r="I308" s="551">
        <v>200</v>
      </c>
      <c r="J308" s="50">
        <v>6939.1</v>
      </c>
      <c r="K308" s="1083"/>
      <c r="L308" s="885"/>
    </row>
    <row r="309" spans="1:12" ht="15" thickBot="1" x14ac:dyDescent="0.35">
      <c r="A309" s="872"/>
      <c r="B309" s="965"/>
      <c r="C309" s="874"/>
      <c r="D309" s="874"/>
      <c r="E309" s="874"/>
      <c r="F309" s="517" t="s">
        <v>6207</v>
      </c>
      <c r="G309" s="517">
        <v>32702</v>
      </c>
      <c r="H309" s="519"/>
      <c r="I309" s="553">
        <v>1500</v>
      </c>
      <c r="J309" s="517">
        <v>52772.099999999991</v>
      </c>
      <c r="K309" s="1082"/>
      <c r="L309" s="880"/>
    </row>
    <row r="310" spans="1:12" ht="15" thickBot="1" x14ac:dyDescent="0.35">
      <c r="A310" s="178">
        <v>218</v>
      </c>
      <c r="B310" s="232">
        <v>8704.7999999999993</v>
      </c>
      <c r="C310" s="45" t="s">
        <v>6208</v>
      </c>
      <c r="D310" s="45">
        <f t="shared" ref="D310:E310" si="199">+I310</f>
        <v>218</v>
      </c>
      <c r="E310" s="45">
        <f t="shared" si="199"/>
        <v>8713.5</v>
      </c>
      <c r="F310" s="45" t="s">
        <v>6209</v>
      </c>
      <c r="G310" s="45">
        <v>32711</v>
      </c>
      <c r="H310" s="14"/>
      <c r="I310" s="554">
        <v>218</v>
      </c>
      <c r="J310" s="45">
        <v>8713.5</v>
      </c>
      <c r="K310" s="120">
        <f t="shared" ref="K310" si="200">+A310-D310</f>
        <v>0</v>
      </c>
      <c r="L310" s="31">
        <f t="shared" ref="L310" si="201">((+B310/A310)-(E310/D310))/(B310/A310)</f>
        <v>-9.994485800937892E-4</v>
      </c>
    </row>
    <row r="311" spans="1:12" x14ac:dyDescent="0.3">
      <c r="A311" s="871">
        <v>742</v>
      </c>
      <c r="B311" s="964">
        <v>31780</v>
      </c>
      <c r="C311" s="873" t="s">
        <v>6210</v>
      </c>
      <c r="D311" s="873">
        <f>+I311+I312</f>
        <v>742</v>
      </c>
      <c r="E311" s="873">
        <f>+J311+J312</f>
        <v>31888.5</v>
      </c>
      <c r="F311" s="516" t="s">
        <v>6211</v>
      </c>
      <c r="G311" s="516">
        <v>32721</v>
      </c>
      <c r="H311" s="40"/>
      <c r="I311" s="552">
        <v>494</v>
      </c>
      <c r="J311" s="516">
        <v>20665.100000000002</v>
      </c>
      <c r="K311" s="1081">
        <f t="shared" ref="K311" si="202">+A311-D311</f>
        <v>0</v>
      </c>
      <c r="L311" s="879">
        <f t="shared" ref="L311" si="203">((+B311/A311)-(E311/D311))/(B311/A311)</f>
        <v>-3.4140969162995628E-3</v>
      </c>
    </row>
    <row r="312" spans="1:12" ht="15" thickBot="1" x14ac:dyDescent="0.35">
      <c r="A312" s="872"/>
      <c r="B312" s="965"/>
      <c r="C312" s="874"/>
      <c r="D312" s="874"/>
      <c r="E312" s="874"/>
      <c r="F312" s="517" t="s">
        <v>6211</v>
      </c>
      <c r="G312" s="517">
        <v>32721</v>
      </c>
      <c r="H312" s="519"/>
      <c r="I312" s="553">
        <v>248</v>
      </c>
      <c r="J312" s="517">
        <v>11223.4</v>
      </c>
      <c r="K312" s="1082"/>
      <c r="L312" s="880"/>
    </row>
    <row r="313" spans="1:12" ht="15" thickBot="1" x14ac:dyDescent="0.35">
      <c r="A313" s="178">
        <v>440</v>
      </c>
      <c r="B313" s="232">
        <v>18400.25</v>
      </c>
      <c r="C313" s="45" t="s">
        <v>6212</v>
      </c>
      <c r="D313" s="45">
        <f t="shared" ref="D313:E313" si="204">+I313</f>
        <v>440</v>
      </c>
      <c r="E313" s="45">
        <f t="shared" si="204"/>
        <v>17532</v>
      </c>
      <c r="F313" s="45" t="s">
        <v>6213</v>
      </c>
      <c r="G313" s="45">
        <v>32741</v>
      </c>
      <c r="H313" s="14"/>
      <c r="I313" s="554">
        <v>440</v>
      </c>
      <c r="J313" s="45">
        <v>17532</v>
      </c>
      <c r="K313" s="120">
        <f t="shared" ref="K313:K314" si="205">+A313-D313</f>
        <v>0</v>
      </c>
      <c r="L313" s="31">
        <f t="shared" ref="L313:L314" si="206">((+B313/A313)-(E313/D313))/(B313/A313)</f>
        <v>4.7186858874200148E-2</v>
      </c>
    </row>
    <row r="314" spans="1:12" ht="15" thickBot="1" x14ac:dyDescent="0.35">
      <c r="A314" s="514">
        <v>1476</v>
      </c>
      <c r="B314" s="233">
        <v>60626.25</v>
      </c>
      <c r="C314" s="516" t="s">
        <v>6214</v>
      </c>
      <c r="D314" s="45">
        <f>+I314+723</f>
        <v>1475</v>
      </c>
      <c r="E314" s="45">
        <f>+J314+29735</f>
        <v>60880.100000000006</v>
      </c>
      <c r="F314" s="516" t="s">
        <v>6215</v>
      </c>
      <c r="G314" s="516">
        <v>32751</v>
      </c>
      <c r="H314" s="40"/>
      <c r="I314" s="552">
        <v>752</v>
      </c>
      <c r="J314" s="516">
        <v>31145.100000000002</v>
      </c>
      <c r="K314" s="120">
        <f t="shared" si="205"/>
        <v>1</v>
      </c>
      <c r="L314" s="31">
        <f t="shared" si="206"/>
        <v>-4.8679349962730493E-3</v>
      </c>
    </row>
    <row r="315" spans="1:12" x14ac:dyDescent="0.3">
      <c r="A315" s="871">
        <v>698</v>
      </c>
      <c r="B315" s="964">
        <v>26342.5</v>
      </c>
      <c r="C315" s="873" t="s">
        <v>6216</v>
      </c>
      <c r="D315" s="873">
        <f>+I315+I316</f>
        <v>698</v>
      </c>
      <c r="E315" s="873">
        <f>+J315+J316</f>
        <v>26078.9</v>
      </c>
      <c r="F315" s="516" t="s">
        <v>6217</v>
      </c>
      <c r="G315" s="516">
        <v>32761</v>
      </c>
      <c r="H315" s="40"/>
      <c r="I315" s="552">
        <v>183</v>
      </c>
      <c r="J315" s="516">
        <v>7382</v>
      </c>
      <c r="K315" s="1081">
        <f t="shared" ref="K315" si="207">+A315-D315</f>
        <v>0</v>
      </c>
      <c r="L315" s="879">
        <f t="shared" ref="L315" si="208">((+B315/A315)-(E315/D315))/(B315/A315)</f>
        <v>1.0006643257093963E-2</v>
      </c>
    </row>
    <row r="316" spans="1:12" ht="15" thickBot="1" x14ac:dyDescent="0.35">
      <c r="A316" s="872"/>
      <c r="B316" s="965"/>
      <c r="C316" s="874"/>
      <c r="D316" s="874"/>
      <c r="E316" s="874"/>
      <c r="F316" s="517" t="s">
        <v>6217</v>
      </c>
      <c r="G316" s="517">
        <v>32761</v>
      </c>
      <c r="H316" s="519"/>
      <c r="I316" s="553">
        <v>515</v>
      </c>
      <c r="J316" s="517">
        <v>18696.900000000001</v>
      </c>
      <c r="K316" s="1082"/>
      <c r="L316" s="880"/>
    </row>
    <row r="317" spans="1:12" x14ac:dyDescent="0.3">
      <c r="A317" s="871">
        <v>2364</v>
      </c>
      <c r="B317" s="964">
        <v>104060.5</v>
      </c>
      <c r="C317" s="873" t="s">
        <v>6224</v>
      </c>
      <c r="D317" s="873">
        <f>SUM(I317:I320)</f>
        <v>2363</v>
      </c>
      <c r="E317" s="873">
        <f>SUM(J317:J320)</f>
        <v>104117</v>
      </c>
      <c r="F317" s="534" t="s">
        <v>6225</v>
      </c>
      <c r="G317" s="534">
        <v>32781</v>
      </c>
      <c r="H317" s="40"/>
      <c r="I317" s="552">
        <v>277</v>
      </c>
      <c r="J317" s="534">
        <v>12204.7</v>
      </c>
      <c r="K317" s="1081">
        <f t="shared" ref="K317" si="209">+A317-D317</f>
        <v>1</v>
      </c>
      <c r="L317" s="879">
        <f t="shared" ref="L317" si="210">((+B317/A317)-(E317/D317))/(B317/A317)</f>
        <v>-9.6637401006676284E-4</v>
      </c>
    </row>
    <row r="318" spans="1:12" x14ac:dyDescent="0.3">
      <c r="A318" s="875"/>
      <c r="B318" s="1105"/>
      <c r="C318" s="881"/>
      <c r="D318" s="881"/>
      <c r="E318" s="881"/>
      <c r="F318" s="50" t="s">
        <v>6225</v>
      </c>
      <c r="G318" s="50">
        <v>32781</v>
      </c>
      <c r="I318" s="551">
        <v>933</v>
      </c>
      <c r="J318" s="50">
        <v>42331</v>
      </c>
      <c r="K318" s="1083"/>
      <c r="L318" s="885"/>
    </row>
    <row r="319" spans="1:12" x14ac:dyDescent="0.3">
      <c r="A319" s="875"/>
      <c r="B319" s="1105"/>
      <c r="C319" s="881"/>
      <c r="D319" s="881"/>
      <c r="E319" s="881"/>
      <c r="F319" s="50" t="s">
        <v>6225</v>
      </c>
      <c r="G319" s="50">
        <v>32782</v>
      </c>
      <c r="I319" s="551">
        <v>540</v>
      </c>
      <c r="J319" s="50">
        <v>23798.7</v>
      </c>
      <c r="K319" s="1083"/>
      <c r="L319" s="885"/>
    </row>
    <row r="320" spans="1:12" ht="15" thickBot="1" x14ac:dyDescent="0.35">
      <c r="A320" s="872"/>
      <c r="B320" s="965"/>
      <c r="C320" s="874"/>
      <c r="D320" s="874"/>
      <c r="E320" s="874"/>
      <c r="F320" s="535" t="s">
        <v>6225</v>
      </c>
      <c r="G320" s="535">
        <v>32782</v>
      </c>
      <c r="H320" s="539"/>
      <c r="I320" s="553">
        <v>613</v>
      </c>
      <c r="J320" s="535">
        <v>25782.6</v>
      </c>
      <c r="K320" s="1082"/>
      <c r="L320" s="880"/>
    </row>
    <row r="321" spans="1:12" x14ac:dyDescent="0.3">
      <c r="A321" s="871">
        <v>450</v>
      </c>
      <c r="B321" s="964">
        <v>19973.75</v>
      </c>
      <c r="C321" s="524" t="s">
        <v>6226</v>
      </c>
      <c r="D321" s="873">
        <f>+I321+I322</f>
        <v>450</v>
      </c>
      <c r="E321" s="873">
        <f>+J321+J322</f>
        <v>20181.5</v>
      </c>
      <c r="F321" s="534" t="s">
        <v>6227</v>
      </c>
      <c r="G321" s="534">
        <v>32801</v>
      </c>
      <c r="H321" s="40"/>
      <c r="I321" s="552">
        <v>258</v>
      </c>
      <c r="J321" s="534">
        <v>11986.4</v>
      </c>
      <c r="K321" s="1081">
        <f t="shared" ref="K321" si="211">+A321-D321</f>
        <v>0</v>
      </c>
      <c r="L321" s="879">
        <f t="shared" ref="L321" si="212">((+B321/A321)-(E321/D321))/(B321/A321)</f>
        <v>-1.0401151511358642E-2</v>
      </c>
    </row>
    <row r="322" spans="1:12" ht="15" thickBot="1" x14ac:dyDescent="0.35">
      <c r="A322" s="872"/>
      <c r="B322" s="965"/>
      <c r="C322" s="525"/>
      <c r="D322" s="874"/>
      <c r="E322" s="874"/>
      <c r="F322" s="535" t="s">
        <v>6227</v>
      </c>
      <c r="G322" s="535">
        <v>32801</v>
      </c>
      <c r="H322" s="539"/>
      <c r="I322" s="553">
        <v>192</v>
      </c>
      <c r="J322" s="535">
        <v>8195.1</v>
      </c>
      <c r="K322" s="1082"/>
      <c r="L322" s="880"/>
    </row>
    <row r="323" spans="1:12" x14ac:dyDescent="0.3">
      <c r="A323" s="873">
        <v>1199</v>
      </c>
      <c r="B323" s="964">
        <v>48657.5</v>
      </c>
      <c r="C323" s="873" t="s">
        <v>6228</v>
      </c>
      <c r="D323" s="873">
        <f>+I323+I324</f>
        <v>1199</v>
      </c>
      <c r="E323" s="873">
        <f>+J323+J324</f>
        <v>48683</v>
      </c>
      <c r="F323" s="50" t="s">
        <v>6229</v>
      </c>
      <c r="G323" s="50">
        <v>32811</v>
      </c>
      <c r="I323" s="551">
        <v>408</v>
      </c>
      <c r="J323" s="50">
        <v>16677.599999999999</v>
      </c>
      <c r="K323" s="1081">
        <f t="shared" ref="K323" si="213">+A323-D323</f>
        <v>0</v>
      </c>
      <c r="L323" s="879">
        <f t="shared" ref="L323" si="214">((+B323/A323)-(E323/D323))/(B323/A323)</f>
        <v>-5.2407131480236417E-4</v>
      </c>
    </row>
    <row r="324" spans="1:12" ht="15" thickBot="1" x14ac:dyDescent="0.35">
      <c r="A324" s="874"/>
      <c r="B324" s="965"/>
      <c r="C324" s="874"/>
      <c r="D324" s="874"/>
      <c r="E324" s="874"/>
      <c r="F324" s="50" t="s">
        <v>6229</v>
      </c>
      <c r="G324" s="50">
        <v>32811</v>
      </c>
      <c r="I324" s="551">
        <v>791</v>
      </c>
      <c r="J324" s="50">
        <v>32005.4</v>
      </c>
      <c r="K324" s="1082"/>
      <c r="L324" s="880"/>
    </row>
    <row r="325" spans="1:12" ht="15" thickBot="1" x14ac:dyDescent="0.35">
      <c r="A325" s="175">
        <v>742</v>
      </c>
      <c r="B325" s="242">
        <v>34466.75</v>
      </c>
      <c r="C325" s="8" t="s">
        <v>6230</v>
      </c>
      <c r="D325" s="8">
        <f t="shared" ref="D325:E338" si="215">+I325</f>
        <v>742</v>
      </c>
      <c r="E325" s="8">
        <f t="shared" si="215"/>
        <v>34804.9</v>
      </c>
      <c r="F325" s="45" t="s">
        <v>6231</v>
      </c>
      <c r="G325" s="45">
        <v>32791</v>
      </c>
      <c r="H325" s="14"/>
      <c r="I325" s="554">
        <v>742</v>
      </c>
      <c r="J325" s="45">
        <v>34804.9</v>
      </c>
      <c r="K325" s="120">
        <f t="shared" ref="K325:K326" si="216">+A325-D325</f>
        <v>0</v>
      </c>
      <c r="L325" s="31">
        <f t="shared" ref="L325:L326" si="217">((+B325/A325)-(E325/D325))/(B325/A325)</f>
        <v>-9.8109047125127993E-3</v>
      </c>
    </row>
    <row r="326" spans="1:12" ht="15" thickBot="1" x14ac:dyDescent="0.35">
      <c r="A326" s="175">
        <v>287</v>
      </c>
      <c r="B326" s="242">
        <v>13090.6</v>
      </c>
      <c r="C326" s="8" t="s">
        <v>6232</v>
      </c>
      <c r="D326" s="8">
        <v>288</v>
      </c>
      <c r="E326" s="8">
        <v>13095.5</v>
      </c>
      <c r="F326" s="45" t="s">
        <v>6233</v>
      </c>
      <c r="G326" s="45">
        <v>32821</v>
      </c>
      <c r="H326" s="14"/>
      <c r="I326" s="554">
        <v>200</v>
      </c>
      <c r="J326" s="45">
        <v>9133.7000000000007</v>
      </c>
      <c r="K326" s="120">
        <f t="shared" si="216"/>
        <v>-1</v>
      </c>
      <c r="L326" s="31">
        <f t="shared" si="217"/>
        <v>3.0992075314432281E-3</v>
      </c>
    </row>
    <row r="327" spans="1:12" ht="15" thickBot="1" x14ac:dyDescent="0.35">
      <c r="A327" s="175">
        <v>729</v>
      </c>
      <c r="B327" s="242">
        <v>29618.3</v>
      </c>
      <c r="C327" s="8" t="s">
        <v>6392</v>
      </c>
      <c r="D327" s="8">
        <f t="shared" ref="D327:E331" si="218">+I327</f>
        <v>729</v>
      </c>
      <c r="E327" s="8">
        <f t="shared" si="218"/>
        <v>29551.9</v>
      </c>
      <c r="F327" s="45" t="s">
        <v>6393</v>
      </c>
      <c r="G327" s="45">
        <v>32851</v>
      </c>
      <c r="H327" s="14"/>
      <c r="I327" s="629">
        <v>729</v>
      </c>
      <c r="J327" s="629">
        <v>29551.9</v>
      </c>
      <c r="K327" s="120">
        <f t="shared" ref="K327:K332" si="219">+A327-D327</f>
        <v>0</v>
      </c>
      <c r="L327" s="31">
        <f t="shared" ref="L327:L332" si="220">((+B327/A327)-(E327/D327))/(B327/A327)</f>
        <v>2.2418572301583198E-3</v>
      </c>
    </row>
    <row r="328" spans="1:12" ht="15" thickBot="1" x14ac:dyDescent="0.35">
      <c r="A328" s="175">
        <v>211</v>
      </c>
      <c r="B328" s="242">
        <v>8519.1</v>
      </c>
      <c r="C328" s="8" t="s">
        <v>6394</v>
      </c>
      <c r="D328" s="8">
        <f t="shared" si="218"/>
        <v>211</v>
      </c>
      <c r="E328" s="8">
        <f t="shared" si="218"/>
        <v>8573.4</v>
      </c>
      <c r="F328" s="45" t="s">
        <v>6395</v>
      </c>
      <c r="G328" s="45">
        <v>32861</v>
      </c>
      <c r="H328" s="14"/>
      <c r="I328" s="629">
        <v>211</v>
      </c>
      <c r="J328" s="629">
        <v>8573.4</v>
      </c>
      <c r="K328" s="120">
        <f t="shared" si="219"/>
        <v>0</v>
      </c>
      <c r="L328" s="31">
        <f t="shared" si="220"/>
        <v>-6.3739127372609162E-3</v>
      </c>
    </row>
    <row r="329" spans="1:12" ht="15" thickBot="1" x14ac:dyDescent="0.35">
      <c r="A329" s="175">
        <v>500</v>
      </c>
      <c r="B329" s="242">
        <v>18178.3</v>
      </c>
      <c r="C329" s="8" t="s">
        <v>6396</v>
      </c>
      <c r="D329" s="8">
        <f t="shared" si="218"/>
        <v>500</v>
      </c>
      <c r="E329" s="8">
        <f t="shared" si="218"/>
        <v>18203.599999999999</v>
      </c>
      <c r="F329" s="45" t="s">
        <v>6397</v>
      </c>
      <c r="G329" s="45">
        <v>32881</v>
      </c>
      <c r="H329" s="14"/>
      <c r="I329" s="629">
        <v>500</v>
      </c>
      <c r="J329" s="629">
        <v>18203.599999999999</v>
      </c>
      <c r="K329" s="120">
        <f t="shared" si="219"/>
        <v>0</v>
      </c>
      <c r="L329" s="31">
        <f t="shared" si="220"/>
        <v>-1.3917693073608576E-3</v>
      </c>
    </row>
    <row r="330" spans="1:12" ht="15" thickBot="1" x14ac:dyDescent="0.35">
      <c r="A330" s="175">
        <v>488</v>
      </c>
      <c r="B330" s="242">
        <v>17455.599999999999</v>
      </c>
      <c r="C330" s="8" t="s">
        <v>6398</v>
      </c>
      <c r="D330" s="8">
        <f t="shared" si="218"/>
        <v>488</v>
      </c>
      <c r="E330" s="8">
        <f t="shared" si="218"/>
        <v>17423.900000000001</v>
      </c>
      <c r="F330" s="45" t="s">
        <v>6399</v>
      </c>
      <c r="G330" s="45">
        <v>32891</v>
      </c>
      <c r="H330" s="14"/>
      <c r="I330" s="629">
        <v>488</v>
      </c>
      <c r="J330" s="629">
        <v>17423.900000000001</v>
      </c>
      <c r="K330" s="120">
        <f t="shared" si="219"/>
        <v>0</v>
      </c>
      <c r="L330" s="31">
        <f t="shared" si="220"/>
        <v>1.8160361144846126E-3</v>
      </c>
    </row>
    <row r="331" spans="1:12" ht="15" thickBot="1" x14ac:dyDescent="0.35">
      <c r="A331" s="175">
        <v>477</v>
      </c>
      <c r="B331" s="242">
        <v>19668.7</v>
      </c>
      <c r="C331" s="8" t="s">
        <v>6400</v>
      </c>
      <c r="D331" s="8">
        <f t="shared" si="218"/>
        <v>477</v>
      </c>
      <c r="E331" s="8">
        <f t="shared" si="218"/>
        <v>19525.5</v>
      </c>
      <c r="F331" s="45" t="s">
        <v>6401</v>
      </c>
      <c r="G331" s="45">
        <v>32901</v>
      </c>
      <c r="H331" s="14"/>
      <c r="I331" s="629">
        <v>477</v>
      </c>
      <c r="J331" s="629">
        <v>19525.5</v>
      </c>
      <c r="K331" s="120">
        <f t="shared" si="219"/>
        <v>0</v>
      </c>
      <c r="L331" s="31">
        <f t="shared" si="220"/>
        <v>7.2806031918735024E-3</v>
      </c>
    </row>
    <row r="332" spans="1:12" x14ac:dyDescent="0.3">
      <c r="A332" s="871">
        <v>435</v>
      </c>
      <c r="B332" s="964">
        <v>17856.5</v>
      </c>
      <c r="C332" s="873" t="s">
        <v>6402</v>
      </c>
      <c r="D332" s="873">
        <f>+I332+I333</f>
        <v>435</v>
      </c>
      <c r="E332" s="873">
        <f>+J332+J333</f>
        <v>17892.3</v>
      </c>
      <c r="F332" s="598" t="s">
        <v>6403</v>
      </c>
      <c r="G332" s="598">
        <v>32911</v>
      </c>
      <c r="H332" s="40"/>
      <c r="I332" s="630">
        <v>323</v>
      </c>
      <c r="J332" s="630">
        <v>13212.9</v>
      </c>
      <c r="K332" s="1081">
        <f t="shared" si="219"/>
        <v>0</v>
      </c>
      <c r="L332" s="879">
        <f t="shared" si="220"/>
        <v>-2.0048721753982281E-3</v>
      </c>
    </row>
    <row r="333" spans="1:12" ht="15" thickBot="1" x14ac:dyDescent="0.35">
      <c r="A333" s="872"/>
      <c r="B333" s="965"/>
      <c r="C333" s="874"/>
      <c r="D333" s="874"/>
      <c r="E333" s="874"/>
      <c r="F333" s="599" t="s">
        <v>6403</v>
      </c>
      <c r="G333" s="599">
        <v>32911</v>
      </c>
      <c r="H333" s="600"/>
      <c r="I333" s="631">
        <v>112</v>
      </c>
      <c r="J333" s="631">
        <v>4679.3999999999996</v>
      </c>
      <c r="K333" s="1082"/>
      <c r="L333" s="880"/>
    </row>
    <row r="334" spans="1:12" ht="15" thickBot="1" x14ac:dyDescent="0.35">
      <c r="A334" s="175">
        <v>451</v>
      </c>
      <c r="B334" s="242">
        <v>15944.9</v>
      </c>
      <c r="C334" s="8" t="s">
        <v>6404</v>
      </c>
      <c r="D334" s="8">
        <f>+I334</f>
        <v>451</v>
      </c>
      <c r="E334" s="8">
        <f>+J334</f>
        <v>15772.3</v>
      </c>
      <c r="F334" s="45" t="s">
        <v>6405</v>
      </c>
      <c r="G334" s="45">
        <v>32931</v>
      </c>
      <c r="H334" s="14"/>
      <c r="I334" s="629">
        <v>451</v>
      </c>
      <c r="J334" s="629">
        <v>15772.3</v>
      </c>
      <c r="K334" s="120">
        <f t="shared" ref="K334:K335" si="221">+A334-D334</f>
        <v>0</v>
      </c>
      <c r="L334" s="31">
        <f t="shared" ref="L334" si="222">((+B334/A334)-(E334/D334))/(B334/A334)</f>
        <v>1.0824777828647408E-2</v>
      </c>
    </row>
    <row r="335" spans="1:12" x14ac:dyDescent="0.3">
      <c r="A335" s="871">
        <v>1545</v>
      </c>
      <c r="B335" s="964">
        <v>64402.25</v>
      </c>
      <c r="C335" s="873" t="s">
        <v>6406</v>
      </c>
      <c r="D335" s="873">
        <f>+I335+I337+I336</f>
        <v>1545</v>
      </c>
      <c r="E335" s="873">
        <f>+J335+J337+J336</f>
        <v>65011</v>
      </c>
      <c r="F335" s="598" t="s">
        <v>6407</v>
      </c>
      <c r="G335" s="598">
        <v>32941</v>
      </c>
      <c r="H335" s="40"/>
      <c r="I335" s="630">
        <v>345</v>
      </c>
      <c r="J335" s="630">
        <v>14412.8</v>
      </c>
      <c r="K335" s="1081">
        <f t="shared" si="221"/>
        <v>0</v>
      </c>
      <c r="L335" s="879">
        <f>((+B335/A335)-(E335/D335))/(B335/A335)</f>
        <v>-9.4523095078198737E-3</v>
      </c>
    </row>
    <row r="336" spans="1:12" x14ac:dyDescent="0.3">
      <c r="A336" s="875"/>
      <c r="B336" s="1105"/>
      <c r="C336" s="881"/>
      <c r="D336" s="881"/>
      <c r="E336" s="881"/>
      <c r="F336" s="50" t="s">
        <v>6407</v>
      </c>
      <c r="G336" s="50">
        <v>32941</v>
      </c>
      <c r="I336" s="632">
        <v>600</v>
      </c>
      <c r="J336" s="632">
        <v>25162.799999999999</v>
      </c>
      <c r="K336" s="1083"/>
      <c r="L336" s="885"/>
    </row>
    <row r="337" spans="1:12" ht="15" thickBot="1" x14ac:dyDescent="0.35">
      <c r="A337" s="872"/>
      <c r="B337" s="965"/>
      <c r="C337" s="874"/>
      <c r="D337" s="874"/>
      <c r="E337" s="874"/>
      <c r="F337" s="599" t="s">
        <v>6407</v>
      </c>
      <c r="G337" s="599">
        <v>32941</v>
      </c>
      <c r="H337" s="600"/>
      <c r="I337" s="631">
        <v>600</v>
      </c>
      <c r="J337" s="631">
        <v>25435.4</v>
      </c>
      <c r="K337" s="1082"/>
      <c r="L337" s="880"/>
    </row>
    <row r="338" spans="1:12" ht="15" thickBot="1" x14ac:dyDescent="0.35">
      <c r="A338" s="175">
        <v>382</v>
      </c>
      <c r="B338" s="242">
        <v>15944.5</v>
      </c>
      <c r="C338" s="8" t="s">
        <v>6234</v>
      </c>
      <c r="D338" s="8">
        <f t="shared" si="215"/>
        <v>382</v>
      </c>
      <c r="E338" s="8">
        <f t="shared" si="215"/>
        <v>15477.8</v>
      </c>
      <c r="F338" s="45" t="s">
        <v>6235</v>
      </c>
      <c r="G338" s="45">
        <v>32981</v>
      </c>
      <c r="H338" s="14"/>
      <c r="I338" s="554">
        <v>382</v>
      </c>
      <c r="J338" s="45">
        <v>15477.8</v>
      </c>
      <c r="K338" s="120">
        <f t="shared" ref="K338:K339" si="223">+A338-D338</f>
        <v>0</v>
      </c>
      <c r="L338" s="31">
        <f t="shared" ref="L338:L339" si="224">((+B338/A338)-(E338/D338))/(B338/A338)</f>
        <v>2.9270281288218559E-2</v>
      </c>
    </row>
    <row r="339" spans="1:12" x14ac:dyDescent="0.3">
      <c r="A339" s="882">
        <v>2461</v>
      </c>
      <c r="B339" s="980">
        <v>102228.25</v>
      </c>
      <c r="C339" s="982" t="s">
        <v>6408</v>
      </c>
      <c r="D339" s="873">
        <f>+I339+I341+I342+I343+I340</f>
        <v>2461</v>
      </c>
      <c r="E339" s="873">
        <f>+J339+J341+J342+J343+J340</f>
        <v>101941.6</v>
      </c>
      <c r="F339" s="598" t="s">
        <v>6409</v>
      </c>
      <c r="G339" s="598">
        <v>33001</v>
      </c>
      <c r="H339" s="40"/>
      <c r="I339" s="630">
        <v>800</v>
      </c>
      <c r="J339" s="630">
        <v>33079.800000000003</v>
      </c>
      <c r="K339" s="1081">
        <f t="shared" si="223"/>
        <v>0</v>
      </c>
      <c r="L339" s="879">
        <f t="shared" si="224"/>
        <v>2.804019436897281E-3</v>
      </c>
    </row>
    <row r="340" spans="1:12" x14ac:dyDescent="0.3">
      <c r="A340" s="883"/>
      <c r="B340" s="1117"/>
      <c r="C340" s="1005"/>
      <c r="D340" s="881"/>
      <c r="E340" s="881"/>
      <c r="F340" s="50" t="s">
        <v>6409</v>
      </c>
      <c r="G340" s="50">
        <v>33001</v>
      </c>
      <c r="I340" s="632">
        <v>207</v>
      </c>
      <c r="J340" s="632">
        <v>8810.6</v>
      </c>
      <c r="K340" s="1083"/>
      <c r="L340" s="885"/>
    </row>
    <row r="341" spans="1:12" x14ac:dyDescent="0.3">
      <c r="A341" s="883"/>
      <c r="B341" s="1117"/>
      <c r="C341" s="1005"/>
      <c r="D341" s="881"/>
      <c r="E341" s="881"/>
      <c r="F341" s="50" t="s">
        <v>6409</v>
      </c>
      <c r="G341" s="50">
        <v>33001</v>
      </c>
      <c r="I341" s="632">
        <v>400</v>
      </c>
      <c r="J341" s="632">
        <v>15848.8</v>
      </c>
      <c r="K341" s="1083"/>
      <c r="L341" s="885"/>
    </row>
    <row r="342" spans="1:12" x14ac:dyDescent="0.3">
      <c r="A342" s="883"/>
      <c r="B342" s="1117"/>
      <c r="C342" s="1005"/>
      <c r="D342" s="881"/>
      <c r="E342" s="881"/>
      <c r="F342" s="50" t="s">
        <v>6409</v>
      </c>
      <c r="G342" s="50">
        <v>33002</v>
      </c>
      <c r="I342" s="632">
        <v>400</v>
      </c>
      <c r="J342" s="632">
        <v>16445.8</v>
      </c>
      <c r="K342" s="1083"/>
      <c r="L342" s="885"/>
    </row>
    <row r="343" spans="1:12" ht="15" thickBot="1" x14ac:dyDescent="0.35">
      <c r="A343" s="883"/>
      <c r="B343" s="1117"/>
      <c r="C343" s="1005"/>
      <c r="D343" s="881"/>
      <c r="E343" s="881"/>
      <c r="F343" s="50" t="s">
        <v>6409</v>
      </c>
      <c r="G343" s="50">
        <v>33002</v>
      </c>
      <c r="I343" s="632">
        <v>654</v>
      </c>
      <c r="J343" s="632">
        <v>27756.6</v>
      </c>
      <c r="K343" s="1082"/>
      <c r="L343" s="880"/>
    </row>
    <row r="344" spans="1:12" x14ac:dyDescent="0.3">
      <c r="A344" s="871">
        <v>2500</v>
      </c>
      <c r="B344" s="964">
        <v>97575.3</v>
      </c>
      <c r="C344" s="873" t="s">
        <v>6410</v>
      </c>
      <c r="D344" s="873">
        <v>2500</v>
      </c>
      <c r="E344" s="873">
        <v>96921</v>
      </c>
      <c r="F344" s="598" t="s">
        <v>6411</v>
      </c>
      <c r="G344" s="598">
        <v>33011</v>
      </c>
      <c r="H344" s="40"/>
      <c r="I344" s="630">
        <v>57</v>
      </c>
      <c r="J344" s="630">
        <v>2316.6</v>
      </c>
      <c r="K344" s="1081">
        <f t="shared" ref="K344" si="225">+A344-D344</f>
        <v>0</v>
      </c>
      <c r="L344" s="879">
        <f>((+B344/A344)-(E344/D344))/(B344/A344)</f>
        <v>6.705590451682032E-3</v>
      </c>
    </row>
    <row r="345" spans="1:12" x14ac:dyDescent="0.3">
      <c r="A345" s="875"/>
      <c r="B345" s="1105"/>
      <c r="C345" s="881"/>
      <c r="D345" s="881"/>
      <c r="E345" s="881"/>
      <c r="F345" s="50" t="s">
        <v>6411</v>
      </c>
      <c r="G345" s="50">
        <v>33011</v>
      </c>
      <c r="I345" s="632">
        <v>1193</v>
      </c>
      <c r="J345" s="632">
        <v>48071.6</v>
      </c>
      <c r="K345" s="1083"/>
      <c r="L345" s="885"/>
    </row>
    <row r="346" spans="1:12" ht="15" thickBot="1" x14ac:dyDescent="0.35">
      <c r="A346" s="872"/>
      <c r="B346" s="965"/>
      <c r="C346" s="874"/>
      <c r="D346" s="874"/>
      <c r="E346" s="874"/>
      <c r="F346" s="599" t="s">
        <v>6411</v>
      </c>
      <c r="G346" s="599">
        <v>33011</v>
      </c>
      <c r="H346" s="600"/>
      <c r="I346" s="631">
        <v>107</v>
      </c>
      <c r="J346" s="631">
        <v>4243.5</v>
      </c>
      <c r="K346" s="1082"/>
      <c r="L346" s="880"/>
    </row>
    <row r="347" spans="1:12" x14ac:dyDescent="0.3">
      <c r="A347" s="871">
        <v>692</v>
      </c>
      <c r="B347" s="964">
        <v>26820.6</v>
      </c>
      <c r="C347" s="873" t="s">
        <v>6542</v>
      </c>
      <c r="D347" s="873">
        <f>+I347+I348</f>
        <v>692</v>
      </c>
      <c r="E347" s="873">
        <f>+J347+J348</f>
        <v>26645.3</v>
      </c>
      <c r="F347" s="614" t="s">
        <v>6543</v>
      </c>
      <c r="G347" s="614">
        <v>33021</v>
      </c>
      <c r="H347" s="40"/>
      <c r="I347" s="641">
        <v>537</v>
      </c>
      <c r="J347" s="614">
        <v>21589.1</v>
      </c>
      <c r="K347" s="1081">
        <f t="shared" ref="K347" si="226">+A347-D347</f>
        <v>0</v>
      </c>
      <c r="L347" s="879">
        <f t="shared" ref="L347" si="227">((+B347/A347)-(E347/D347))/(B347/A347)</f>
        <v>6.5360208198175203E-3</v>
      </c>
    </row>
    <row r="348" spans="1:12" ht="15" thickBot="1" x14ac:dyDescent="0.35">
      <c r="A348" s="872"/>
      <c r="B348" s="965"/>
      <c r="C348" s="874"/>
      <c r="D348" s="874"/>
      <c r="E348" s="874"/>
      <c r="F348" s="615" t="s">
        <v>6543</v>
      </c>
      <c r="G348" s="615">
        <v>33021</v>
      </c>
      <c r="H348" s="620"/>
      <c r="I348" s="642">
        <v>155</v>
      </c>
      <c r="J348" s="615">
        <v>5056.2</v>
      </c>
      <c r="K348" s="1082"/>
      <c r="L348" s="880"/>
    </row>
    <row r="349" spans="1:12" x14ac:dyDescent="0.3">
      <c r="A349" s="875">
        <v>1222</v>
      </c>
      <c r="B349" s="1105">
        <v>47971.8</v>
      </c>
      <c r="C349" s="881" t="s">
        <v>6544</v>
      </c>
      <c r="D349" s="881">
        <f>+I349+I350</f>
        <v>1221</v>
      </c>
      <c r="E349" s="881">
        <f>+J349+J350</f>
        <v>47693.3</v>
      </c>
      <c r="F349" s="50" t="s">
        <v>6545</v>
      </c>
      <c r="G349" s="50">
        <v>33071</v>
      </c>
      <c r="I349" s="643">
        <v>854</v>
      </c>
      <c r="J349" s="50">
        <v>34483.599999999999</v>
      </c>
      <c r="K349" s="1081">
        <f t="shared" ref="K349" si="228">+A349-D349</f>
        <v>1</v>
      </c>
      <c r="L349" s="879">
        <f t="shared" ref="L349" si="229">((+B349/A349)-(E349/D349))/(B349/A349)</f>
        <v>4.9912479464841028E-3</v>
      </c>
    </row>
    <row r="350" spans="1:12" ht="15" thickBot="1" x14ac:dyDescent="0.35">
      <c r="A350" s="875"/>
      <c r="B350" s="1105"/>
      <c r="C350" s="881"/>
      <c r="D350" s="881"/>
      <c r="E350" s="881"/>
      <c r="F350" s="50" t="s">
        <v>6545</v>
      </c>
      <c r="G350" s="50">
        <v>33071</v>
      </c>
      <c r="I350" s="643">
        <v>367</v>
      </c>
      <c r="J350" s="50">
        <v>13209.7</v>
      </c>
      <c r="K350" s="1082"/>
      <c r="L350" s="880"/>
    </row>
    <row r="351" spans="1:12" x14ac:dyDescent="0.3">
      <c r="A351" s="871">
        <v>4029</v>
      </c>
      <c r="B351" s="964">
        <v>149178</v>
      </c>
      <c r="C351" s="873" t="s">
        <v>6546</v>
      </c>
      <c r="D351" s="873">
        <f>+I351+I353+I354+I355+I356+I357+I358+I352</f>
        <v>4028</v>
      </c>
      <c r="E351" s="873">
        <f>+J351+J353+J354+J355+J356+J357+J358+J352</f>
        <v>148911.29999999999</v>
      </c>
      <c r="F351" s="614" t="s">
        <v>6547</v>
      </c>
      <c r="G351" s="614">
        <v>33101</v>
      </c>
      <c r="H351" s="40"/>
      <c r="I351" s="641">
        <v>286</v>
      </c>
      <c r="J351" s="614">
        <v>10649.199999999999</v>
      </c>
      <c r="K351" s="1081">
        <f t="shared" ref="K351" si="230">+A351-D351</f>
        <v>1</v>
      </c>
      <c r="L351" s="879">
        <f t="shared" ref="L351" si="231">((+B351/A351)-(E351/D351))/(B351/A351)</f>
        <v>1.539978805802229E-3</v>
      </c>
    </row>
    <row r="352" spans="1:12" x14ac:dyDescent="0.3">
      <c r="A352" s="875"/>
      <c r="B352" s="1105"/>
      <c r="C352" s="881"/>
      <c r="D352" s="881"/>
      <c r="E352" s="881"/>
      <c r="F352" s="50" t="s">
        <v>6547</v>
      </c>
      <c r="G352" s="50">
        <v>33101</v>
      </c>
      <c r="I352" s="643">
        <v>1000</v>
      </c>
      <c r="J352" s="50">
        <v>36803.300000000003</v>
      </c>
      <c r="K352" s="1083"/>
      <c r="L352" s="885"/>
    </row>
    <row r="353" spans="1:12" x14ac:dyDescent="0.3">
      <c r="A353" s="875"/>
      <c r="B353" s="1105"/>
      <c r="C353" s="881"/>
      <c r="D353" s="881"/>
      <c r="E353" s="881"/>
      <c r="F353" s="50" t="s">
        <v>6547</v>
      </c>
      <c r="G353" s="50">
        <v>33101</v>
      </c>
      <c r="I353" s="643">
        <v>212</v>
      </c>
      <c r="J353" s="50">
        <v>7901.2999999999993</v>
      </c>
      <c r="K353" s="1083"/>
      <c r="L353" s="885"/>
    </row>
    <row r="354" spans="1:12" x14ac:dyDescent="0.3">
      <c r="A354" s="875"/>
      <c r="B354" s="1105"/>
      <c r="C354" s="881"/>
      <c r="D354" s="881"/>
      <c r="E354" s="881"/>
      <c r="F354" s="50" t="s">
        <v>6547</v>
      </c>
      <c r="G354" s="50">
        <v>33101</v>
      </c>
      <c r="I354" s="643">
        <v>600</v>
      </c>
      <c r="J354" s="50">
        <v>22644.2</v>
      </c>
      <c r="K354" s="1083"/>
      <c r="L354" s="885"/>
    </row>
    <row r="355" spans="1:12" x14ac:dyDescent="0.3">
      <c r="A355" s="875"/>
      <c r="B355" s="1105"/>
      <c r="C355" s="881"/>
      <c r="D355" s="881"/>
      <c r="E355" s="881"/>
      <c r="F355" s="50" t="s">
        <v>6547</v>
      </c>
      <c r="G355" s="50">
        <v>33102</v>
      </c>
      <c r="I355" s="643">
        <v>518</v>
      </c>
      <c r="J355" s="50">
        <v>19202</v>
      </c>
      <c r="K355" s="1083"/>
      <c r="L355" s="885"/>
    </row>
    <row r="356" spans="1:12" x14ac:dyDescent="0.3">
      <c r="A356" s="875"/>
      <c r="B356" s="1105"/>
      <c r="C356" s="881"/>
      <c r="D356" s="881"/>
      <c r="E356" s="881"/>
      <c r="F356" s="50" t="s">
        <v>6547</v>
      </c>
      <c r="G356" s="50">
        <v>33103</v>
      </c>
      <c r="I356" s="643">
        <v>134</v>
      </c>
      <c r="J356" s="50">
        <v>4790.6000000000004</v>
      </c>
      <c r="K356" s="1083"/>
      <c r="L356" s="885"/>
    </row>
    <row r="357" spans="1:12" x14ac:dyDescent="0.3">
      <c r="A357" s="875"/>
      <c r="B357" s="1105"/>
      <c r="C357" s="881"/>
      <c r="D357" s="881"/>
      <c r="E357" s="881"/>
      <c r="F357" s="50" t="s">
        <v>6547</v>
      </c>
      <c r="G357" s="50">
        <v>33101</v>
      </c>
      <c r="I357" s="643">
        <v>998</v>
      </c>
      <c r="J357" s="50">
        <v>36406.899999999994</v>
      </c>
      <c r="K357" s="1083"/>
      <c r="L357" s="885"/>
    </row>
    <row r="358" spans="1:12" ht="15" thickBot="1" x14ac:dyDescent="0.35">
      <c r="A358" s="872"/>
      <c r="B358" s="965"/>
      <c r="C358" s="874"/>
      <c r="D358" s="874"/>
      <c r="E358" s="874"/>
      <c r="F358" s="615" t="s">
        <v>6547</v>
      </c>
      <c r="G358" s="615">
        <v>33101</v>
      </c>
      <c r="H358" s="620"/>
      <c r="I358" s="642">
        <v>280</v>
      </c>
      <c r="J358" s="615">
        <v>10513.8</v>
      </c>
      <c r="K358" s="1082"/>
      <c r="L358" s="880"/>
    </row>
    <row r="359" spans="1:12" ht="15" thickBot="1" x14ac:dyDescent="0.35">
      <c r="A359" s="178">
        <v>400</v>
      </c>
      <c r="B359" s="232">
        <v>17334.25</v>
      </c>
      <c r="C359" s="45" t="s">
        <v>6548</v>
      </c>
      <c r="D359" s="45">
        <f>+I359</f>
        <v>400</v>
      </c>
      <c r="E359" s="45">
        <f>+J359</f>
        <v>17577.3</v>
      </c>
      <c r="F359" s="45" t="s">
        <v>6549</v>
      </c>
      <c r="G359" s="45">
        <v>33111</v>
      </c>
      <c r="H359" s="14"/>
      <c r="I359" s="644">
        <v>400</v>
      </c>
      <c r="J359" s="45">
        <v>17577.3</v>
      </c>
      <c r="K359" s="120">
        <f t="shared" ref="K359:K360" si="232">+A359-D359</f>
        <v>0</v>
      </c>
      <c r="L359" s="31">
        <f t="shared" ref="L359:L360" si="233">((+B359/A359)-(E359/D359))/(B359/A359)</f>
        <v>-1.4021373869651096E-2</v>
      </c>
    </row>
    <row r="360" spans="1:12" ht="15" thickBot="1" x14ac:dyDescent="0.35">
      <c r="A360" s="178">
        <v>623</v>
      </c>
      <c r="B360" s="232">
        <v>26125.9</v>
      </c>
      <c r="C360" s="45" t="s">
        <v>6550</v>
      </c>
      <c r="D360" s="45">
        <f>+I360</f>
        <v>623</v>
      </c>
      <c r="E360" s="45">
        <f>+J360</f>
        <v>25951.8</v>
      </c>
      <c r="F360" s="45" t="s">
        <v>6551</v>
      </c>
      <c r="G360" s="45">
        <v>33151</v>
      </c>
      <c r="H360" s="14"/>
      <c r="I360" s="45">
        <v>623</v>
      </c>
      <c r="J360" s="45">
        <v>25951.8</v>
      </c>
      <c r="K360" s="120">
        <f t="shared" si="232"/>
        <v>0</v>
      </c>
      <c r="L360" s="31">
        <f t="shared" si="233"/>
        <v>6.6638852632829012E-3</v>
      </c>
    </row>
    <row r="361" spans="1:12" x14ac:dyDescent="0.3">
      <c r="A361" s="871">
        <v>2446</v>
      </c>
      <c r="B361" s="964">
        <v>92357.25</v>
      </c>
      <c r="C361" s="873" t="s">
        <v>6552</v>
      </c>
      <c r="D361" s="873">
        <v>2446</v>
      </c>
      <c r="E361" s="873">
        <v>92769.8</v>
      </c>
      <c r="F361" s="614" t="s">
        <v>6553</v>
      </c>
      <c r="G361" s="614">
        <v>33161</v>
      </c>
      <c r="H361" s="40"/>
      <c r="I361" s="614">
        <v>600</v>
      </c>
      <c r="J361" s="614">
        <v>22438.799999999999</v>
      </c>
      <c r="K361" s="1081">
        <f t="shared" ref="K361" si="234">+A361-D361</f>
        <v>0</v>
      </c>
      <c r="L361" s="879">
        <f>((+B361/A361)-(E361/D361))/(B361/A361)</f>
        <v>-4.4668935032171394E-3</v>
      </c>
    </row>
    <row r="362" spans="1:12" x14ac:dyDescent="0.3">
      <c r="A362" s="875"/>
      <c r="B362" s="1105"/>
      <c r="C362" s="881"/>
      <c r="D362" s="881"/>
      <c r="E362" s="881"/>
      <c r="F362" s="50" t="s">
        <v>6553</v>
      </c>
      <c r="G362" s="50">
        <v>33161</v>
      </c>
      <c r="I362" s="50">
        <v>308</v>
      </c>
      <c r="J362" s="50">
        <v>11471.7</v>
      </c>
      <c r="K362" s="1083"/>
      <c r="L362" s="885"/>
    </row>
    <row r="363" spans="1:12" ht="15" thickBot="1" x14ac:dyDescent="0.35">
      <c r="A363" s="872"/>
      <c r="B363" s="965"/>
      <c r="C363" s="874"/>
      <c r="D363" s="874"/>
      <c r="E363" s="874"/>
      <c r="F363" s="615" t="s">
        <v>6553</v>
      </c>
      <c r="G363" s="615">
        <v>33162</v>
      </c>
      <c r="H363" s="620"/>
      <c r="I363" s="615">
        <v>617</v>
      </c>
      <c r="J363" s="615">
        <v>23477.9</v>
      </c>
      <c r="K363" s="1082"/>
      <c r="L363" s="880"/>
    </row>
    <row r="364" spans="1:12" x14ac:dyDescent="0.3">
      <c r="A364" s="871">
        <v>2000</v>
      </c>
      <c r="B364" s="964">
        <v>77621.5</v>
      </c>
      <c r="C364" s="873" t="s">
        <v>6631</v>
      </c>
      <c r="D364" s="873">
        <f>+I364+I365+I366</f>
        <v>2000</v>
      </c>
      <c r="E364" s="873">
        <f>+J364+J365+J366</f>
        <v>77217.900000000009</v>
      </c>
      <c r="F364" s="657" t="s">
        <v>6632</v>
      </c>
      <c r="G364" s="657">
        <v>33181</v>
      </c>
      <c r="H364" s="40"/>
      <c r="I364" s="657">
        <v>1000</v>
      </c>
      <c r="J364" s="657">
        <v>40564.400000000009</v>
      </c>
      <c r="K364" s="1081">
        <f t="shared" ref="K364" si="235">+A364-D364</f>
        <v>0</v>
      </c>
      <c r="L364" s="879">
        <f>((+B364/A364)-(E364/D364))/(B364/A364)</f>
        <v>5.1995903196921352E-3</v>
      </c>
    </row>
    <row r="365" spans="1:12" x14ac:dyDescent="0.3">
      <c r="A365" s="875"/>
      <c r="B365" s="1105"/>
      <c r="C365" s="881"/>
      <c r="D365" s="881"/>
      <c r="E365" s="881"/>
      <c r="F365" s="50" t="s">
        <v>6632</v>
      </c>
      <c r="G365" s="50">
        <v>33182</v>
      </c>
      <c r="I365" s="50">
        <v>300</v>
      </c>
      <c r="J365" s="50">
        <v>12162.5</v>
      </c>
      <c r="K365" s="1083"/>
      <c r="L365" s="885"/>
    </row>
    <row r="366" spans="1:12" ht="15" thickBot="1" x14ac:dyDescent="0.35">
      <c r="A366" s="872"/>
      <c r="B366" s="965"/>
      <c r="C366" s="874"/>
      <c r="D366" s="874"/>
      <c r="E366" s="874"/>
      <c r="F366" s="658" t="s">
        <v>6632</v>
      </c>
      <c r="G366" s="658">
        <v>33182</v>
      </c>
      <c r="H366" s="659"/>
      <c r="I366" s="658">
        <v>700</v>
      </c>
      <c r="J366" s="658">
        <v>24491.000000000004</v>
      </c>
      <c r="K366" s="1082"/>
      <c r="L366" s="880"/>
    </row>
    <row r="367" spans="1:12" ht="15" thickBot="1" x14ac:dyDescent="0.35">
      <c r="A367" s="178">
        <v>833</v>
      </c>
      <c r="B367" s="195">
        <v>30963.75</v>
      </c>
      <c r="C367" s="45" t="s">
        <v>6633</v>
      </c>
      <c r="D367" s="45">
        <f>+I367</f>
        <v>833</v>
      </c>
      <c r="E367" s="45">
        <f>+J367</f>
        <v>31178.2</v>
      </c>
      <c r="F367" s="45" t="s">
        <v>6634</v>
      </c>
      <c r="G367" s="45">
        <v>33221</v>
      </c>
      <c r="H367" s="45"/>
      <c r="I367" s="45">
        <v>833</v>
      </c>
      <c r="J367" s="45">
        <v>31178.2</v>
      </c>
      <c r="K367" s="120">
        <f t="shared" ref="K367:K368" si="236">+A367-D367</f>
        <v>0</v>
      </c>
      <c r="L367" s="31">
        <f t="shared" ref="L367" si="237">((+B367/A367)-(E367/D367))/(B367/A367)</f>
        <v>-6.9258407008195204E-3</v>
      </c>
    </row>
    <row r="368" spans="1:12" x14ac:dyDescent="0.3">
      <c r="A368" s="871">
        <v>3000</v>
      </c>
      <c r="B368" s="964">
        <v>121441.5</v>
      </c>
      <c r="C368" s="873" t="s">
        <v>6635</v>
      </c>
      <c r="D368" s="873">
        <v>3000</v>
      </c>
      <c r="E368" s="873">
        <v>120301.4</v>
      </c>
      <c r="F368" s="657" t="s">
        <v>6636</v>
      </c>
      <c r="G368" s="657">
        <v>33231</v>
      </c>
      <c r="H368" s="40"/>
      <c r="I368" s="657">
        <v>300</v>
      </c>
      <c r="J368" s="657">
        <v>12189.2</v>
      </c>
      <c r="K368" s="1081">
        <f t="shared" si="236"/>
        <v>0</v>
      </c>
      <c r="L368" s="879">
        <f>((+B368/A368)-(E368/D368))/(B368/A368)</f>
        <v>9.3880592713364956E-3</v>
      </c>
    </row>
    <row r="369" spans="1:12" x14ac:dyDescent="0.3">
      <c r="A369" s="875"/>
      <c r="B369" s="1105"/>
      <c r="C369" s="881"/>
      <c r="D369" s="881"/>
      <c r="E369" s="881"/>
      <c r="F369" s="50" t="s">
        <v>6636</v>
      </c>
      <c r="G369" s="50">
        <v>33231</v>
      </c>
      <c r="I369" s="50">
        <v>700</v>
      </c>
      <c r="J369" s="50">
        <v>28067</v>
      </c>
      <c r="K369" s="1083"/>
      <c r="L369" s="885"/>
    </row>
    <row r="370" spans="1:12" x14ac:dyDescent="0.3">
      <c r="A370" s="875"/>
      <c r="B370" s="1105"/>
      <c r="C370" s="881"/>
      <c r="D370" s="881"/>
      <c r="E370" s="881"/>
      <c r="F370" s="50" t="s">
        <v>6636</v>
      </c>
      <c r="G370" s="50">
        <v>33232</v>
      </c>
      <c r="I370" s="50">
        <v>300</v>
      </c>
      <c r="J370" s="50">
        <v>11930.7</v>
      </c>
      <c r="K370" s="1083"/>
      <c r="L370" s="885"/>
    </row>
    <row r="371" spans="1:12" x14ac:dyDescent="0.3">
      <c r="A371" s="875"/>
      <c r="B371" s="1105"/>
      <c r="C371" s="881"/>
      <c r="D371" s="881"/>
      <c r="E371" s="881"/>
      <c r="F371" s="50" t="s">
        <v>6636</v>
      </c>
      <c r="G371" s="50">
        <v>33232</v>
      </c>
      <c r="I371" s="50">
        <v>200</v>
      </c>
      <c r="J371" s="50">
        <v>8102.7</v>
      </c>
      <c r="K371" s="1083"/>
      <c r="L371" s="885"/>
    </row>
    <row r="372" spans="1:12" x14ac:dyDescent="0.3">
      <c r="A372" s="875"/>
      <c r="B372" s="1105"/>
      <c r="C372" s="881"/>
      <c r="D372" s="881"/>
      <c r="E372" s="881"/>
      <c r="F372" s="50" t="s">
        <v>6636</v>
      </c>
      <c r="G372" s="50">
        <v>33233</v>
      </c>
      <c r="I372" s="50">
        <v>500</v>
      </c>
      <c r="J372" s="50">
        <v>20172.400000000001</v>
      </c>
      <c r="K372" s="1083"/>
      <c r="L372" s="885"/>
    </row>
    <row r="373" spans="1:12" ht="15" thickBot="1" x14ac:dyDescent="0.35">
      <c r="A373" s="872"/>
      <c r="B373" s="965"/>
      <c r="C373" s="874"/>
      <c r="D373" s="874"/>
      <c r="E373" s="874"/>
      <c r="F373" s="658" t="s">
        <v>6636</v>
      </c>
      <c r="G373" s="658">
        <v>33233</v>
      </c>
      <c r="H373" s="659"/>
      <c r="I373" s="658">
        <v>800</v>
      </c>
      <c r="J373" s="658">
        <v>31929.1</v>
      </c>
      <c r="K373" s="1082"/>
      <c r="L373" s="880"/>
    </row>
    <row r="374" spans="1:12" ht="15" thickBot="1" x14ac:dyDescent="0.35">
      <c r="A374" s="175">
        <v>489</v>
      </c>
      <c r="B374" s="242">
        <v>20533.75</v>
      </c>
      <c r="C374" s="8" t="s">
        <v>6763</v>
      </c>
      <c r="D374" s="8">
        <f>+I374</f>
        <v>489</v>
      </c>
      <c r="E374" s="8">
        <f>+J374</f>
        <v>20717.300000000003</v>
      </c>
      <c r="F374" s="45" t="s">
        <v>6764</v>
      </c>
      <c r="G374" s="45">
        <v>33241</v>
      </c>
      <c r="H374" s="14"/>
      <c r="I374" s="45">
        <v>489</v>
      </c>
      <c r="J374" s="45">
        <v>20717.300000000003</v>
      </c>
      <c r="K374" s="120">
        <f t="shared" ref="K374:K375" si="238">+A374-D374</f>
        <v>0</v>
      </c>
      <c r="L374" s="31">
        <f t="shared" ref="L374:L375" si="239">((+B374/A374)-(E374/D374))/(B374/A374)</f>
        <v>-8.9389419857552801E-3</v>
      </c>
    </row>
    <row r="375" spans="1:12" x14ac:dyDescent="0.3">
      <c r="A375" s="871">
        <v>707</v>
      </c>
      <c r="B375" s="964">
        <v>29816</v>
      </c>
      <c r="C375" s="873" t="s">
        <v>6765</v>
      </c>
      <c r="D375" s="873">
        <f>+I375+I376</f>
        <v>707</v>
      </c>
      <c r="E375" s="873">
        <f>+J375+J376</f>
        <v>29973.399999999998</v>
      </c>
      <c r="F375" s="671" t="s">
        <v>6766</v>
      </c>
      <c r="G375" s="671">
        <v>33251</v>
      </c>
      <c r="H375" s="40"/>
      <c r="I375" s="671">
        <v>180</v>
      </c>
      <c r="J375" s="671">
        <v>7382.2</v>
      </c>
      <c r="K375" s="1081">
        <f t="shared" si="238"/>
        <v>0</v>
      </c>
      <c r="L375" s="879">
        <f t="shared" si="239"/>
        <v>-5.2790448081567387E-3</v>
      </c>
    </row>
    <row r="376" spans="1:12" ht="15" thickBot="1" x14ac:dyDescent="0.35">
      <c r="A376" s="872"/>
      <c r="B376" s="965"/>
      <c r="C376" s="874"/>
      <c r="D376" s="874"/>
      <c r="E376" s="874"/>
      <c r="F376" s="672" t="s">
        <v>6766</v>
      </c>
      <c r="G376" s="672">
        <v>33251</v>
      </c>
      <c r="H376" s="674"/>
      <c r="I376" s="672">
        <v>527</v>
      </c>
      <c r="J376" s="672">
        <v>22591.199999999997</v>
      </c>
      <c r="K376" s="1082"/>
      <c r="L376" s="880"/>
    </row>
    <row r="377" spans="1:12" x14ac:dyDescent="0.3">
      <c r="A377" s="871">
        <v>151</v>
      </c>
      <c r="B377" s="964">
        <v>4911.1000000000004</v>
      </c>
      <c r="C377" s="873" t="s">
        <v>6767</v>
      </c>
      <c r="D377" s="873">
        <f>+I377+I378</f>
        <v>151</v>
      </c>
      <c r="E377" s="873">
        <f>+J377+J378</f>
        <v>4885.2999999999993</v>
      </c>
      <c r="F377" s="671" t="s">
        <v>6768</v>
      </c>
      <c r="G377" s="671">
        <v>33291</v>
      </c>
      <c r="H377" s="40"/>
      <c r="I377" s="671">
        <v>73</v>
      </c>
      <c r="J377" s="671">
        <v>2387.6</v>
      </c>
      <c r="K377" s="1081">
        <f t="shared" ref="K377" si="240">+A377-D377</f>
        <v>0</v>
      </c>
      <c r="L377" s="879">
        <f t="shared" ref="L377" si="241">((+B377/A377)-(E377/D377))/(B377/A377)</f>
        <v>5.2534055506915341E-3</v>
      </c>
    </row>
    <row r="378" spans="1:12" ht="15" thickBot="1" x14ac:dyDescent="0.35">
      <c r="A378" s="872"/>
      <c r="B378" s="965"/>
      <c r="C378" s="874"/>
      <c r="D378" s="874"/>
      <c r="E378" s="874"/>
      <c r="F378" s="672" t="s">
        <v>6768</v>
      </c>
      <c r="G378" s="672">
        <v>33291</v>
      </c>
      <c r="H378" s="674"/>
      <c r="I378" s="672">
        <v>78</v>
      </c>
      <c r="J378" s="672">
        <v>2497.6999999999998</v>
      </c>
      <c r="K378" s="1082"/>
      <c r="L378" s="880"/>
    </row>
    <row r="379" spans="1:12" x14ac:dyDescent="0.3">
      <c r="A379" s="871">
        <v>1062</v>
      </c>
      <c r="B379" s="964">
        <v>39415</v>
      </c>
      <c r="C379" s="873" t="s">
        <v>6769</v>
      </c>
      <c r="D379" s="873">
        <f>+I379+I380</f>
        <v>1062</v>
      </c>
      <c r="E379" s="873">
        <f>+J379+J380</f>
        <v>39303.399999999994</v>
      </c>
      <c r="F379" s="671" t="s">
        <v>6770</v>
      </c>
      <c r="G379" s="671">
        <v>33301</v>
      </c>
      <c r="H379" s="40"/>
      <c r="I379" s="671">
        <v>616</v>
      </c>
      <c r="J379" s="671">
        <v>22647.5</v>
      </c>
      <c r="K379" s="1081">
        <f t="shared" ref="K379" si="242">+A379-D379</f>
        <v>0</v>
      </c>
      <c r="L379" s="879">
        <f t="shared" ref="L379" si="243">((+B379/A379)-(E379/D379))/(B379/A379)</f>
        <v>2.8314093619181925E-3</v>
      </c>
    </row>
    <row r="380" spans="1:12" ht="15" thickBot="1" x14ac:dyDescent="0.35">
      <c r="A380" s="872"/>
      <c r="B380" s="965"/>
      <c r="C380" s="874"/>
      <c r="D380" s="874"/>
      <c r="E380" s="874"/>
      <c r="F380" s="672" t="s">
        <v>6770</v>
      </c>
      <c r="G380" s="672">
        <v>33301</v>
      </c>
      <c r="H380" s="674"/>
      <c r="I380" s="672">
        <v>446</v>
      </c>
      <c r="J380" s="672">
        <v>16655.899999999998</v>
      </c>
      <c r="K380" s="1082"/>
      <c r="L380" s="880"/>
    </row>
    <row r="381" spans="1:12" ht="15" thickBot="1" x14ac:dyDescent="0.35">
      <c r="A381" s="175">
        <v>376</v>
      </c>
      <c r="B381" s="242">
        <v>16141.25</v>
      </c>
      <c r="C381" s="8" t="s">
        <v>6771</v>
      </c>
      <c r="D381" s="8">
        <f>+I381</f>
        <v>376</v>
      </c>
      <c r="E381" s="8">
        <f>+J381</f>
        <v>16174.4</v>
      </c>
      <c r="F381" s="45" t="s">
        <v>6772</v>
      </c>
      <c r="G381" s="45">
        <v>33311</v>
      </c>
      <c r="H381" s="14"/>
      <c r="I381" s="45">
        <v>376</v>
      </c>
      <c r="J381" s="45">
        <v>16174.4</v>
      </c>
      <c r="K381" s="120">
        <f t="shared" ref="K381:K382" si="244">+A381-D381</f>
        <v>0</v>
      </c>
      <c r="L381" s="31">
        <f t="shared" ref="L381:L382" si="245">((+B381/A381)-(E381/D381))/(B381/A381)</f>
        <v>-2.0537442887012653E-3</v>
      </c>
    </row>
    <row r="382" spans="1:12" x14ac:dyDescent="0.3">
      <c r="A382" s="871">
        <v>1295</v>
      </c>
      <c r="B382" s="964">
        <v>58708</v>
      </c>
      <c r="C382" s="873" t="s">
        <v>6773</v>
      </c>
      <c r="D382" s="873">
        <f>+I382+I383+I384+I385</f>
        <v>1295</v>
      </c>
      <c r="E382" s="873">
        <f>+J382+J383+J384+J385</f>
        <v>59255.7</v>
      </c>
      <c r="F382" s="671" t="s">
        <v>6774</v>
      </c>
      <c r="G382" s="671">
        <v>33321</v>
      </c>
      <c r="H382" s="40"/>
      <c r="I382" s="671">
        <v>394</v>
      </c>
      <c r="J382" s="671">
        <v>17524</v>
      </c>
      <c r="K382" s="1081">
        <f t="shared" si="244"/>
        <v>0</v>
      </c>
      <c r="L382" s="879">
        <f t="shared" si="245"/>
        <v>-9.3292225931728388E-3</v>
      </c>
    </row>
    <row r="383" spans="1:12" x14ac:dyDescent="0.3">
      <c r="A383" s="875"/>
      <c r="B383" s="1105"/>
      <c r="C383" s="881"/>
      <c r="D383" s="881"/>
      <c r="E383" s="881"/>
      <c r="F383" s="50" t="s">
        <v>6774</v>
      </c>
      <c r="G383" s="50">
        <v>33321</v>
      </c>
      <c r="I383" s="50">
        <v>425</v>
      </c>
      <c r="J383" s="50">
        <v>19962.199999999997</v>
      </c>
      <c r="K383" s="1083"/>
      <c r="L383" s="885"/>
    </row>
    <row r="384" spans="1:12" x14ac:dyDescent="0.3">
      <c r="A384" s="875"/>
      <c r="B384" s="1105"/>
      <c r="C384" s="881"/>
      <c r="D384" s="881"/>
      <c r="E384" s="881"/>
      <c r="F384" s="50" t="s">
        <v>6774</v>
      </c>
      <c r="G384" s="50">
        <v>33321</v>
      </c>
      <c r="I384" s="50">
        <v>376</v>
      </c>
      <c r="J384" s="50">
        <v>17319.099999999999</v>
      </c>
      <c r="K384" s="1083"/>
      <c r="L384" s="885"/>
    </row>
    <row r="385" spans="1:12" ht="15" thickBot="1" x14ac:dyDescent="0.35">
      <c r="A385" s="872"/>
      <c r="B385" s="965"/>
      <c r="C385" s="874"/>
      <c r="D385" s="874"/>
      <c r="E385" s="874"/>
      <c r="F385" s="672" t="s">
        <v>6774</v>
      </c>
      <c r="G385" s="672">
        <v>33321</v>
      </c>
      <c r="H385" s="674"/>
      <c r="I385" s="672">
        <v>100</v>
      </c>
      <c r="J385" s="672">
        <v>4450.3999999999996</v>
      </c>
      <c r="K385" s="1082"/>
      <c r="L385" s="880"/>
    </row>
    <row r="386" spans="1:12" ht="15" thickBot="1" x14ac:dyDescent="0.35">
      <c r="A386" s="175">
        <v>274</v>
      </c>
      <c r="B386" s="242">
        <v>10231</v>
      </c>
      <c r="C386" s="8" t="s">
        <v>6775</v>
      </c>
      <c r="D386" s="8">
        <f>+I386</f>
        <v>274</v>
      </c>
      <c r="E386" s="8">
        <f>+J386</f>
        <v>10247.299999999999</v>
      </c>
      <c r="F386" s="45" t="s">
        <v>6776</v>
      </c>
      <c r="G386" s="45">
        <v>33331</v>
      </c>
      <c r="H386" s="14"/>
      <c r="I386" s="45">
        <v>274</v>
      </c>
      <c r="J386" s="45">
        <v>10247.299999999999</v>
      </c>
      <c r="K386" s="120">
        <f t="shared" ref="K386:K389" si="246">+A386-D386</f>
        <v>0</v>
      </c>
      <c r="L386" s="31">
        <f t="shared" ref="L386:L389" si="247">((+B386/A386)-(E386/D386))/(B386/A386)</f>
        <v>-1.5931971459289124E-3</v>
      </c>
    </row>
    <row r="387" spans="1:12" ht="15" thickBot="1" x14ac:dyDescent="0.35">
      <c r="A387" s="178">
        <v>305</v>
      </c>
      <c r="B387" s="232">
        <v>12290.5</v>
      </c>
      <c r="C387" s="45" t="s">
        <v>6777</v>
      </c>
      <c r="D387" s="8">
        <f t="shared" ref="D387:E388" si="248">+I387</f>
        <v>305</v>
      </c>
      <c r="E387" s="8">
        <f t="shared" si="248"/>
        <v>12485.6</v>
      </c>
      <c r="F387" s="45" t="s">
        <v>6778</v>
      </c>
      <c r="G387" s="45">
        <v>33361</v>
      </c>
      <c r="H387" s="14"/>
      <c r="I387" s="45">
        <v>305</v>
      </c>
      <c r="J387" s="45">
        <v>12485.6</v>
      </c>
      <c r="K387" s="120">
        <f t="shared" si="246"/>
        <v>0</v>
      </c>
      <c r="L387" s="31">
        <f t="shared" si="247"/>
        <v>-1.5874049062283898E-2</v>
      </c>
    </row>
    <row r="388" spans="1:12" ht="15" thickBot="1" x14ac:dyDescent="0.35">
      <c r="A388" s="178">
        <v>315</v>
      </c>
      <c r="B388" s="232">
        <v>12642.4</v>
      </c>
      <c r="C388" s="45" t="s">
        <v>6779</v>
      </c>
      <c r="D388" s="8">
        <f t="shared" si="248"/>
        <v>315</v>
      </c>
      <c r="E388" s="8">
        <f t="shared" si="248"/>
        <v>12476.5</v>
      </c>
      <c r="F388" s="45" t="s">
        <v>6780</v>
      </c>
      <c r="G388" s="45">
        <v>33371</v>
      </c>
      <c r="H388" s="14"/>
      <c r="I388" s="45">
        <v>315</v>
      </c>
      <c r="J388" s="555">
        <v>12476.5</v>
      </c>
      <c r="K388" s="120">
        <f t="shared" si="246"/>
        <v>0</v>
      </c>
      <c r="L388" s="31">
        <f t="shared" si="247"/>
        <v>1.3122508384483887E-2</v>
      </c>
    </row>
    <row r="389" spans="1:12" x14ac:dyDescent="0.3">
      <c r="A389" s="871">
        <v>879</v>
      </c>
      <c r="B389" s="964">
        <v>31810.75</v>
      </c>
      <c r="C389" s="873" t="s">
        <v>6781</v>
      </c>
      <c r="D389" s="873">
        <f>+I389+I390</f>
        <v>864</v>
      </c>
      <c r="E389" s="873">
        <f>+J389+J390</f>
        <v>31373.699999999997</v>
      </c>
      <c r="F389" s="671" t="s">
        <v>6782</v>
      </c>
      <c r="G389" s="671">
        <v>33401</v>
      </c>
      <c r="H389" s="40"/>
      <c r="I389" s="671">
        <v>592</v>
      </c>
      <c r="J389" s="671">
        <v>21340.6</v>
      </c>
      <c r="K389" s="1081">
        <f t="shared" si="246"/>
        <v>15</v>
      </c>
      <c r="L389" s="879">
        <f t="shared" si="247"/>
        <v>-3.3835194601405656E-3</v>
      </c>
    </row>
    <row r="390" spans="1:12" ht="15" thickBot="1" x14ac:dyDescent="0.35">
      <c r="A390" s="875"/>
      <c r="B390" s="1105"/>
      <c r="C390" s="881"/>
      <c r="D390" s="881"/>
      <c r="E390" s="881"/>
      <c r="F390" s="50" t="s">
        <v>6782</v>
      </c>
      <c r="G390" s="50">
        <v>33401</v>
      </c>
      <c r="I390" s="50">
        <v>272</v>
      </c>
      <c r="J390" s="347">
        <v>10033.099999999999</v>
      </c>
      <c r="K390" s="1082"/>
      <c r="L390" s="880"/>
    </row>
    <row r="391" spans="1:12" x14ac:dyDescent="0.3">
      <c r="A391" s="871">
        <v>1181</v>
      </c>
      <c r="B391" s="964">
        <v>46631.5</v>
      </c>
      <c r="C391" s="873" t="s">
        <v>6783</v>
      </c>
      <c r="D391" s="873">
        <f>+I391+I392</f>
        <v>1181</v>
      </c>
      <c r="E391" s="873">
        <f>+J391+J392</f>
        <v>46187.199999999997</v>
      </c>
      <c r="F391" s="671" t="s">
        <v>6784</v>
      </c>
      <c r="G391" s="671">
        <v>33431</v>
      </c>
      <c r="H391" s="40"/>
      <c r="I391" s="671">
        <v>500</v>
      </c>
      <c r="J391" s="505">
        <v>20094.5</v>
      </c>
      <c r="K391" s="1081">
        <f t="shared" ref="K391" si="249">+A391-D391</f>
        <v>0</v>
      </c>
      <c r="L391" s="879">
        <f t="shared" ref="L391" si="250">((+B391/A391)-(E391/D391))/(B391/A391)</f>
        <v>9.5278942345840782E-3</v>
      </c>
    </row>
    <row r="392" spans="1:12" ht="15" thickBot="1" x14ac:dyDescent="0.35">
      <c r="A392" s="872"/>
      <c r="B392" s="965"/>
      <c r="C392" s="874"/>
      <c r="D392" s="874"/>
      <c r="E392" s="874"/>
      <c r="F392" s="672" t="s">
        <v>6784</v>
      </c>
      <c r="G392" s="672">
        <v>33431</v>
      </c>
      <c r="H392" s="674"/>
      <c r="I392" s="686">
        <v>681</v>
      </c>
      <c r="J392" s="561">
        <v>26092.7</v>
      </c>
      <c r="K392" s="1082"/>
      <c r="L392" s="880"/>
    </row>
    <row r="393" spans="1:12" ht="15" thickBot="1" x14ac:dyDescent="0.35">
      <c r="A393" s="178">
        <v>532</v>
      </c>
      <c r="B393" s="232">
        <v>20817</v>
      </c>
      <c r="C393" s="45" t="s">
        <v>6785</v>
      </c>
      <c r="D393" s="8">
        <f>+I393</f>
        <v>532</v>
      </c>
      <c r="E393" s="8">
        <f>+J393</f>
        <v>20088.8</v>
      </c>
      <c r="F393" s="45" t="s">
        <v>6786</v>
      </c>
      <c r="G393" s="45">
        <v>33441</v>
      </c>
      <c r="H393" s="14"/>
      <c r="I393" s="679">
        <v>532</v>
      </c>
      <c r="J393" s="45">
        <v>20088.8</v>
      </c>
      <c r="K393" s="120">
        <f t="shared" ref="K393:K394" si="251">+A393-D393</f>
        <v>0</v>
      </c>
      <c r="L393" s="31">
        <f t="shared" ref="L393:L394" si="252">((+B393/A393)-(E393/D393))/(B393/A393)</f>
        <v>3.4981025123697107E-2</v>
      </c>
    </row>
    <row r="394" spans="1:12" x14ac:dyDescent="0.3">
      <c r="A394" s="871">
        <v>2156</v>
      </c>
      <c r="B394" s="964">
        <v>83933.8</v>
      </c>
      <c r="C394" s="873" t="s">
        <v>6787</v>
      </c>
      <c r="D394" s="873">
        <f>+I394+I395+I396+I397+I398</f>
        <v>2156</v>
      </c>
      <c r="E394" s="873">
        <f>+J394+J395+J396+J397+J398</f>
        <v>81890.700000000012</v>
      </c>
      <c r="F394" s="671" t="s">
        <v>6788</v>
      </c>
      <c r="G394" s="671" t="s">
        <v>6789</v>
      </c>
      <c r="H394" s="40"/>
      <c r="I394" s="677">
        <v>200</v>
      </c>
      <c r="J394" s="671">
        <v>7862.3</v>
      </c>
      <c r="K394" s="1081">
        <f t="shared" si="251"/>
        <v>0</v>
      </c>
      <c r="L394" s="879">
        <f t="shared" si="252"/>
        <v>2.4341802706418558E-2</v>
      </c>
    </row>
    <row r="395" spans="1:12" x14ac:dyDescent="0.3">
      <c r="A395" s="875"/>
      <c r="B395" s="1105"/>
      <c r="C395" s="881"/>
      <c r="D395" s="881"/>
      <c r="E395" s="881"/>
      <c r="F395" s="50" t="s">
        <v>6788</v>
      </c>
      <c r="G395" s="50" t="s">
        <v>6789</v>
      </c>
      <c r="I395" s="676">
        <v>800</v>
      </c>
      <c r="J395" s="50">
        <v>31838.9</v>
      </c>
      <c r="K395" s="1083"/>
      <c r="L395" s="885"/>
    </row>
    <row r="396" spans="1:12" x14ac:dyDescent="0.3">
      <c r="A396" s="875"/>
      <c r="B396" s="1105"/>
      <c r="C396" s="881"/>
      <c r="D396" s="881"/>
      <c r="E396" s="881"/>
      <c r="F396" s="50" t="s">
        <v>6788</v>
      </c>
      <c r="G396" s="50" t="s">
        <v>6790</v>
      </c>
      <c r="I396" s="676">
        <v>656</v>
      </c>
      <c r="J396" s="50">
        <v>24918.800000000003</v>
      </c>
      <c r="K396" s="1083"/>
      <c r="L396" s="885"/>
    </row>
    <row r="397" spans="1:12" x14ac:dyDescent="0.3">
      <c r="A397" s="875"/>
      <c r="B397" s="1105"/>
      <c r="C397" s="881"/>
      <c r="D397" s="881"/>
      <c r="E397" s="881"/>
      <c r="F397" s="50" t="s">
        <v>6788</v>
      </c>
      <c r="G397" s="50" t="s">
        <v>6790</v>
      </c>
      <c r="I397" s="676">
        <v>300</v>
      </c>
      <c r="J397" s="50">
        <v>10752.900000000001</v>
      </c>
      <c r="K397" s="1083"/>
      <c r="L397" s="885"/>
    </row>
    <row r="398" spans="1:12" ht="15" thickBot="1" x14ac:dyDescent="0.35">
      <c r="A398" s="875"/>
      <c r="B398" s="1105"/>
      <c r="C398" s="881"/>
      <c r="D398" s="881"/>
      <c r="E398" s="881"/>
      <c r="F398" s="50" t="s">
        <v>6788</v>
      </c>
      <c r="G398" s="50" t="s">
        <v>6790</v>
      </c>
      <c r="I398" s="676">
        <v>200</v>
      </c>
      <c r="J398" s="50">
        <v>6517.7999999999993</v>
      </c>
      <c r="K398" s="1082"/>
      <c r="L398" s="880"/>
    </row>
    <row r="399" spans="1:12" x14ac:dyDescent="0.3">
      <c r="A399" s="871">
        <v>889</v>
      </c>
      <c r="B399" s="964">
        <v>29356.6</v>
      </c>
      <c r="C399" s="873" t="s">
        <v>6791</v>
      </c>
      <c r="D399" s="873">
        <v>889</v>
      </c>
      <c r="E399" s="873">
        <v>28839.7</v>
      </c>
      <c r="F399" s="671" t="s">
        <v>6792</v>
      </c>
      <c r="G399" s="671">
        <v>33461</v>
      </c>
      <c r="H399" s="40"/>
      <c r="I399" s="677">
        <v>200</v>
      </c>
      <c r="J399" s="671">
        <v>6517.7999999999993</v>
      </c>
      <c r="K399" s="1081">
        <f t="shared" ref="K399" si="253">+A399-D399</f>
        <v>0</v>
      </c>
      <c r="L399" s="879">
        <f>((+B399/A399)-(E399/D399))/(B399/A399)</f>
        <v>1.7607624861189605E-2</v>
      </c>
    </row>
    <row r="400" spans="1:12" x14ac:dyDescent="0.3">
      <c r="A400" s="875"/>
      <c r="B400" s="1105"/>
      <c r="C400" s="881"/>
      <c r="D400" s="881"/>
      <c r="E400" s="881"/>
      <c r="F400" s="50" t="s">
        <v>6792</v>
      </c>
      <c r="G400" s="50">
        <v>33461</v>
      </c>
      <c r="I400" s="676">
        <v>400</v>
      </c>
      <c r="J400" s="50">
        <v>12832.3</v>
      </c>
      <c r="K400" s="1083"/>
      <c r="L400" s="885"/>
    </row>
    <row r="401" spans="1:12" ht="15" thickBot="1" x14ac:dyDescent="0.35">
      <c r="A401" s="872"/>
      <c r="B401" s="965"/>
      <c r="C401" s="874"/>
      <c r="D401" s="874"/>
      <c r="E401" s="874"/>
      <c r="F401" s="672" t="s">
        <v>6792</v>
      </c>
      <c r="G401" s="672">
        <v>33461</v>
      </c>
      <c r="H401" s="674"/>
      <c r="I401" s="678">
        <v>100</v>
      </c>
      <c r="J401" s="672">
        <v>3289.8</v>
      </c>
      <c r="K401" s="1082"/>
      <c r="L401" s="880"/>
    </row>
    <row r="402" spans="1:12" ht="15" thickBot="1" x14ac:dyDescent="0.35">
      <c r="A402" s="692">
        <v>250</v>
      </c>
      <c r="B402" s="702">
        <v>10686.4</v>
      </c>
      <c r="C402" s="692" t="s">
        <v>6891</v>
      </c>
      <c r="D402" s="692">
        <f>+I402</f>
        <v>250</v>
      </c>
      <c r="E402" s="692">
        <f>+J402</f>
        <v>10566.8</v>
      </c>
      <c r="F402" s="50" t="s">
        <v>6892</v>
      </c>
      <c r="G402" s="50">
        <v>33481</v>
      </c>
      <c r="I402" s="676">
        <v>250</v>
      </c>
      <c r="J402" s="50">
        <v>10566.8</v>
      </c>
      <c r="K402" s="120">
        <f t="shared" ref="K402:K403" si="254">+A402-D402</f>
        <v>0</v>
      </c>
      <c r="L402" s="31">
        <f t="shared" ref="L402:L403" si="255">((+B402/A402)-(E402/D402))/(B402/A402)</f>
        <v>1.1191795178919014E-2</v>
      </c>
    </row>
    <row r="403" spans="1:12" x14ac:dyDescent="0.3">
      <c r="A403" s="871">
        <v>247</v>
      </c>
      <c r="B403" s="964">
        <v>9149.6</v>
      </c>
      <c r="C403" s="873" t="s">
        <v>6893</v>
      </c>
      <c r="D403" s="873">
        <f>+I403+I404</f>
        <v>247</v>
      </c>
      <c r="E403" s="873">
        <f>+J403+J404</f>
        <v>9055.7999999999993</v>
      </c>
      <c r="F403" s="697" t="s">
        <v>6894</v>
      </c>
      <c r="G403" s="697">
        <v>33491</v>
      </c>
      <c r="H403" s="40"/>
      <c r="I403" s="677">
        <v>115</v>
      </c>
      <c r="J403" s="697">
        <v>4692.8</v>
      </c>
      <c r="K403" s="1081">
        <f t="shared" si="254"/>
        <v>0</v>
      </c>
      <c r="L403" s="879">
        <f t="shared" si="255"/>
        <v>1.0251814286963415E-2</v>
      </c>
    </row>
    <row r="404" spans="1:12" ht="15" thickBot="1" x14ac:dyDescent="0.35">
      <c r="A404" s="872"/>
      <c r="B404" s="965"/>
      <c r="C404" s="874"/>
      <c r="D404" s="874"/>
      <c r="E404" s="874"/>
      <c r="F404" s="698" t="s">
        <v>6894</v>
      </c>
      <c r="G404" s="698">
        <v>33491</v>
      </c>
      <c r="H404" s="700"/>
      <c r="I404" s="678">
        <v>132</v>
      </c>
      <c r="J404" s="698">
        <v>4363</v>
      </c>
      <c r="K404" s="1082"/>
      <c r="L404" s="880"/>
    </row>
    <row r="405" spans="1:12" ht="15" thickBot="1" x14ac:dyDescent="0.35">
      <c r="A405" s="175">
        <v>102</v>
      </c>
      <c r="B405" s="242">
        <v>3667.25</v>
      </c>
      <c r="C405" s="8" t="s">
        <v>6895</v>
      </c>
      <c r="D405" s="8">
        <f>+I405</f>
        <v>102</v>
      </c>
      <c r="E405" s="8">
        <f>+J405</f>
        <v>3663.8</v>
      </c>
      <c r="F405" s="45" t="s">
        <v>6896</v>
      </c>
      <c r="G405" s="45">
        <v>33511</v>
      </c>
      <c r="H405" s="14"/>
      <c r="I405" s="679">
        <v>102</v>
      </c>
      <c r="J405" s="45">
        <v>3663.8</v>
      </c>
      <c r="K405" s="120">
        <f t="shared" ref="K405:K406" si="256">+A405-D405</f>
        <v>0</v>
      </c>
      <c r="L405" s="31">
        <f t="shared" ref="L405:L406" si="257">((+B405/A405)-(E405/D405))/(B405/A405)</f>
        <v>9.4075942463692447E-4</v>
      </c>
    </row>
    <row r="406" spans="1:12" x14ac:dyDescent="0.3">
      <c r="A406" s="871">
        <v>500</v>
      </c>
      <c r="B406" s="964">
        <v>19397.599999999999</v>
      </c>
      <c r="C406" s="873" t="s">
        <v>6897</v>
      </c>
      <c r="D406" s="873">
        <f>+I406+I407</f>
        <v>500</v>
      </c>
      <c r="E406" s="873">
        <f>+J406+J407</f>
        <v>19068.400000000001</v>
      </c>
      <c r="F406" s="697" t="s">
        <v>6898</v>
      </c>
      <c r="G406" s="697">
        <v>33551</v>
      </c>
      <c r="H406" s="40"/>
      <c r="I406" s="677">
        <v>250</v>
      </c>
      <c r="J406" s="697">
        <v>9349.4</v>
      </c>
      <c r="K406" s="1081">
        <f t="shared" si="256"/>
        <v>0</v>
      </c>
      <c r="L406" s="879">
        <f t="shared" si="257"/>
        <v>1.6971171691343087E-2</v>
      </c>
    </row>
    <row r="407" spans="1:12" ht="15" thickBot="1" x14ac:dyDescent="0.35">
      <c r="A407" s="872"/>
      <c r="B407" s="965"/>
      <c r="C407" s="874"/>
      <c r="D407" s="874"/>
      <c r="E407" s="874"/>
      <c r="F407" s="698" t="s">
        <v>6898</v>
      </c>
      <c r="G407" s="698">
        <v>33551</v>
      </c>
      <c r="H407" s="700"/>
      <c r="I407" s="678">
        <v>250</v>
      </c>
      <c r="J407" s="698">
        <v>9719</v>
      </c>
      <c r="K407" s="1082"/>
      <c r="L407" s="880"/>
    </row>
    <row r="408" spans="1:12" x14ac:dyDescent="0.3">
      <c r="A408" s="871">
        <v>292</v>
      </c>
      <c r="B408" s="964">
        <v>10557</v>
      </c>
      <c r="C408" s="873" t="s">
        <v>6899</v>
      </c>
      <c r="D408" s="873">
        <f>+I408+I409</f>
        <v>292</v>
      </c>
      <c r="E408" s="873">
        <f>+J408+J409</f>
        <v>10565.1</v>
      </c>
      <c r="F408" s="697" t="s">
        <v>6900</v>
      </c>
      <c r="G408" s="697">
        <v>33571</v>
      </c>
      <c r="H408" s="40"/>
      <c r="I408" s="677">
        <v>168</v>
      </c>
      <c r="J408" s="697">
        <v>5969.3</v>
      </c>
      <c r="K408" s="1081">
        <f t="shared" ref="K408" si="258">+A408-D408</f>
        <v>0</v>
      </c>
      <c r="L408" s="879">
        <f t="shared" ref="L408" si="259">((+B408/A408)-(E408/D408))/(B408/A408)</f>
        <v>-7.6726342711001155E-4</v>
      </c>
    </row>
    <row r="409" spans="1:12" ht="15" thickBot="1" x14ac:dyDescent="0.35">
      <c r="A409" s="872"/>
      <c r="B409" s="965"/>
      <c r="C409" s="874"/>
      <c r="D409" s="874"/>
      <c r="E409" s="874"/>
      <c r="F409" s="698" t="s">
        <v>6900</v>
      </c>
      <c r="G409" s="698">
        <v>33571</v>
      </c>
      <c r="H409" s="700"/>
      <c r="I409" s="678">
        <v>124</v>
      </c>
      <c r="J409" s="698">
        <v>4595.8</v>
      </c>
      <c r="K409" s="1082"/>
      <c r="L409" s="880"/>
    </row>
    <row r="410" spans="1:12" x14ac:dyDescent="0.3">
      <c r="A410" s="871">
        <v>569</v>
      </c>
      <c r="B410" s="964">
        <v>22438.5</v>
      </c>
      <c r="C410" s="873" t="s">
        <v>6901</v>
      </c>
      <c r="D410" s="873">
        <f>+I410+I411</f>
        <v>569</v>
      </c>
      <c r="E410" s="873">
        <f>+J410+J411</f>
        <v>22306.899999999998</v>
      </c>
      <c r="F410" s="697" t="s">
        <v>6902</v>
      </c>
      <c r="G410" s="697">
        <v>33581</v>
      </c>
      <c r="H410" s="40"/>
      <c r="I410" s="677">
        <v>523</v>
      </c>
      <c r="J410" s="697">
        <v>20592.599999999999</v>
      </c>
      <c r="K410" s="1081">
        <f t="shared" ref="K410" si="260">+A410-D410</f>
        <v>0</v>
      </c>
      <c r="L410" s="879">
        <f t="shared" ref="L410" si="261">((+B410/A410)-(E410/D410))/(B410/A410)</f>
        <v>5.8649196693184441E-3</v>
      </c>
    </row>
    <row r="411" spans="1:12" ht="15" thickBot="1" x14ac:dyDescent="0.35">
      <c r="A411" s="872"/>
      <c r="B411" s="965"/>
      <c r="C411" s="874"/>
      <c r="D411" s="874"/>
      <c r="E411" s="874"/>
      <c r="F411" s="698" t="s">
        <v>6902</v>
      </c>
      <c r="G411" s="698">
        <v>33581</v>
      </c>
      <c r="H411" s="700"/>
      <c r="I411" s="678">
        <v>46</v>
      </c>
      <c r="J411" s="698">
        <v>1714.3</v>
      </c>
      <c r="K411" s="1082"/>
      <c r="L411" s="880"/>
    </row>
    <row r="412" spans="1:12" x14ac:dyDescent="0.3">
      <c r="A412" s="1088">
        <v>783</v>
      </c>
      <c r="B412" s="1115">
        <v>29808.799999999999</v>
      </c>
      <c r="C412" s="873" t="s">
        <v>6903</v>
      </c>
      <c r="D412" s="873">
        <f>+I412+I413</f>
        <v>783</v>
      </c>
      <c r="E412" s="873">
        <f>+J412+J413</f>
        <v>29389.600000000002</v>
      </c>
      <c r="F412" s="697" t="s">
        <v>6904</v>
      </c>
      <c r="G412" s="697">
        <v>33591</v>
      </c>
      <c r="H412" s="40"/>
      <c r="I412" s="677">
        <v>596</v>
      </c>
      <c r="J412" s="697">
        <v>23168.400000000001</v>
      </c>
      <c r="K412" s="1081">
        <f t="shared" ref="K412" si="262">+A412-D412</f>
        <v>0</v>
      </c>
      <c r="L412" s="879">
        <f t="shared" ref="L412" si="263">((+B412/A412)-(E412/D412))/(B412/A412)</f>
        <v>1.4062961273180921E-2</v>
      </c>
    </row>
    <row r="413" spans="1:12" ht="15" thickBot="1" x14ac:dyDescent="0.35">
      <c r="A413" s="1089"/>
      <c r="B413" s="1116"/>
      <c r="C413" s="874"/>
      <c r="D413" s="874"/>
      <c r="E413" s="874"/>
      <c r="F413" s="698" t="s">
        <v>6904</v>
      </c>
      <c r="G413" s="698">
        <v>33591</v>
      </c>
      <c r="H413" s="700"/>
      <c r="I413" s="678">
        <v>187</v>
      </c>
      <c r="J413" s="698">
        <v>6221.2</v>
      </c>
      <c r="K413" s="1082"/>
      <c r="L413" s="880"/>
    </row>
    <row r="414" spans="1:12" x14ac:dyDescent="0.3">
      <c r="A414" s="1088">
        <v>1000</v>
      </c>
      <c r="B414" s="1115">
        <v>37932.9</v>
      </c>
      <c r="C414" s="873" t="s">
        <v>6905</v>
      </c>
      <c r="D414" s="873">
        <f>+I414+I415</f>
        <v>1000</v>
      </c>
      <c r="E414" s="873">
        <f>+J414+J415</f>
        <v>37507</v>
      </c>
      <c r="F414" s="697" t="s">
        <v>6906</v>
      </c>
      <c r="G414" s="697">
        <v>33601</v>
      </c>
      <c r="H414" s="40"/>
      <c r="I414" s="677">
        <v>813</v>
      </c>
      <c r="J414" s="697">
        <v>31503.7</v>
      </c>
      <c r="K414" s="1081">
        <f t="shared" ref="K414" si="264">+A414-D414</f>
        <v>0</v>
      </c>
      <c r="L414" s="879">
        <f t="shared" ref="L414" si="265">((+B414/A414)-(E414/D414))/(B414/A414)</f>
        <v>1.1227720527563293E-2</v>
      </c>
    </row>
    <row r="415" spans="1:12" ht="15" thickBot="1" x14ac:dyDescent="0.35">
      <c r="A415" s="1089"/>
      <c r="B415" s="1116"/>
      <c r="C415" s="874"/>
      <c r="D415" s="874"/>
      <c r="E415" s="874"/>
      <c r="F415" s="698" t="s">
        <v>6906</v>
      </c>
      <c r="G415" s="698">
        <v>33601</v>
      </c>
      <c r="H415" s="700"/>
      <c r="I415" s="678">
        <v>187</v>
      </c>
      <c r="J415" s="698">
        <v>6003.3</v>
      </c>
      <c r="K415" s="1082"/>
      <c r="L415" s="880"/>
    </row>
    <row r="416" spans="1:12" ht="15" thickBot="1" x14ac:dyDescent="0.35">
      <c r="A416" s="781">
        <v>1500</v>
      </c>
      <c r="B416" s="782">
        <v>57557.5</v>
      </c>
      <c r="C416" s="45" t="s">
        <v>6907</v>
      </c>
      <c r="D416" s="45">
        <f t="shared" ref="D416:E417" si="266">+I416</f>
        <v>1500</v>
      </c>
      <c r="E416" s="45">
        <f t="shared" si="266"/>
        <v>57514.400000000001</v>
      </c>
      <c r="F416" s="45" t="s">
        <v>6908</v>
      </c>
      <c r="G416" s="45">
        <v>33611</v>
      </c>
      <c r="H416" s="14"/>
      <c r="I416" s="679">
        <v>1500</v>
      </c>
      <c r="J416" s="45">
        <v>57514.400000000001</v>
      </c>
      <c r="K416" s="120">
        <f t="shared" ref="K416:K418" si="267">+A416-D416</f>
        <v>0</v>
      </c>
      <c r="L416" s="31">
        <f t="shared" ref="L416:L418" si="268">((+B416/A416)-(E416/D416))/(B416/A416)</f>
        <v>7.4881640099035878E-4</v>
      </c>
    </row>
    <row r="417" spans="1:12" ht="15" thickBot="1" x14ac:dyDescent="0.35">
      <c r="A417" s="781">
        <v>304</v>
      </c>
      <c r="B417" s="782">
        <v>12351.9</v>
      </c>
      <c r="C417" s="45" t="s">
        <v>6909</v>
      </c>
      <c r="D417" s="45">
        <f t="shared" si="266"/>
        <v>304</v>
      </c>
      <c r="E417" s="45">
        <f t="shared" si="266"/>
        <v>12005.2</v>
      </c>
      <c r="F417" s="45" t="s">
        <v>6910</v>
      </c>
      <c r="G417" s="45">
        <v>33621</v>
      </c>
      <c r="H417" s="14"/>
      <c r="I417" s="679">
        <v>304</v>
      </c>
      <c r="J417" s="45">
        <v>12005.2</v>
      </c>
      <c r="K417" s="120">
        <f t="shared" si="267"/>
        <v>0</v>
      </c>
      <c r="L417" s="31">
        <f t="shared" si="268"/>
        <v>2.8068556254503413E-2</v>
      </c>
    </row>
    <row r="418" spans="1:12" ht="15" thickBot="1" x14ac:dyDescent="0.35">
      <c r="A418" s="781">
        <v>3133</v>
      </c>
      <c r="B418" s="782">
        <v>120286.2</v>
      </c>
      <c r="C418" s="45" t="s">
        <v>6911</v>
      </c>
      <c r="D418" s="45">
        <v>3130</v>
      </c>
      <c r="E418" s="45">
        <v>118549.4</v>
      </c>
      <c r="F418" s="45" t="s">
        <v>6912</v>
      </c>
      <c r="G418" s="45">
        <v>33641</v>
      </c>
      <c r="H418" s="14"/>
      <c r="I418" s="679">
        <v>409</v>
      </c>
      <c r="J418" s="45">
        <v>13472.8</v>
      </c>
      <c r="K418" s="120">
        <f t="shared" si="267"/>
        <v>3</v>
      </c>
      <c r="L418" s="31">
        <f t="shared" si="268"/>
        <v>1.3494269309337323E-2</v>
      </c>
    </row>
    <row r="419" spans="1:12" ht="15" thickBot="1" x14ac:dyDescent="0.35">
      <c r="A419" s="178">
        <v>450</v>
      </c>
      <c r="B419" s="782">
        <v>19078.25</v>
      </c>
      <c r="C419" s="45" t="s">
        <v>7067</v>
      </c>
      <c r="D419" s="45">
        <f>+I419</f>
        <v>450</v>
      </c>
      <c r="E419" s="45">
        <f>+J419</f>
        <v>19222.900000000001</v>
      </c>
      <c r="F419" s="45" t="s">
        <v>7068</v>
      </c>
      <c r="G419" s="45">
        <v>33671</v>
      </c>
      <c r="H419" s="14"/>
      <c r="I419" s="45">
        <v>450</v>
      </c>
      <c r="J419" s="45">
        <v>19222.900000000001</v>
      </c>
      <c r="K419" s="120">
        <f t="shared" ref="K419:K422" si="269">+A419-D419</f>
        <v>0</v>
      </c>
      <c r="L419" s="31">
        <f t="shared" ref="L419:L422" si="270">((+B419/A419)-(E419/D419))/(B419/A419)</f>
        <v>-7.5819323051118624E-3</v>
      </c>
    </row>
    <row r="420" spans="1:12" ht="15" thickBot="1" x14ac:dyDescent="0.35">
      <c r="A420" s="178">
        <v>234</v>
      </c>
      <c r="B420" s="782">
        <v>9601.9</v>
      </c>
      <c r="C420" s="45" t="s">
        <v>7069</v>
      </c>
      <c r="D420" s="45">
        <f>+I420</f>
        <v>234</v>
      </c>
      <c r="E420" s="45">
        <f>+J420</f>
        <v>9542.7999999999993</v>
      </c>
      <c r="F420" s="45" t="s">
        <v>7070</v>
      </c>
      <c r="G420" s="45">
        <v>33681</v>
      </c>
      <c r="H420" s="14"/>
      <c r="I420" s="45">
        <v>234</v>
      </c>
      <c r="J420" s="45">
        <v>9542.7999999999993</v>
      </c>
      <c r="K420" s="120">
        <f t="shared" si="269"/>
        <v>0</v>
      </c>
      <c r="L420" s="31">
        <f t="shared" si="270"/>
        <v>6.1550318166197571E-3</v>
      </c>
    </row>
    <row r="421" spans="1:12" ht="15" thickBot="1" x14ac:dyDescent="0.35">
      <c r="A421" s="178">
        <v>1514</v>
      </c>
      <c r="B421" s="782">
        <v>58293</v>
      </c>
      <c r="C421" s="45" t="s">
        <v>7071</v>
      </c>
      <c r="D421" s="45">
        <f t="shared" ref="D421:E421" si="271">+I421</f>
        <v>1512</v>
      </c>
      <c r="E421" s="45">
        <f t="shared" si="271"/>
        <v>57947.799999999996</v>
      </c>
      <c r="F421" s="45" t="s">
        <v>7072</v>
      </c>
      <c r="G421" s="45">
        <v>33691</v>
      </c>
      <c r="H421" s="14"/>
      <c r="I421" s="45">
        <v>1512</v>
      </c>
      <c r="J421" s="45">
        <v>57947.799999999996</v>
      </c>
      <c r="K421" s="120">
        <f t="shared" si="269"/>
        <v>2</v>
      </c>
      <c r="L421" s="31">
        <f t="shared" si="270"/>
        <v>4.6068905511719681E-3</v>
      </c>
    </row>
    <row r="422" spans="1:12" x14ac:dyDescent="0.3">
      <c r="A422" s="871">
        <v>1500</v>
      </c>
      <c r="B422" s="1113">
        <v>58126.2</v>
      </c>
      <c r="C422" s="873" t="s">
        <v>7073</v>
      </c>
      <c r="D422" s="873">
        <f>+I422+I423</f>
        <v>1500</v>
      </c>
      <c r="E422" s="873">
        <f>+J422+J423</f>
        <v>57638.899999999994</v>
      </c>
      <c r="F422" s="748" t="s">
        <v>7074</v>
      </c>
      <c r="G422" s="748">
        <v>33701</v>
      </c>
      <c r="H422" s="40"/>
      <c r="I422" s="748">
        <v>125</v>
      </c>
      <c r="J422" s="748">
        <v>4839.7</v>
      </c>
      <c r="K422" s="1081">
        <f t="shared" si="269"/>
        <v>0</v>
      </c>
      <c r="L422" s="879">
        <f t="shared" si="270"/>
        <v>8.3834828356233217E-3</v>
      </c>
    </row>
    <row r="423" spans="1:12" ht="15" thickBot="1" x14ac:dyDescent="0.35">
      <c r="A423" s="872"/>
      <c r="B423" s="1114"/>
      <c r="C423" s="874"/>
      <c r="D423" s="874"/>
      <c r="E423" s="874"/>
      <c r="F423" s="749" t="s">
        <v>7074</v>
      </c>
      <c r="G423" s="749">
        <v>33701</v>
      </c>
      <c r="H423" s="754"/>
      <c r="I423" s="749">
        <v>1375</v>
      </c>
      <c r="J423" s="749">
        <v>52799.199999999997</v>
      </c>
      <c r="K423" s="1082"/>
      <c r="L423" s="880"/>
    </row>
    <row r="424" spans="1:12" ht="15" thickBot="1" x14ac:dyDescent="0.35">
      <c r="A424" s="50">
        <v>845</v>
      </c>
      <c r="B424" s="783">
        <v>32847.5</v>
      </c>
      <c r="C424" s="50" t="s">
        <v>7075</v>
      </c>
      <c r="D424" s="50">
        <f>+I424</f>
        <v>845</v>
      </c>
      <c r="E424" s="50">
        <f>+J424</f>
        <v>32202.3</v>
      </c>
      <c r="F424" s="50" t="s">
        <v>7076</v>
      </c>
      <c r="G424" s="50">
        <v>33711</v>
      </c>
      <c r="I424" s="50">
        <v>845</v>
      </c>
      <c r="J424" s="50">
        <v>32202.3</v>
      </c>
      <c r="K424" s="120">
        <f t="shared" ref="K424:K425" si="272">+A424-D424</f>
        <v>0</v>
      </c>
      <c r="L424" s="31">
        <f t="shared" ref="L424:L425" si="273">((+B424/A424)-(E424/D424))/(B424/A424)</f>
        <v>1.9642286323160084E-2</v>
      </c>
    </row>
    <row r="425" spans="1:12" x14ac:dyDescent="0.3">
      <c r="A425" s="871">
        <v>286</v>
      </c>
      <c r="B425" s="1115">
        <v>10643.5</v>
      </c>
      <c r="C425" s="873" t="s">
        <v>7077</v>
      </c>
      <c r="D425" s="873">
        <f>+I425+I426</f>
        <v>278</v>
      </c>
      <c r="E425" s="873">
        <f>+J425+J426</f>
        <v>10147.800000000001</v>
      </c>
      <c r="F425" s="748" t="s">
        <v>7078</v>
      </c>
      <c r="G425" s="748">
        <v>33721</v>
      </c>
      <c r="H425" s="40"/>
      <c r="I425" s="748">
        <v>25</v>
      </c>
      <c r="J425" s="748">
        <v>894</v>
      </c>
      <c r="K425" s="1081">
        <f t="shared" si="272"/>
        <v>8</v>
      </c>
      <c r="L425" s="879">
        <f t="shared" si="273"/>
        <v>1.9136278331118989E-2</v>
      </c>
    </row>
    <row r="426" spans="1:12" ht="15" thickBot="1" x14ac:dyDescent="0.35">
      <c r="A426" s="872"/>
      <c r="B426" s="1116"/>
      <c r="C426" s="874"/>
      <c r="D426" s="874"/>
      <c r="E426" s="874"/>
      <c r="F426" s="749" t="s">
        <v>7079</v>
      </c>
      <c r="G426" s="749">
        <v>33721</v>
      </c>
      <c r="H426" s="754"/>
      <c r="I426" s="749">
        <v>253</v>
      </c>
      <c r="J426" s="749">
        <v>9253.8000000000011</v>
      </c>
      <c r="K426" s="1082"/>
      <c r="L426" s="880"/>
    </row>
    <row r="427" spans="1:12" x14ac:dyDescent="0.3">
      <c r="A427" s="927">
        <v>1540</v>
      </c>
      <c r="B427" s="1108">
        <v>65954</v>
      </c>
      <c r="C427" s="953" t="s">
        <v>7080</v>
      </c>
      <c r="D427" s="953">
        <f>+I427+I428</f>
        <v>1540</v>
      </c>
      <c r="E427" s="953">
        <f>+J427+J428</f>
        <v>66448.600000000006</v>
      </c>
      <c r="F427" s="505" t="s">
        <v>7283</v>
      </c>
      <c r="G427" s="505">
        <v>33731</v>
      </c>
      <c r="H427" s="845"/>
      <c r="I427" s="505">
        <v>1292</v>
      </c>
      <c r="J427" s="505">
        <v>55447.6</v>
      </c>
      <c r="K427" s="1106">
        <f t="shared" ref="K427" si="274">+A427-D427</f>
        <v>0</v>
      </c>
      <c r="L427" s="950">
        <f t="shared" ref="L427" si="275">((+B427/A427)-(E427/D427))/(B427/A427)</f>
        <v>-7.4991660854535503E-3</v>
      </c>
    </row>
    <row r="428" spans="1:12" ht="15" thickBot="1" x14ac:dyDescent="0.35">
      <c r="A428" s="928"/>
      <c r="B428" s="1109"/>
      <c r="C428" s="1110"/>
      <c r="D428" s="1110"/>
      <c r="E428" s="1110"/>
      <c r="F428" s="506" t="s">
        <v>7283</v>
      </c>
      <c r="G428" s="506">
        <v>33731</v>
      </c>
      <c r="H428" s="856"/>
      <c r="I428" s="506">
        <v>248</v>
      </c>
      <c r="J428" s="506">
        <v>11001</v>
      </c>
      <c r="K428" s="1107"/>
      <c r="L428" s="951"/>
    </row>
    <row r="429" spans="1:12" x14ac:dyDescent="0.3">
      <c r="A429" s="938">
        <v>799</v>
      </c>
      <c r="B429" s="1111">
        <v>31875.599999999999</v>
      </c>
      <c r="C429" s="873" t="s">
        <v>7081</v>
      </c>
      <c r="D429" s="873">
        <v>799</v>
      </c>
      <c r="E429" s="873">
        <v>31225.5</v>
      </c>
      <c r="F429" s="748" t="s">
        <v>7082</v>
      </c>
      <c r="G429" s="748">
        <v>33741</v>
      </c>
      <c r="H429" s="40"/>
      <c r="I429" s="748">
        <v>299</v>
      </c>
      <c r="J429" s="748">
        <v>11087.5</v>
      </c>
      <c r="K429" s="1081">
        <f t="shared" ref="K429" si="276">+A429-D429</f>
        <v>0</v>
      </c>
      <c r="L429" s="879">
        <f t="shared" ref="L429" si="277">((+B429/A429)-(E429/D429))/(B429/A429)</f>
        <v>2.0394910213454916E-2</v>
      </c>
    </row>
    <row r="430" spans="1:12" ht="15" thickBot="1" x14ac:dyDescent="0.35">
      <c r="A430" s="939"/>
      <c r="B430" s="1112"/>
      <c r="C430" s="874"/>
      <c r="D430" s="874"/>
      <c r="E430" s="874"/>
      <c r="F430" s="749" t="s">
        <v>7082</v>
      </c>
      <c r="G430" s="749">
        <v>33741</v>
      </c>
      <c r="H430" s="754"/>
      <c r="I430" s="749">
        <v>100</v>
      </c>
      <c r="J430" s="749">
        <v>3971.9</v>
      </c>
      <c r="K430" s="1082"/>
      <c r="L430" s="880"/>
    </row>
    <row r="431" spans="1:12" ht="15" thickBot="1" x14ac:dyDescent="0.35">
      <c r="A431" s="178">
        <v>750</v>
      </c>
      <c r="B431" s="232">
        <v>26619.1</v>
      </c>
      <c r="C431" s="45" t="s">
        <v>7083</v>
      </c>
      <c r="D431" s="45">
        <f t="shared" ref="D431:E433" si="278">+I431</f>
        <v>750</v>
      </c>
      <c r="E431" s="45">
        <f t="shared" si="278"/>
        <v>26376.799999999999</v>
      </c>
      <c r="F431" s="45" t="s">
        <v>7336</v>
      </c>
      <c r="G431" s="45">
        <v>33751</v>
      </c>
      <c r="H431" s="14"/>
      <c r="I431" s="45">
        <v>750</v>
      </c>
      <c r="J431" s="45">
        <v>26376.799999999999</v>
      </c>
      <c r="K431" s="120">
        <f t="shared" ref="K431" si="279">+A431-D431</f>
        <v>0</v>
      </c>
      <c r="L431" s="31">
        <f t="shared" ref="L431" si="280">((+B431/A431)-(E431/D431))/(B431/A431)</f>
        <v>9.1024865604019921E-3</v>
      </c>
    </row>
    <row r="432" spans="1:12" ht="15" thickBot="1" x14ac:dyDescent="0.35">
      <c r="A432" s="178">
        <v>268</v>
      </c>
      <c r="B432" s="232">
        <v>10731.5</v>
      </c>
      <c r="C432" s="45" t="s">
        <v>7284</v>
      </c>
      <c r="D432" s="45">
        <f t="shared" si="278"/>
        <v>268</v>
      </c>
      <c r="E432" s="45">
        <f t="shared" si="278"/>
        <v>10672.8</v>
      </c>
      <c r="F432" s="45" t="s">
        <v>7285</v>
      </c>
      <c r="G432" s="45">
        <v>33761</v>
      </c>
      <c r="H432" s="14"/>
      <c r="I432" s="45">
        <v>268</v>
      </c>
      <c r="J432" s="45">
        <v>10672.8</v>
      </c>
      <c r="K432" s="120">
        <f t="shared" ref="K432:K434" si="281">+A432-D432</f>
        <v>0</v>
      </c>
      <c r="L432" s="31">
        <f t="shared" ref="L432:L434" si="282">((+B432/A432)-(E432/D432))/(B432/A432)</f>
        <v>5.469878395378232E-3</v>
      </c>
    </row>
    <row r="433" spans="1:12" ht="15" thickBot="1" x14ac:dyDescent="0.35">
      <c r="A433" s="814">
        <v>825</v>
      </c>
      <c r="B433" s="234">
        <v>33817.25</v>
      </c>
      <c r="C433" s="816" t="s">
        <v>7286</v>
      </c>
      <c r="D433" s="816">
        <f t="shared" si="278"/>
        <v>825</v>
      </c>
      <c r="E433" s="816">
        <f t="shared" si="278"/>
        <v>34186.199999999997</v>
      </c>
      <c r="F433" s="816" t="s">
        <v>7287</v>
      </c>
      <c r="G433" s="816">
        <v>33771</v>
      </c>
      <c r="H433" s="817"/>
      <c r="I433" s="816">
        <v>825</v>
      </c>
      <c r="J433" s="816">
        <v>34186.199999999997</v>
      </c>
      <c r="K433" s="120">
        <f t="shared" si="281"/>
        <v>0</v>
      </c>
      <c r="L433" s="31">
        <f t="shared" si="282"/>
        <v>-1.0910112442614269E-2</v>
      </c>
    </row>
    <row r="434" spans="1:12" x14ac:dyDescent="0.3">
      <c r="A434" s="871">
        <v>1213</v>
      </c>
      <c r="B434" s="964">
        <v>51443.75</v>
      </c>
      <c r="C434" s="873" t="s">
        <v>7288</v>
      </c>
      <c r="D434" s="873">
        <f>+I434+I435</f>
        <v>1213</v>
      </c>
      <c r="E434" s="873">
        <f>+J434+J435</f>
        <v>52114</v>
      </c>
      <c r="F434" s="815" t="s">
        <v>7289</v>
      </c>
      <c r="G434" s="815">
        <v>33851</v>
      </c>
      <c r="H434" s="40"/>
      <c r="I434" s="827">
        <v>597</v>
      </c>
      <c r="J434" s="815">
        <v>25730.499999999996</v>
      </c>
      <c r="K434" s="1081">
        <f t="shared" si="281"/>
        <v>0</v>
      </c>
      <c r="L434" s="879">
        <f t="shared" si="282"/>
        <v>-1.3028793585226612E-2</v>
      </c>
    </row>
    <row r="435" spans="1:12" ht="15" thickBot="1" x14ac:dyDescent="0.35">
      <c r="A435" s="872"/>
      <c r="B435" s="965"/>
      <c r="C435" s="874"/>
      <c r="D435" s="874"/>
      <c r="E435" s="874"/>
      <c r="F435" s="816" t="s">
        <v>7289</v>
      </c>
      <c r="G435" s="816">
        <v>33851</v>
      </c>
      <c r="H435" s="817"/>
      <c r="I435" s="828">
        <v>616</v>
      </c>
      <c r="J435" s="816">
        <v>26383.5</v>
      </c>
      <c r="K435" s="1082"/>
      <c r="L435" s="880"/>
    </row>
    <row r="436" spans="1:12" ht="15" thickBot="1" x14ac:dyDescent="0.35">
      <c r="A436" s="178">
        <v>770</v>
      </c>
      <c r="B436" s="232">
        <v>31620.25</v>
      </c>
      <c r="C436" s="45" t="s">
        <v>7290</v>
      </c>
      <c r="D436" s="45">
        <f>+I436</f>
        <v>770</v>
      </c>
      <c r="E436" s="45">
        <f>+J436</f>
        <v>31687.5</v>
      </c>
      <c r="F436" s="45" t="s">
        <v>7291</v>
      </c>
      <c r="G436" s="45">
        <v>33861</v>
      </c>
      <c r="H436" s="14"/>
      <c r="I436" s="829">
        <v>770</v>
      </c>
      <c r="J436" s="45">
        <v>31687.5</v>
      </c>
      <c r="K436" s="120">
        <f t="shared" ref="K436:K437" si="283">+A436-D436</f>
        <v>0</v>
      </c>
      <c r="L436" s="31">
        <f t="shared" ref="L436" si="284">((+B436/A436)-(E436/D436))/(B436/A436)</f>
        <v>-2.1268016540033122E-3</v>
      </c>
    </row>
    <row r="437" spans="1:12" x14ac:dyDescent="0.3">
      <c r="A437" s="871">
        <v>1338</v>
      </c>
      <c r="B437" s="964">
        <v>54428.25</v>
      </c>
      <c r="C437" s="873" t="s">
        <v>7292</v>
      </c>
      <c r="D437" s="873">
        <f>+I437+I438+I439</f>
        <v>1338</v>
      </c>
      <c r="E437" s="873">
        <f>+J437+J438+J439</f>
        <v>55034.7</v>
      </c>
      <c r="F437" s="815" t="s">
        <v>7293</v>
      </c>
      <c r="G437" s="815">
        <v>33871</v>
      </c>
      <c r="H437" s="40"/>
      <c r="I437" s="827">
        <v>424</v>
      </c>
      <c r="J437" s="815">
        <v>17463.300000000003</v>
      </c>
      <c r="K437" s="1081">
        <f t="shared" si="283"/>
        <v>0</v>
      </c>
      <c r="L437" s="879">
        <f>((+B437/A437)-(E437/D437))/(B437/A437)</f>
        <v>-1.1142191784597201E-2</v>
      </c>
    </row>
    <row r="438" spans="1:12" x14ac:dyDescent="0.3">
      <c r="A438" s="875"/>
      <c r="B438" s="1105"/>
      <c r="C438" s="881"/>
      <c r="D438" s="881"/>
      <c r="E438" s="881"/>
      <c r="F438" s="50" t="s">
        <v>7293</v>
      </c>
      <c r="G438" s="50">
        <v>33871</v>
      </c>
      <c r="I438" s="830">
        <v>606</v>
      </c>
      <c r="J438" s="50">
        <v>25147.199999999997</v>
      </c>
      <c r="K438" s="1083"/>
      <c r="L438" s="885"/>
    </row>
    <row r="439" spans="1:12" ht="15" thickBot="1" x14ac:dyDescent="0.35">
      <c r="A439" s="872"/>
      <c r="B439" s="965"/>
      <c r="C439" s="874"/>
      <c r="D439" s="874"/>
      <c r="E439" s="874"/>
      <c r="F439" s="816" t="s">
        <v>7293</v>
      </c>
      <c r="G439" s="816">
        <v>33871</v>
      </c>
      <c r="H439" s="817"/>
      <c r="I439" s="828">
        <v>308</v>
      </c>
      <c r="J439" s="816">
        <v>12424.2</v>
      </c>
      <c r="K439" s="1082"/>
      <c r="L439" s="880"/>
    </row>
    <row r="440" spans="1:12" ht="15" thickBot="1" x14ac:dyDescent="0.35">
      <c r="A440" s="212">
        <v>427</v>
      </c>
      <c r="B440" s="365">
        <v>16816.900000000001</v>
      </c>
      <c r="C440" s="50" t="s">
        <v>7294</v>
      </c>
      <c r="D440" s="50">
        <f>+I440</f>
        <v>427</v>
      </c>
      <c r="E440" s="50">
        <f>+J440</f>
        <v>16883.8</v>
      </c>
      <c r="F440" s="50" t="s">
        <v>7295</v>
      </c>
      <c r="G440" s="50">
        <v>33911</v>
      </c>
      <c r="I440" s="830">
        <v>427</v>
      </c>
      <c r="J440" s="50">
        <v>16883.8</v>
      </c>
      <c r="K440" s="120">
        <f t="shared" ref="K440:K441" si="285">+A440-D440</f>
        <v>0</v>
      </c>
      <c r="L440" s="31">
        <f t="shared" ref="L440:L441" si="286">((+B440/A440)-(E440/D440))/(B440/A440)</f>
        <v>-3.9781410366950603E-3</v>
      </c>
    </row>
    <row r="441" spans="1:12" x14ac:dyDescent="0.3">
      <c r="A441" s="871">
        <v>1056</v>
      </c>
      <c r="B441" s="964">
        <v>42144.75</v>
      </c>
      <c r="C441" s="873" t="s">
        <v>7296</v>
      </c>
      <c r="D441" s="873">
        <f>+I441+I442</f>
        <v>1056</v>
      </c>
      <c r="E441" s="873">
        <f>+J441+J442</f>
        <v>42008.6</v>
      </c>
      <c r="F441" s="815" t="s">
        <v>7297</v>
      </c>
      <c r="G441" s="815">
        <v>33921</v>
      </c>
      <c r="H441" s="40"/>
      <c r="I441" s="827">
        <v>704</v>
      </c>
      <c r="J441" s="815">
        <v>28871.5</v>
      </c>
      <c r="K441" s="1081">
        <f t="shared" si="285"/>
        <v>0</v>
      </c>
      <c r="L441" s="879">
        <f t="shared" si="286"/>
        <v>3.2305328658966122E-3</v>
      </c>
    </row>
    <row r="442" spans="1:12" ht="15" thickBot="1" x14ac:dyDescent="0.35">
      <c r="A442" s="872"/>
      <c r="B442" s="965"/>
      <c r="C442" s="874"/>
      <c r="D442" s="874"/>
      <c r="E442" s="874"/>
      <c r="F442" s="816" t="s">
        <v>7297</v>
      </c>
      <c r="G442" s="816">
        <v>33921</v>
      </c>
      <c r="H442" s="817"/>
      <c r="I442" s="828">
        <v>352</v>
      </c>
      <c r="J442" s="816">
        <v>13137.1</v>
      </c>
      <c r="K442" s="1082"/>
      <c r="L442" s="880"/>
    </row>
    <row r="443" spans="1:12" ht="15" thickBot="1" x14ac:dyDescent="0.35">
      <c r="A443" s="813">
        <v>399</v>
      </c>
      <c r="B443" s="233">
        <v>15007.2</v>
      </c>
      <c r="C443" s="815" t="s">
        <v>7298</v>
      </c>
      <c r="D443" s="815">
        <f t="shared" ref="D443:E443" si="287">+I443</f>
        <v>399</v>
      </c>
      <c r="E443" s="815">
        <f t="shared" si="287"/>
        <v>14757.6</v>
      </c>
      <c r="F443" s="815" t="s">
        <v>7299</v>
      </c>
      <c r="G443" s="815">
        <v>33931</v>
      </c>
      <c r="H443" s="40"/>
      <c r="I443" s="827">
        <v>399</v>
      </c>
      <c r="J443" s="815">
        <v>14757.6</v>
      </c>
      <c r="K443" s="120">
        <f t="shared" ref="K443:K444" si="288">+A443-D443</f>
        <v>0</v>
      </c>
      <c r="L443" s="31">
        <f t="shared" ref="L443:L444" si="289">((+B443/A443)-(E443/D443))/(B443/A443)</f>
        <v>1.6632016632016789E-2</v>
      </c>
    </row>
    <row r="444" spans="1:12" x14ac:dyDescent="0.3">
      <c r="A444" s="871">
        <v>1277</v>
      </c>
      <c r="B444" s="964">
        <v>51655.5</v>
      </c>
      <c r="C444" s="873" t="s">
        <v>7300</v>
      </c>
      <c r="D444" s="873">
        <f>+I444+I445</f>
        <v>1277</v>
      </c>
      <c r="E444" s="873">
        <f>+J444+J445</f>
        <v>51150.399999999994</v>
      </c>
      <c r="F444" s="815" t="s">
        <v>7301</v>
      </c>
      <c r="G444" s="815">
        <v>33941</v>
      </c>
      <c r="H444" s="40"/>
      <c r="I444" s="827">
        <v>514</v>
      </c>
      <c r="J444" s="815">
        <v>20450</v>
      </c>
      <c r="K444" s="1081">
        <f t="shared" si="288"/>
        <v>0</v>
      </c>
      <c r="L444" s="879">
        <f t="shared" si="289"/>
        <v>9.7782423943240781E-3</v>
      </c>
    </row>
    <row r="445" spans="1:12" ht="15" thickBot="1" x14ac:dyDescent="0.35">
      <c r="A445" s="872"/>
      <c r="B445" s="965"/>
      <c r="C445" s="881"/>
      <c r="D445" s="881"/>
      <c r="E445" s="881"/>
      <c r="F445" s="50" t="s">
        <v>7301</v>
      </c>
      <c r="G445" s="50">
        <v>33941</v>
      </c>
      <c r="I445" s="50">
        <v>763</v>
      </c>
      <c r="J445" s="50">
        <v>30700.399999999998</v>
      </c>
      <c r="K445" s="1082"/>
      <c r="L445" s="880"/>
    </row>
    <row r="446" spans="1:12" x14ac:dyDescent="0.3">
      <c r="A446" s="871">
        <v>2737</v>
      </c>
      <c r="B446" s="964">
        <v>106483.75</v>
      </c>
      <c r="C446" s="873" t="s">
        <v>7302</v>
      </c>
      <c r="D446" s="873">
        <v>2737</v>
      </c>
      <c r="E446" s="873">
        <v>105989.4</v>
      </c>
      <c r="F446" s="815" t="s">
        <v>7303</v>
      </c>
      <c r="G446" s="815">
        <v>33951</v>
      </c>
      <c r="H446" s="40"/>
      <c r="I446" s="815">
        <v>100</v>
      </c>
      <c r="J446" s="815">
        <v>4037</v>
      </c>
      <c r="K446" s="1081">
        <f t="shared" ref="K446" si="290">+A446-D446</f>
        <v>0</v>
      </c>
      <c r="L446" s="879">
        <f t="shared" ref="L446" si="291">((+B446/A446)-(E446/D446))/(B446/A446)</f>
        <v>4.6424923990750358E-3</v>
      </c>
    </row>
    <row r="447" spans="1:12" ht="15" thickBot="1" x14ac:dyDescent="0.35">
      <c r="A447" s="872"/>
      <c r="B447" s="965"/>
      <c r="C447" s="874"/>
      <c r="D447" s="874"/>
      <c r="E447" s="874"/>
      <c r="F447" s="816" t="s">
        <v>7303</v>
      </c>
      <c r="G447" s="816">
        <v>33951</v>
      </c>
      <c r="H447" s="817"/>
      <c r="I447" s="816">
        <v>760</v>
      </c>
      <c r="J447" s="816">
        <v>28476.400000000001</v>
      </c>
      <c r="K447" s="1082"/>
      <c r="L447" s="880"/>
    </row>
    <row r="448" spans="1:12" ht="15" thickBot="1" x14ac:dyDescent="0.35">
      <c r="A448" s="178">
        <v>713</v>
      </c>
      <c r="B448" s="195">
        <v>26601.9</v>
      </c>
      <c r="C448" s="45" t="s">
        <v>7373</v>
      </c>
      <c r="D448" s="45">
        <f>+I448</f>
        <v>714</v>
      </c>
      <c r="E448" s="45">
        <f>+J448</f>
        <v>26297.5</v>
      </c>
      <c r="F448" s="45" t="s">
        <v>7374</v>
      </c>
      <c r="G448" s="45">
        <v>33981</v>
      </c>
      <c r="H448" s="45"/>
      <c r="I448" s="45">
        <v>714</v>
      </c>
      <c r="J448" s="45">
        <v>26297.5</v>
      </c>
      <c r="K448" s="120">
        <f t="shared" ref="K448" si="292">+A448-D448</f>
        <v>-1</v>
      </c>
      <c r="L448" s="31">
        <f t="shared" ref="L448" si="293">((+B448/A448)-(E448/D448))/(B448/A448)</f>
        <v>1.2827325585503081E-2</v>
      </c>
    </row>
    <row r="449" spans="1:12" ht="15" thickBot="1" x14ac:dyDescent="0.35">
      <c r="A449" s="178">
        <v>438</v>
      </c>
      <c r="B449" s="195">
        <v>15984.9</v>
      </c>
      <c r="C449" s="45" t="s">
        <v>7304</v>
      </c>
      <c r="D449" s="45">
        <f t="shared" ref="D449:E452" si="294">+I449</f>
        <v>438</v>
      </c>
      <c r="E449" s="45">
        <f t="shared" si="294"/>
        <v>15706.7</v>
      </c>
      <c r="F449" s="45" t="s">
        <v>7305</v>
      </c>
      <c r="G449" s="45">
        <v>33991</v>
      </c>
      <c r="H449" s="45"/>
      <c r="I449" s="45">
        <v>438</v>
      </c>
      <c r="J449" s="45">
        <v>15706.7</v>
      </c>
      <c r="K449" s="120">
        <f t="shared" ref="K449:K451" si="295">+A449-D449</f>
        <v>0</v>
      </c>
      <c r="L449" s="31">
        <f t="shared" ref="L449:L451" si="296">((+B449/A449)-(E449/D449))/(B449/A449)</f>
        <v>1.7403924954175348E-2</v>
      </c>
    </row>
    <row r="450" spans="1:12" ht="15" thickBot="1" x14ac:dyDescent="0.35">
      <c r="A450" s="814">
        <v>912</v>
      </c>
      <c r="B450" s="234">
        <v>32413.8</v>
      </c>
      <c r="C450" s="816" t="s">
        <v>7306</v>
      </c>
      <c r="D450" s="816">
        <f t="shared" si="294"/>
        <v>912</v>
      </c>
      <c r="E450" s="816">
        <f t="shared" si="294"/>
        <v>32066.400000000001</v>
      </c>
      <c r="F450" s="816" t="s">
        <v>7307</v>
      </c>
      <c r="G450" s="816">
        <v>34021</v>
      </c>
      <c r="H450" s="817"/>
      <c r="I450" s="816">
        <v>912</v>
      </c>
      <c r="J450" s="816">
        <v>32066.400000000001</v>
      </c>
      <c r="K450" s="120">
        <f t="shared" si="295"/>
        <v>0</v>
      </c>
      <c r="L450" s="31">
        <f t="shared" si="296"/>
        <v>1.0717657294115444E-2</v>
      </c>
    </row>
    <row r="451" spans="1:12" ht="15" thickBot="1" x14ac:dyDescent="0.35">
      <c r="A451" s="814">
        <v>758</v>
      </c>
      <c r="B451" s="234">
        <v>27964.3</v>
      </c>
      <c r="C451" s="816" t="s">
        <v>7308</v>
      </c>
      <c r="D451" s="816">
        <f t="shared" si="294"/>
        <v>758</v>
      </c>
      <c r="E451" s="816">
        <f t="shared" si="294"/>
        <v>27377.4</v>
      </c>
      <c r="F451" s="816" t="s">
        <v>7309</v>
      </c>
      <c r="G451" s="816">
        <v>34031</v>
      </c>
      <c r="H451" s="817"/>
      <c r="I451" s="816">
        <v>758</v>
      </c>
      <c r="J451" s="816">
        <v>27377.4</v>
      </c>
      <c r="K451" s="120">
        <f t="shared" si="295"/>
        <v>0</v>
      </c>
      <c r="L451" s="31">
        <f t="shared" si="296"/>
        <v>2.0987473314189837E-2</v>
      </c>
    </row>
    <row r="452" spans="1:12" ht="15" thickBot="1" x14ac:dyDescent="0.35">
      <c r="A452" s="837">
        <v>798</v>
      </c>
      <c r="B452" s="234">
        <v>35010.5</v>
      </c>
      <c r="C452" s="839" t="s">
        <v>7375</v>
      </c>
      <c r="D452" s="839">
        <f t="shared" si="294"/>
        <v>797</v>
      </c>
      <c r="E452" s="839">
        <f t="shared" si="294"/>
        <v>34381.100000000006</v>
      </c>
      <c r="F452" s="839" t="s">
        <v>7376</v>
      </c>
      <c r="G452" s="839">
        <v>34101</v>
      </c>
      <c r="H452" s="842"/>
      <c r="I452" s="839">
        <v>797</v>
      </c>
      <c r="J452" s="839">
        <v>34381.100000000006</v>
      </c>
      <c r="K452" s="120">
        <f t="shared" ref="K452" si="297">+A452-D452</f>
        <v>1</v>
      </c>
      <c r="L452" s="31">
        <f t="shared" ref="L452" si="298">((+B452/A452)-(E452/D452))/(B452/A452)</f>
        <v>1.6745315175836051E-2</v>
      </c>
    </row>
    <row r="453" spans="1:12" x14ac:dyDescent="0.3">
      <c r="A453" s="364"/>
      <c r="B453" s="365"/>
      <c r="C453" s="364"/>
      <c r="D453" s="364"/>
      <c r="E453" s="364"/>
      <c r="F453" s="364"/>
      <c r="G453" s="364"/>
      <c r="H453" s="363"/>
      <c r="I453" s="364"/>
      <c r="J453" s="364"/>
      <c r="K453" s="440"/>
      <c r="L453" s="369"/>
    </row>
    <row r="454" spans="1:12" x14ac:dyDescent="0.3">
      <c r="A454" s="156">
        <f>SUM(A5:A451)</f>
        <v>242361</v>
      </c>
      <c r="B454" s="156">
        <f>SUM(B5:B451)</f>
        <v>10151979.172</v>
      </c>
      <c r="C454" s="156"/>
      <c r="D454" s="156">
        <f>SUM(D5:D451)</f>
        <v>242134</v>
      </c>
      <c r="E454" s="156">
        <f>SUM(E5:E451)</f>
        <v>10087926.100000005</v>
      </c>
      <c r="F454" s="156"/>
    </row>
  </sheetData>
  <mergeCells count="755">
    <mergeCell ref="K414:K415"/>
    <mergeCell ref="L414:L415"/>
    <mergeCell ref="K403:K404"/>
    <mergeCell ref="L403:L404"/>
    <mergeCell ref="K406:K407"/>
    <mergeCell ref="L406:L407"/>
    <mergeCell ref="K408:K409"/>
    <mergeCell ref="L408:L409"/>
    <mergeCell ref="K410:K411"/>
    <mergeCell ref="L410:L411"/>
    <mergeCell ref="K412:K413"/>
    <mergeCell ref="L412:L413"/>
    <mergeCell ref="A412:A413"/>
    <mergeCell ref="B412:B413"/>
    <mergeCell ref="C412:C413"/>
    <mergeCell ref="D412:D413"/>
    <mergeCell ref="E412:E413"/>
    <mergeCell ref="A414:A415"/>
    <mergeCell ref="B414:B415"/>
    <mergeCell ref="C414:C415"/>
    <mergeCell ref="D414:D415"/>
    <mergeCell ref="E414:E415"/>
    <mergeCell ref="A408:A409"/>
    <mergeCell ref="B408:B409"/>
    <mergeCell ref="C408:C409"/>
    <mergeCell ref="D408:D409"/>
    <mergeCell ref="E408:E409"/>
    <mergeCell ref="A410:A411"/>
    <mergeCell ref="B410:B411"/>
    <mergeCell ref="C410:C411"/>
    <mergeCell ref="D410:D411"/>
    <mergeCell ref="E410:E411"/>
    <mergeCell ref="K391:K392"/>
    <mergeCell ref="L391:L392"/>
    <mergeCell ref="A403:A404"/>
    <mergeCell ref="B403:B404"/>
    <mergeCell ref="C403:C404"/>
    <mergeCell ref="D403:D404"/>
    <mergeCell ref="E403:E404"/>
    <mergeCell ref="A406:A407"/>
    <mergeCell ref="B406:B407"/>
    <mergeCell ref="C406:C407"/>
    <mergeCell ref="D406:D407"/>
    <mergeCell ref="E406:E407"/>
    <mergeCell ref="A399:A401"/>
    <mergeCell ref="B399:B401"/>
    <mergeCell ref="C399:C401"/>
    <mergeCell ref="D399:D401"/>
    <mergeCell ref="E399:E401"/>
    <mergeCell ref="K399:K401"/>
    <mergeCell ref="L399:L401"/>
    <mergeCell ref="K394:K398"/>
    <mergeCell ref="L394:L398"/>
    <mergeCell ref="A391:A392"/>
    <mergeCell ref="B391:B392"/>
    <mergeCell ref="C391:C392"/>
    <mergeCell ref="K382:K385"/>
    <mergeCell ref="L382:L385"/>
    <mergeCell ref="K375:K376"/>
    <mergeCell ref="L375:L376"/>
    <mergeCell ref="K377:K378"/>
    <mergeCell ref="L377:L378"/>
    <mergeCell ref="K379:K380"/>
    <mergeCell ref="L379:L380"/>
    <mergeCell ref="K389:K390"/>
    <mergeCell ref="L389:L390"/>
    <mergeCell ref="D391:D392"/>
    <mergeCell ref="E391:E392"/>
    <mergeCell ref="A394:A398"/>
    <mergeCell ref="B394:B398"/>
    <mergeCell ref="C394:C398"/>
    <mergeCell ref="D394:D398"/>
    <mergeCell ref="E394:E398"/>
    <mergeCell ref="A382:A385"/>
    <mergeCell ref="B382:B385"/>
    <mergeCell ref="C382:C385"/>
    <mergeCell ref="D382:D385"/>
    <mergeCell ref="E382:E385"/>
    <mergeCell ref="A389:A390"/>
    <mergeCell ref="B389:B390"/>
    <mergeCell ref="C389:C390"/>
    <mergeCell ref="D389:D390"/>
    <mergeCell ref="E389:E390"/>
    <mergeCell ref="B377:B378"/>
    <mergeCell ref="C377:C378"/>
    <mergeCell ref="D377:D378"/>
    <mergeCell ref="E377:E378"/>
    <mergeCell ref="A379:A380"/>
    <mergeCell ref="B379:B380"/>
    <mergeCell ref="C379:C380"/>
    <mergeCell ref="D379:D380"/>
    <mergeCell ref="E379:E380"/>
    <mergeCell ref="K347:K348"/>
    <mergeCell ref="L347:L348"/>
    <mergeCell ref="K349:K350"/>
    <mergeCell ref="L349:L350"/>
    <mergeCell ref="K361:K363"/>
    <mergeCell ref="L361:L363"/>
    <mergeCell ref="K351:K358"/>
    <mergeCell ref="L351:L358"/>
    <mergeCell ref="A351:A358"/>
    <mergeCell ref="B351:B358"/>
    <mergeCell ref="C351:C358"/>
    <mergeCell ref="D351:D358"/>
    <mergeCell ref="E351:E358"/>
    <mergeCell ref="A361:A363"/>
    <mergeCell ref="B361:B363"/>
    <mergeCell ref="C361:C363"/>
    <mergeCell ref="D361:D363"/>
    <mergeCell ref="E361:E363"/>
    <mergeCell ref="A347:A348"/>
    <mergeCell ref="B347:B348"/>
    <mergeCell ref="C347:C348"/>
    <mergeCell ref="D347:D348"/>
    <mergeCell ref="E347:E348"/>
    <mergeCell ref="A349:A350"/>
    <mergeCell ref="B349:B350"/>
    <mergeCell ref="C349:C350"/>
    <mergeCell ref="D349:D350"/>
    <mergeCell ref="E349:E350"/>
    <mergeCell ref="A315:A316"/>
    <mergeCell ref="B315:B316"/>
    <mergeCell ref="C315:C316"/>
    <mergeCell ref="D315:D316"/>
    <mergeCell ref="E315:E316"/>
    <mergeCell ref="A323:A324"/>
    <mergeCell ref="B323:B324"/>
    <mergeCell ref="C323:C324"/>
    <mergeCell ref="D323:D324"/>
    <mergeCell ref="E323:E324"/>
    <mergeCell ref="A344:A346"/>
    <mergeCell ref="B344:B346"/>
    <mergeCell ref="C344:C346"/>
    <mergeCell ref="D344:D346"/>
    <mergeCell ref="E344:E346"/>
    <mergeCell ref="K291:K292"/>
    <mergeCell ref="L291:L292"/>
    <mergeCell ref="K294:K295"/>
    <mergeCell ref="L294:L295"/>
    <mergeCell ref="K296:K297"/>
    <mergeCell ref="L296:L297"/>
    <mergeCell ref="K298:K299"/>
    <mergeCell ref="L298:L299"/>
    <mergeCell ref="K300:K301"/>
    <mergeCell ref="L300:L301"/>
    <mergeCell ref="K302:K303"/>
    <mergeCell ref="L302:L303"/>
    <mergeCell ref="K311:K312"/>
    <mergeCell ref="L311:L312"/>
    <mergeCell ref="K315:K316"/>
    <mergeCell ref="L315:L316"/>
    <mergeCell ref="K306:K309"/>
    <mergeCell ref="L306:L309"/>
    <mergeCell ref="A306:A309"/>
    <mergeCell ref="B306:B309"/>
    <mergeCell ref="C306:C309"/>
    <mergeCell ref="D306:D309"/>
    <mergeCell ref="E306:E309"/>
    <mergeCell ref="A311:A312"/>
    <mergeCell ref="B311:B312"/>
    <mergeCell ref="C311:C312"/>
    <mergeCell ref="D311:D312"/>
    <mergeCell ref="E311:E312"/>
    <mergeCell ref="A300:A301"/>
    <mergeCell ref="B300:B301"/>
    <mergeCell ref="C300:C301"/>
    <mergeCell ref="D300:D301"/>
    <mergeCell ref="E300:E301"/>
    <mergeCell ref="A302:A303"/>
    <mergeCell ref="B302:B303"/>
    <mergeCell ref="C302:C303"/>
    <mergeCell ref="D302:D303"/>
    <mergeCell ref="E302:E303"/>
    <mergeCell ref="A296:A297"/>
    <mergeCell ref="B296:B297"/>
    <mergeCell ref="C296:C297"/>
    <mergeCell ref="D296:D297"/>
    <mergeCell ref="E296:E297"/>
    <mergeCell ref="A298:A299"/>
    <mergeCell ref="B298:B299"/>
    <mergeCell ref="C298:C299"/>
    <mergeCell ref="D298:D299"/>
    <mergeCell ref="E298:E299"/>
    <mergeCell ref="A291:A292"/>
    <mergeCell ref="B291:B292"/>
    <mergeCell ref="C291:C292"/>
    <mergeCell ref="D291:D292"/>
    <mergeCell ref="E291:E292"/>
    <mergeCell ref="A294:A295"/>
    <mergeCell ref="B294:B295"/>
    <mergeCell ref="C294:C295"/>
    <mergeCell ref="D294:D295"/>
    <mergeCell ref="E294:E295"/>
    <mergeCell ref="A271:A272"/>
    <mergeCell ref="B271:B272"/>
    <mergeCell ref="C271:C272"/>
    <mergeCell ref="D271:D272"/>
    <mergeCell ref="E271:E272"/>
    <mergeCell ref="K259:K260"/>
    <mergeCell ref="L259:L260"/>
    <mergeCell ref="K267:K268"/>
    <mergeCell ref="L267:L268"/>
    <mergeCell ref="K269:K270"/>
    <mergeCell ref="L269:L270"/>
    <mergeCell ref="K271:K272"/>
    <mergeCell ref="L271:L272"/>
    <mergeCell ref="K262:K266"/>
    <mergeCell ref="L262:L266"/>
    <mergeCell ref="A267:A268"/>
    <mergeCell ref="B267:B268"/>
    <mergeCell ref="C267:C268"/>
    <mergeCell ref="D267:D268"/>
    <mergeCell ref="E267:E268"/>
    <mergeCell ref="A269:A270"/>
    <mergeCell ref="B269:B270"/>
    <mergeCell ref="C269:C270"/>
    <mergeCell ref="D269:D270"/>
    <mergeCell ref="E269:E270"/>
    <mergeCell ref="A259:A260"/>
    <mergeCell ref="B259:B260"/>
    <mergeCell ref="C259:C260"/>
    <mergeCell ref="D259:D260"/>
    <mergeCell ref="E259:E260"/>
    <mergeCell ref="A262:A266"/>
    <mergeCell ref="B262:B266"/>
    <mergeCell ref="C262:C266"/>
    <mergeCell ref="D262:D266"/>
    <mergeCell ref="E262:E266"/>
    <mergeCell ref="K157:K158"/>
    <mergeCell ref="L157:L158"/>
    <mergeCell ref="A141:A142"/>
    <mergeCell ref="B141:B142"/>
    <mergeCell ref="C141:C142"/>
    <mergeCell ref="D141:D142"/>
    <mergeCell ref="E141:E142"/>
    <mergeCell ref="K141:K142"/>
    <mergeCell ref="L141:L142"/>
    <mergeCell ref="A155:A156"/>
    <mergeCell ref="B155:B156"/>
    <mergeCell ref="C155:C156"/>
    <mergeCell ref="D155:D156"/>
    <mergeCell ref="E155:E156"/>
    <mergeCell ref="K155:K156"/>
    <mergeCell ref="L155:L156"/>
    <mergeCell ref="K108:K109"/>
    <mergeCell ref="L108:L109"/>
    <mergeCell ref="K113:K114"/>
    <mergeCell ref="L113:L114"/>
    <mergeCell ref="A108:A109"/>
    <mergeCell ref="B108:B109"/>
    <mergeCell ref="C108:C109"/>
    <mergeCell ref="D108:D109"/>
    <mergeCell ref="E108:E109"/>
    <mergeCell ref="A113:A114"/>
    <mergeCell ref="B113:B114"/>
    <mergeCell ref="C113:C114"/>
    <mergeCell ref="D113:D114"/>
    <mergeCell ref="E113:E114"/>
    <mergeCell ref="K96:K97"/>
    <mergeCell ref="L96:L97"/>
    <mergeCell ref="K99:K100"/>
    <mergeCell ref="L99:L100"/>
    <mergeCell ref="K103:K104"/>
    <mergeCell ref="L103:L104"/>
    <mergeCell ref="A96:A97"/>
    <mergeCell ref="B96:B97"/>
    <mergeCell ref="C96:C97"/>
    <mergeCell ref="D96:D97"/>
    <mergeCell ref="E96:E97"/>
    <mergeCell ref="A99:A100"/>
    <mergeCell ref="B99:B100"/>
    <mergeCell ref="C99:C100"/>
    <mergeCell ref="D99:D100"/>
    <mergeCell ref="E99:E100"/>
    <mergeCell ref="A103:A104"/>
    <mergeCell ref="B103:B104"/>
    <mergeCell ref="C103:C104"/>
    <mergeCell ref="D103:D104"/>
    <mergeCell ref="E103:E104"/>
    <mergeCell ref="K48:K49"/>
    <mergeCell ref="L48:L49"/>
    <mergeCell ref="K50:K51"/>
    <mergeCell ref="L50:L51"/>
    <mergeCell ref="D48:D49"/>
    <mergeCell ref="E48:E49"/>
    <mergeCell ref="K35:K36"/>
    <mergeCell ref="K37:K38"/>
    <mergeCell ref="L35:L36"/>
    <mergeCell ref="L37:L38"/>
    <mergeCell ref="A35:A36"/>
    <mergeCell ref="B35:B36"/>
    <mergeCell ref="K25:K27"/>
    <mergeCell ref="L25:L27"/>
    <mergeCell ref="A29:A30"/>
    <mergeCell ref="B29:B30"/>
    <mergeCell ref="C29:C30"/>
    <mergeCell ref="D29:D30"/>
    <mergeCell ref="E29:E30"/>
    <mergeCell ref="A25:A27"/>
    <mergeCell ref="B25:B27"/>
    <mergeCell ref="C25:C27"/>
    <mergeCell ref="D25:D27"/>
    <mergeCell ref="E25:E27"/>
    <mergeCell ref="K29:K30"/>
    <mergeCell ref="L29:L30"/>
    <mergeCell ref="A17:A18"/>
    <mergeCell ref="B17:B18"/>
    <mergeCell ref="C17:C18"/>
    <mergeCell ref="D17:D18"/>
    <mergeCell ref="E17:E18"/>
    <mergeCell ref="L17:L18"/>
    <mergeCell ref="L3:L4"/>
    <mergeCell ref="K6:K7"/>
    <mergeCell ref="L6:L7"/>
    <mergeCell ref="K11:K12"/>
    <mergeCell ref="K13:K14"/>
    <mergeCell ref="L11:L12"/>
    <mergeCell ref="L13:L14"/>
    <mergeCell ref="K3:K4"/>
    <mergeCell ref="K17:K18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1:I2"/>
    <mergeCell ref="A3:C3"/>
    <mergeCell ref="D3:E3"/>
    <mergeCell ref="G3:G4"/>
    <mergeCell ref="A6:A7"/>
    <mergeCell ref="B6:B7"/>
    <mergeCell ref="C6:C7"/>
    <mergeCell ref="D6:D7"/>
    <mergeCell ref="E6:E7"/>
    <mergeCell ref="K20:K21"/>
    <mergeCell ref="L20:L21"/>
    <mergeCell ref="K23:K24"/>
    <mergeCell ref="L23:L24"/>
    <mergeCell ref="A23:A24"/>
    <mergeCell ref="B23:B24"/>
    <mergeCell ref="C23:C24"/>
    <mergeCell ref="D23:D24"/>
    <mergeCell ref="E23:E24"/>
    <mergeCell ref="A20:A21"/>
    <mergeCell ref="B20:B21"/>
    <mergeCell ref="C20:C21"/>
    <mergeCell ref="D20:D21"/>
    <mergeCell ref="E20:E21"/>
    <mergeCell ref="E69:E70"/>
    <mergeCell ref="F69:F70"/>
    <mergeCell ref="G69:G70"/>
    <mergeCell ref="A67:A68"/>
    <mergeCell ref="B67:B68"/>
    <mergeCell ref="C67:C68"/>
    <mergeCell ref="D67:D68"/>
    <mergeCell ref="E67:E68"/>
    <mergeCell ref="C35:C36"/>
    <mergeCell ref="D35:D36"/>
    <mergeCell ref="E35:E36"/>
    <mergeCell ref="A48:A49"/>
    <mergeCell ref="B48:B49"/>
    <mergeCell ref="C48:C49"/>
    <mergeCell ref="A50:A51"/>
    <mergeCell ref="B50:B51"/>
    <mergeCell ref="C50:C51"/>
    <mergeCell ref="D50:D51"/>
    <mergeCell ref="E50:E51"/>
    <mergeCell ref="A37:A38"/>
    <mergeCell ref="B37:B38"/>
    <mergeCell ref="C37:C38"/>
    <mergeCell ref="D37:D38"/>
    <mergeCell ref="E37:E38"/>
    <mergeCell ref="K77:K78"/>
    <mergeCell ref="L77:L78"/>
    <mergeCell ref="K64:K65"/>
    <mergeCell ref="L64:L65"/>
    <mergeCell ref="K67:K68"/>
    <mergeCell ref="L67:L68"/>
    <mergeCell ref="K69:K70"/>
    <mergeCell ref="L69:L70"/>
    <mergeCell ref="A64:A65"/>
    <mergeCell ref="B64:B65"/>
    <mergeCell ref="C64:C65"/>
    <mergeCell ref="D64:D65"/>
    <mergeCell ref="E64:E65"/>
    <mergeCell ref="A77:A78"/>
    <mergeCell ref="B77:B78"/>
    <mergeCell ref="C77:C78"/>
    <mergeCell ref="D77:D78"/>
    <mergeCell ref="E77:E78"/>
    <mergeCell ref="F67:F68"/>
    <mergeCell ref="G67:G68"/>
    <mergeCell ref="A69:A70"/>
    <mergeCell ref="B69:B70"/>
    <mergeCell ref="C69:C70"/>
    <mergeCell ref="D69:D70"/>
    <mergeCell ref="K93:K94"/>
    <mergeCell ref="L93:L94"/>
    <mergeCell ref="K87:K90"/>
    <mergeCell ref="L87:L90"/>
    <mergeCell ref="A87:A90"/>
    <mergeCell ref="B87:B90"/>
    <mergeCell ref="C87:C90"/>
    <mergeCell ref="D87:D90"/>
    <mergeCell ref="E87:E90"/>
    <mergeCell ref="A93:A94"/>
    <mergeCell ref="B93:B94"/>
    <mergeCell ref="C93:C94"/>
    <mergeCell ref="D93:D94"/>
    <mergeCell ref="E93:E94"/>
    <mergeCell ref="K117:K118"/>
    <mergeCell ref="L117:L118"/>
    <mergeCell ref="K121:K122"/>
    <mergeCell ref="L121:L122"/>
    <mergeCell ref="A117:A118"/>
    <mergeCell ref="B117:B118"/>
    <mergeCell ref="C117:C118"/>
    <mergeCell ref="D117:D118"/>
    <mergeCell ref="E117:E118"/>
    <mergeCell ref="A121:A122"/>
    <mergeCell ref="B121:B122"/>
    <mergeCell ref="C121:C122"/>
    <mergeCell ref="D121:D122"/>
    <mergeCell ref="E121:E122"/>
    <mergeCell ref="K127:K129"/>
    <mergeCell ref="L127:L129"/>
    <mergeCell ref="K134:K135"/>
    <mergeCell ref="L134:L135"/>
    <mergeCell ref="A134:A135"/>
    <mergeCell ref="B134:B135"/>
    <mergeCell ref="C134:C135"/>
    <mergeCell ref="D134:D135"/>
    <mergeCell ref="E134:E135"/>
    <mergeCell ref="B161:B163"/>
    <mergeCell ref="C161:C163"/>
    <mergeCell ref="D161:D163"/>
    <mergeCell ref="E161:E163"/>
    <mergeCell ref="A127:A129"/>
    <mergeCell ref="B127:B129"/>
    <mergeCell ref="C127:C129"/>
    <mergeCell ref="D127:D129"/>
    <mergeCell ref="E127:E129"/>
    <mergeCell ref="A157:A158"/>
    <mergeCell ref="B157:B158"/>
    <mergeCell ref="C157:C158"/>
    <mergeCell ref="D157:D158"/>
    <mergeCell ref="E157:E158"/>
    <mergeCell ref="K159:K160"/>
    <mergeCell ref="L159:L160"/>
    <mergeCell ref="K165:K166"/>
    <mergeCell ref="L165:L166"/>
    <mergeCell ref="K174:K175"/>
    <mergeCell ref="L174:L175"/>
    <mergeCell ref="K161:K163"/>
    <mergeCell ref="L161:L163"/>
    <mergeCell ref="A165:A166"/>
    <mergeCell ref="B165:B166"/>
    <mergeCell ref="C165:C166"/>
    <mergeCell ref="D165:D166"/>
    <mergeCell ref="E165:E166"/>
    <mergeCell ref="A174:A175"/>
    <mergeCell ref="B174:B175"/>
    <mergeCell ref="C174:C175"/>
    <mergeCell ref="D174:D175"/>
    <mergeCell ref="E174:E175"/>
    <mergeCell ref="A159:A160"/>
    <mergeCell ref="B159:B160"/>
    <mergeCell ref="C159:C160"/>
    <mergeCell ref="D159:D160"/>
    <mergeCell ref="E159:E160"/>
    <mergeCell ref="A161:A163"/>
    <mergeCell ref="K204:K205"/>
    <mergeCell ref="L204:L205"/>
    <mergeCell ref="K207:K209"/>
    <mergeCell ref="L207:L209"/>
    <mergeCell ref="A204:A205"/>
    <mergeCell ref="B204:B205"/>
    <mergeCell ref="K184:K185"/>
    <mergeCell ref="L184:L185"/>
    <mergeCell ref="K187:K189"/>
    <mergeCell ref="L187:L189"/>
    <mergeCell ref="A184:A185"/>
    <mergeCell ref="B184:B185"/>
    <mergeCell ref="C184:C185"/>
    <mergeCell ref="D184:D185"/>
    <mergeCell ref="E184:E185"/>
    <mergeCell ref="A187:A189"/>
    <mergeCell ref="B187:B189"/>
    <mergeCell ref="C187:C189"/>
    <mergeCell ref="D187:D189"/>
    <mergeCell ref="E187:E189"/>
    <mergeCell ref="K195:K196"/>
    <mergeCell ref="L195:L196"/>
    <mergeCell ref="K199:K200"/>
    <mergeCell ref="L199:L200"/>
    <mergeCell ref="A195:A196"/>
    <mergeCell ref="B195:B196"/>
    <mergeCell ref="C195:C196"/>
    <mergeCell ref="D195:D196"/>
    <mergeCell ref="E195:E196"/>
    <mergeCell ref="A199:A200"/>
    <mergeCell ref="B199:B200"/>
    <mergeCell ref="C199:C200"/>
    <mergeCell ref="D199:D200"/>
    <mergeCell ref="E199:E200"/>
    <mergeCell ref="K210:K212"/>
    <mergeCell ref="L210:L212"/>
    <mergeCell ref="K213:K216"/>
    <mergeCell ref="L213:L216"/>
    <mergeCell ref="A210:A212"/>
    <mergeCell ref="B210:B212"/>
    <mergeCell ref="C210:C212"/>
    <mergeCell ref="D210:D212"/>
    <mergeCell ref="E210:E212"/>
    <mergeCell ref="A213:A216"/>
    <mergeCell ref="B213:B216"/>
    <mergeCell ref="C213:C216"/>
    <mergeCell ref="D213:D216"/>
    <mergeCell ref="E213:E216"/>
    <mergeCell ref="C204:C205"/>
    <mergeCell ref="D204:D205"/>
    <mergeCell ref="E204:E205"/>
    <mergeCell ref="A207:A209"/>
    <mergeCell ref="A221:A222"/>
    <mergeCell ref="B221:B222"/>
    <mergeCell ref="C221:C222"/>
    <mergeCell ref="D221:D222"/>
    <mergeCell ref="E221:E222"/>
    <mergeCell ref="B207:B209"/>
    <mergeCell ref="C207:C209"/>
    <mergeCell ref="D207:D209"/>
    <mergeCell ref="E207:E209"/>
    <mergeCell ref="A225:A226"/>
    <mergeCell ref="B225:B226"/>
    <mergeCell ref="C225:C226"/>
    <mergeCell ref="D225:D226"/>
    <mergeCell ref="E225:E226"/>
    <mergeCell ref="A228:A230"/>
    <mergeCell ref="B228:B230"/>
    <mergeCell ref="C228:C230"/>
    <mergeCell ref="D228:D230"/>
    <mergeCell ref="E228:E230"/>
    <mergeCell ref="K221:K222"/>
    <mergeCell ref="L221:L222"/>
    <mergeCell ref="K225:K226"/>
    <mergeCell ref="L225:L226"/>
    <mergeCell ref="K228:K230"/>
    <mergeCell ref="L228:L230"/>
    <mergeCell ref="K233:K234"/>
    <mergeCell ref="L233:L234"/>
    <mergeCell ref="K236:K237"/>
    <mergeCell ref="L236:L237"/>
    <mergeCell ref="K238:K241"/>
    <mergeCell ref="L238:L241"/>
    <mergeCell ref="K245:K246"/>
    <mergeCell ref="L245:L246"/>
    <mergeCell ref="A238:A241"/>
    <mergeCell ref="B238:B241"/>
    <mergeCell ref="C238:C241"/>
    <mergeCell ref="D238:D241"/>
    <mergeCell ref="E238:E241"/>
    <mergeCell ref="A245:A246"/>
    <mergeCell ref="B245:B246"/>
    <mergeCell ref="C245:C246"/>
    <mergeCell ref="D245:D246"/>
    <mergeCell ref="E245:E246"/>
    <mergeCell ref="A233:A234"/>
    <mergeCell ref="B233:B234"/>
    <mergeCell ref="C233:C234"/>
    <mergeCell ref="D233:D234"/>
    <mergeCell ref="E233:E234"/>
    <mergeCell ref="A236:A237"/>
    <mergeCell ref="A252:A253"/>
    <mergeCell ref="B252:B253"/>
    <mergeCell ref="C252:C253"/>
    <mergeCell ref="D252:D253"/>
    <mergeCell ref="E252:E253"/>
    <mergeCell ref="B236:B237"/>
    <mergeCell ref="C236:C237"/>
    <mergeCell ref="D236:D237"/>
    <mergeCell ref="E236:E237"/>
    <mergeCell ref="A254:A255"/>
    <mergeCell ref="B254:B255"/>
    <mergeCell ref="C254:C255"/>
    <mergeCell ref="D254:D255"/>
    <mergeCell ref="E254:E255"/>
    <mergeCell ref="K252:K253"/>
    <mergeCell ref="L252:L253"/>
    <mergeCell ref="K254:K255"/>
    <mergeCell ref="L254:L255"/>
    <mergeCell ref="C285:C286"/>
    <mergeCell ref="D285:D286"/>
    <mergeCell ref="E285:E286"/>
    <mergeCell ref="D273:D274"/>
    <mergeCell ref="E273:E274"/>
    <mergeCell ref="A275:A278"/>
    <mergeCell ref="B275:B278"/>
    <mergeCell ref="C275:C278"/>
    <mergeCell ref="D275:D278"/>
    <mergeCell ref="E275:E278"/>
    <mergeCell ref="A279:A280"/>
    <mergeCell ref="B279:B280"/>
    <mergeCell ref="C279:C280"/>
    <mergeCell ref="D279:D280"/>
    <mergeCell ref="E279:E280"/>
    <mergeCell ref="A288:A290"/>
    <mergeCell ref="B288:B290"/>
    <mergeCell ref="C288:C290"/>
    <mergeCell ref="D288:D290"/>
    <mergeCell ref="E288:E290"/>
    <mergeCell ref="K273:K274"/>
    <mergeCell ref="L273:L274"/>
    <mergeCell ref="K279:K280"/>
    <mergeCell ref="L279:L280"/>
    <mergeCell ref="K283:K284"/>
    <mergeCell ref="L283:L284"/>
    <mergeCell ref="K285:K286"/>
    <mergeCell ref="L285:L286"/>
    <mergeCell ref="K275:K278"/>
    <mergeCell ref="L275:L278"/>
    <mergeCell ref="K288:K290"/>
    <mergeCell ref="L288:L290"/>
    <mergeCell ref="A283:A284"/>
    <mergeCell ref="B283:B284"/>
    <mergeCell ref="C283:C284"/>
    <mergeCell ref="D283:D284"/>
    <mergeCell ref="E283:E284"/>
    <mergeCell ref="A285:A286"/>
    <mergeCell ref="B285:B286"/>
    <mergeCell ref="K317:K320"/>
    <mergeCell ref="L317:L320"/>
    <mergeCell ref="K321:K322"/>
    <mergeCell ref="L321:L322"/>
    <mergeCell ref="K323:K324"/>
    <mergeCell ref="L323:L324"/>
    <mergeCell ref="A317:A320"/>
    <mergeCell ref="B317:B320"/>
    <mergeCell ref="C317:C320"/>
    <mergeCell ref="D317:D320"/>
    <mergeCell ref="E317:E320"/>
    <mergeCell ref="A321:A322"/>
    <mergeCell ref="B321:B322"/>
    <mergeCell ref="D321:D322"/>
    <mergeCell ref="E321:E322"/>
    <mergeCell ref="K344:K346"/>
    <mergeCell ref="L344:L346"/>
    <mergeCell ref="K332:K333"/>
    <mergeCell ref="L332:L333"/>
    <mergeCell ref="K335:K337"/>
    <mergeCell ref="L335:L337"/>
    <mergeCell ref="A339:A343"/>
    <mergeCell ref="B339:B343"/>
    <mergeCell ref="C339:C343"/>
    <mergeCell ref="D339:D343"/>
    <mergeCell ref="E339:E343"/>
    <mergeCell ref="A332:A333"/>
    <mergeCell ref="B332:B333"/>
    <mergeCell ref="C332:C333"/>
    <mergeCell ref="D332:D333"/>
    <mergeCell ref="E332:E333"/>
    <mergeCell ref="A335:A337"/>
    <mergeCell ref="B335:B337"/>
    <mergeCell ref="C335:C337"/>
    <mergeCell ref="D335:D337"/>
    <mergeCell ref="E335:E337"/>
    <mergeCell ref="K339:K343"/>
    <mergeCell ref="L339:L343"/>
    <mergeCell ref="B425:B426"/>
    <mergeCell ref="C425:C426"/>
    <mergeCell ref="D425:D426"/>
    <mergeCell ref="E425:E426"/>
    <mergeCell ref="K364:K366"/>
    <mergeCell ref="L364:L366"/>
    <mergeCell ref="K368:K373"/>
    <mergeCell ref="L368:L373"/>
    <mergeCell ref="A364:A366"/>
    <mergeCell ref="B364:B366"/>
    <mergeCell ref="C364:C366"/>
    <mergeCell ref="D364:D366"/>
    <mergeCell ref="E364:E366"/>
    <mergeCell ref="A368:A373"/>
    <mergeCell ref="B368:B373"/>
    <mergeCell ref="C368:C373"/>
    <mergeCell ref="D368:D373"/>
    <mergeCell ref="E368:E373"/>
    <mergeCell ref="A375:A376"/>
    <mergeCell ref="B375:B376"/>
    <mergeCell ref="C375:C376"/>
    <mergeCell ref="D375:D376"/>
    <mergeCell ref="E375:E376"/>
    <mergeCell ref="A377:A378"/>
    <mergeCell ref="K422:K423"/>
    <mergeCell ref="L422:L423"/>
    <mergeCell ref="K425:K426"/>
    <mergeCell ref="L425:L426"/>
    <mergeCell ref="K427:K428"/>
    <mergeCell ref="L427:L428"/>
    <mergeCell ref="K429:K430"/>
    <mergeCell ref="L429:L430"/>
    <mergeCell ref="A427:A428"/>
    <mergeCell ref="B427:B428"/>
    <mergeCell ref="C427:C428"/>
    <mergeCell ref="D427:D428"/>
    <mergeCell ref="E427:E428"/>
    <mergeCell ref="A429:A430"/>
    <mergeCell ref="B429:B430"/>
    <mergeCell ref="C429:C430"/>
    <mergeCell ref="D429:D430"/>
    <mergeCell ref="E429:E430"/>
    <mergeCell ref="A422:A423"/>
    <mergeCell ref="B422:B423"/>
    <mergeCell ref="C422:C423"/>
    <mergeCell ref="D422:D423"/>
    <mergeCell ref="E422:E423"/>
    <mergeCell ref="A425:A426"/>
    <mergeCell ref="E444:E445"/>
    <mergeCell ref="A434:A435"/>
    <mergeCell ref="B434:B435"/>
    <mergeCell ref="C434:C435"/>
    <mergeCell ref="D434:D435"/>
    <mergeCell ref="E434:E435"/>
    <mergeCell ref="A437:A439"/>
    <mergeCell ref="B437:B439"/>
    <mergeCell ref="C437:C439"/>
    <mergeCell ref="D437:D439"/>
    <mergeCell ref="E437:E439"/>
    <mergeCell ref="A446:A447"/>
    <mergeCell ref="B446:B447"/>
    <mergeCell ref="C446:C447"/>
    <mergeCell ref="D446:D447"/>
    <mergeCell ref="E446:E447"/>
    <mergeCell ref="K434:K435"/>
    <mergeCell ref="L434:L435"/>
    <mergeCell ref="K441:K442"/>
    <mergeCell ref="L441:L442"/>
    <mergeCell ref="K444:K445"/>
    <mergeCell ref="L444:L445"/>
    <mergeCell ref="K446:K447"/>
    <mergeCell ref="L446:L447"/>
    <mergeCell ref="K437:K439"/>
    <mergeCell ref="L437:L439"/>
    <mergeCell ref="A441:A442"/>
    <mergeCell ref="B441:B442"/>
    <mergeCell ref="C441:C442"/>
    <mergeCell ref="D441:D442"/>
    <mergeCell ref="E441:E442"/>
    <mergeCell ref="A444:A445"/>
    <mergeCell ref="B444:B445"/>
    <mergeCell ref="C444:C445"/>
    <mergeCell ref="D444:D44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05"/>
  <sheetViews>
    <sheetView zoomScale="80" zoomScaleNormal="80" workbookViewId="0">
      <pane ySplit="4" topLeftCell="A265" activePane="bottomLeft" state="frozen"/>
      <selection pane="bottomLeft" activeCell="A302" sqref="A302:L302"/>
    </sheetView>
  </sheetViews>
  <sheetFormatPr baseColWidth="10" defaultColWidth="8.88671875" defaultRowHeight="14.4" x14ac:dyDescent="0.3"/>
  <cols>
    <col min="1" max="1" width="11.88671875" customWidth="1"/>
    <col min="2" max="2" width="13.88671875" bestFit="1" customWidth="1"/>
    <col min="3" max="3" width="10.109375" bestFit="1" customWidth="1"/>
    <col min="4" max="4" width="11.44140625" customWidth="1"/>
    <col min="5" max="5" width="13.88671875" bestFit="1" customWidth="1"/>
    <col min="8" max="8" width="13.109375" hidden="1" customWidth="1"/>
    <col min="9" max="9" width="6.33203125" hidden="1" customWidth="1"/>
    <col min="10" max="10" width="8.6640625" hidden="1" customWidth="1"/>
    <col min="12" max="12" width="12" bestFit="1" customWidth="1"/>
  </cols>
  <sheetData>
    <row r="1" spans="1:12" ht="23.4" x14ac:dyDescent="0.3">
      <c r="A1" s="1" t="s">
        <v>180</v>
      </c>
      <c r="B1" s="1"/>
      <c r="C1" s="1"/>
      <c r="D1" s="1"/>
      <c r="E1" s="1"/>
      <c r="F1" s="1"/>
      <c r="G1" s="1"/>
      <c r="H1" s="1"/>
      <c r="I1" s="1"/>
      <c r="J1" s="2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2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72" t="s">
        <v>8</v>
      </c>
      <c r="G4" s="923"/>
      <c r="H4" s="7" t="s">
        <v>9</v>
      </c>
      <c r="I4" s="6" t="s">
        <v>5</v>
      </c>
      <c r="J4" s="6" t="s">
        <v>10</v>
      </c>
      <c r="K4" s="916"/>
      <c r="L4" s="985"/>
    </row>
    <row r="5" spans="1:12" hidden="1" x14ac:dyDescent="0.3">
      <c r="A5" s="891">
        <v>249</v>
      </c>
      <c r="B5" s="894">
        <v>10945.891</v>
      </c>
      <c r="C5" s="894" t="s">
        <v>181</v>
      </c>
      <c r="D5" s="905">
        <f>+I5+I6</f>
        <v>250</v>
      </c>
      <c r="E5" s="905">
        <f>+J5+J6</f>
        <v>10416.299999999999</v>
      </c>
      <c r="F5" s="905" t="s">
        <v>182</v>
      </c>
      <c r="G5" s="905">
        <v>86081</v>
      </c>
      <c r="H5" s="12"/>
      <c r="I5" s="12">
        <v>149</v>
      </c>
      <c r="J5" s="13">
        <v>6226.3</v>
      </c>
      <c r="K5" s="877">
        <f>+A5-D5</f>
        <v>-1</v>
      </c>
      <c r="L5" s="879">
        <f>((+B5/A5)-(E5/D5))/(B5/A5)</f>
        <v>5.2189100001087146E-2</v>
      </c>
    </row>
    <row r="6" spans="1:12" ht="15" hidden="1" thickBot="1" x14ac:dyDescent="0.35">
      <c r="A6" s="893"/>
      <c r="B6" s="896"/>
      <c r="C6" s="896"/>
      <c r="D6" s="907"/>
      <c r="E6" s="907"/>
      <c r="F6" s="907"/>
      <c r="G6" s="907"/>
      <c r="H6" s="10"/>
      <c r="I6" s="10">
        <v>101</v>
      </c>
      <c r="J6" s="11">
        <v>4190</v>
      </c>
      <c r="K6" s="878"/>
      <c r="L6" s="880"/>
    </row>
    <row r="7" spans="1:12" ht="15" hidden="1" thickBot="1" x14ac:dyDescent="0.35">
      <c r="A7" s="21">
        <v>451</v>
      </c>
      <c r="B7" s="22">
        <v>19901.75</v>
      </c>
      <c r="C7" s="22" t="s">
        <v>183</v>
      </c>
      <c r="D7" s="28">
        <f t="shared" ref="D7:E9" si="0">+I7</f>
        <v>451</v>
      </c>
      <c r="E7" s="28">
        <f t="shared" si="0"/>
        <v>19091.3</v>
      </c>
      <c r="F7" s="28" t="s">
        <v>184</v>
      </c>
      <c r="G7" s="28">
        <v>86151</v>
      </c>
      <c r="H7" s="10"/>
      <c r="I7" s="10">
        <v>451</v>
      </c>
      <c r="J7" s="11">
        <v>19091.3</v>
      </c>
      <c r="K7" s="55">
        <f t="shared" ref="K7:K8" si="1">+A7-D7</f>
        <v>0</v>
      </c>
      <c r="L7" s="32">
        <f t="shared" ref="L7" si="2">(+B7-E7)/B7</f>
        <v>4.0722549524539339E-2</v>
      </c>
    </row>
    <row r="8" spans="1:12" ht="15" hidden="1" thickBot="1" x14ac:dyDescent="0.35">
      <c r="A8" s="21">
        <v>400</v>
      </c>
      <c r="B8" s="22">
        <v>19278.75</v>
      </c>
      <c r="C8" s="22" t="s">
        <v>185</v>
      </c>
      <c r="D8" s="28">
        <f t="shared" si="0"/>
        <v>386</v>
      </c>
      <c r="E8" s="28">
        <f t="shared" si="0"/>
        <v>18367</v>
      </c>
      <c r="F8" s="28" t="s">
        <v>186</v>
      </c>
      <c r="G8" s="28">
        <v>86321</v>
      </c>
      <c r="H8" s="10"/>
      <c r="I8" s="10">
        <v>386</v>
      </c>
      <c r="J8" s="11">
        <v>18367</v>
      </c>
      <c r="K8" s="55">
        <f t="shared" si="1"/>
        <v>14</v>
      </c>
      <c r="L8" s="31">
        <f>((+B8/A8)-(E8/D8))/(B8/A8)</f>
        <v>1.2738864202209235E-2</v>
      </c>
    </row>
    <row r="9" spans="1:12" ht="15" hidden="1" thickBot="1" x14ac:dyDescent="0.35">
      <c r="A9" s="61">
        <v>387</v>
      </c>
      <c r="B9" s="62">
        <v>18536</v>
      </c>
      <c r="C9" s="62" t="s">
        <v>187</v>
      </c>
      <c r="D9" s="65">
        <f t="shared" si="0"/>
        <v>387</v>
      </c>
      <c r="E9" s="65">
        <f t="shared" si="0"/>
        <v>17753.2</v>
      </c>
      <c r="F9" s="27" t="s">
        <v>188</v>
      </c>
      <c r="G9" s="27">
        <v>86541</v>
      </c>
      <c r="H9" s="14"/>
      <c r="I9" s="45">
        <v>387</v>
      </c>
      <c r="J9" s="46">
        <v>17753.2</v>
      </c>
      <c r="K9" s="52">
        <f>+A9-D9</f>
        <v>0</v>
      </c>
      <c r="L9" s="32">
        <f t="shared" ref="L9" si="3">(+B9-E9)/B9</f>
        <v>4.2231333621061677E-2</v>
      </c>
    </row>
    <row r="10" spans="1:12" ht="15" hidden="1" thickBot="1" x14ac:dyDescent="0.35">
      <c r="A10" s="61">
        <v>957</v>
      </c>
      <c r="B10" s="62">
        <v>51463</v>
      </c>
      <c r="C10" s="62" t="s">
        <v>189</v>
      </c>
      <c r="D10" s="65">
        <f>+I10</f>
        <v>956</v>
      </c>
      <c r="E10" s="65">
        <f>+J10</f>
        <v>48548.6</v>
      </c>
      <c r="F10" s="27" t="s">
        <v>190</v>
      </c>
      <c r="G10" s="27">
        <v>86601</v>
      </c>
      <c r="H10" s="14"/>
      <c r="I10" s="45">
        <v>956</v>
      </c>
      <c r="J10" s="46">
        <v>48548.6</v>
      </c>
      <c r="K10" s="52">
        <f>+A10-D10</f>
        <v>1</v>
      </c>
      <c r="L10" s="31">
        <f>((+B10/A10)-(E10/D10))/(B10/A10)</f>
        <v>5.5644189915214824E-2</v>
      </c>
    </row>
    <row r="11" spans="1:12" hidden="1" x14ac:dyDescent="0.3">
      <c r="A11" s="891">
        <v>1007</v>
      </c>
      <c r="B11" s="894">
        <v>54586.25</v>
      </c>
      <c r="C11" s="894" t="s">
        <v>191</v>
      </c>
      <c r="D11" s="905">
        <f>+I11+I12</f>
        <v>1008</v>
      </c>
      <c r="E11" s="905">
        <f>+J11+J12</f>
        <v>52020.5</v>
      </c>
      <c r="F11" s="29" t="s">
        <v>192</v>
      </c>
      <c r="G11" s="29">
        <v>86671</v>
      </c>
      <c r="H11" s="40"/>
      <c r="I11" s="39">
        <v>622</v>
      </c>
      <c r="J11" s="41">
        <v>31596.7</v>
      </c>
      <c r="K11" s="877">
        <f>+A11-D11</f>
        <v>-1</v>
      </c>
      <c r="L11" s="879">
        <f>((+B11/A11)-(E11/D11))/(B11/A11)</f>
        <v>4.7949028168978336E-2</v>
      </c>
    </row>
    <row r="12" spans="1:12" ht="15" hidden="1" thickBot="1" x14ac:dyDescent="0.35">
      <c r="A12" s="892"/>
      <c r="B12" s="895"/>
      <c r="C12" s="895"/>
      <c r="D12" s="906"/>
      <c r="E12" s="906"/>
      <c r="F12" s="30" t="s">
        <v>192</v>
      </c>
      <c r="G12" s="30">
        <v>86671</v>
      </c>
      <c r="I12" s="50">
        <v>386</v>
      </c>
      <c r="J12" s="51">
        <v>20423.800000000003</v>
      </c>
      <c r="K12" s="878"/>
      <c r="L12" s="880"/>
    </row>
    <row r="13" spans="1:12" hidden="1" x14ac:dyDescent="0.3">
      <c r="A13" s="891">
        <v>992</v>
      </c>
      <c r="B13" s="894">
        <v>51093.75</v>
      </c>
      <c r="C13" s="894" t="s">
        <v>193</v>
      </c>
      <c r="D13" s="905">
        <f>+I13+I15+I14</f>
        <v>992</v>
      </c>
      <c r="E13" s="905">
        <f>+J13+J15+J14</f>
        <v>48524.2</v>
      </c>
      <c r="F13" s="29" t="s">
        <v>194</v>
      </c>
      <c r="G13" s="29">
        <v>86681</v>
      </c>
      <c r="H13" s="40"/>
      <c r="I13" s="39">
        <v>672</v>
      </c>
      <c r="J13" s="41">
        <v>32152</v>
      </c>
      <c r="K13" s="877">
        <f t="shared" ref="K13:K21" si="4">+A13-D13</f>
        <v>0</v>
      </c>
      <c r="L13" s="879">
        <f t="shared" ref="L13" si="5">(+B13-E13)/B13</f>
        <v>5.0290886850152962E-2</v>
      </c>
    </row>
    <row r="14" spans="1:12" hidden="1" x14ac:dyDescent="0.3">
      <c r="A14" s="892"/>
      <c r="B14" s="895"/>
      <c r="C14" s="895"/>
      <c r="D14" s="906"/>
      <c r="E14" s="906"/>
      <c r="F14" s="30" t="s">
        <v>194</v>
      </c>
      <c r="G14" s="30">
        <v>86681</v>
      </c>
      <c r="I14" s="50">
        <v>170</v>
      </c>
      <c r="J14" s="51">
        <v>8722.7999999999993</v>
      </c>
      <c r="K14" s="886"/>
      <c r="L14" s="885"/>
    </row>
    <row r="15" spans="1:12" ht="15" hidden="1" thickBot="1" x14ac:dyDescent="0.35">
      <c r="A15" s="892"/>
      <c r="B15" s="895"/>
      <c r="C15" s="895"/>
      <c r="D15" s="906"/>
      <c r="E15" s="906"/>
      <c r="F15" s="30" t="s">
        <v>194</v>
      </c>
      <c r="G15" s="30">
        <v>86681</v>
      </c>
      <c r="I15" s="50">
        <v>150</v>
      </c>
      <c r="J15" s="51">
        <v>7649.4</v>
      </c>
      <c r="K15" s="878"/>
      <c r="L15" s="880"/>
    </row>
    <row r="16" spans="1:12" hidden="1" x14ac:dyDescent="0.3">
      <c r="A16" s="891">
        <v>692</v>
      </c>
      <c r="B16" s="894">
        <v>29728.75</v>
      </c>
      <c r="C16" s="894" t="s">
        <v>195</v>
      </c>
      <c r="D16" s="905">
        <f>+I16+I17</f>
        <v>692</v>
      </c>
      <c r="E16" s="905">
        <f>+J16+J17</f>
        <v>28543.4</v>
      </c>
      <c r="F16" s="29" t="s">
        <v>196</v>
      </c>
      <c r="G16" s="29">
        <v>87071</v>
      </c>
      <c r="H16" s="40"/>
      <c r="I16" s="39">
        <v>350</v>
      </c>
      <c r="J16" s="41">
        <v>14420.9</v>
      </c>
      <c r="K16" s="877">
        <f t="shared" si="4"/>
        <v>0</v>
      </c>
      <c r="L16" s="879">
        <f t="shared" ref="L16" si="6">(+B16-E16)/B16</f>
        <v>3.987217760585287E-2</v>
      </c>
    </row>
    <row r="17" spans="1:12" ht="15" hidden="1" thickBot="1" x14ac:dyDescent="0.35">
      <c r="A17" s="893"/>
      <c r="B17" s="896"/>
      <c r="C17" s="896"/>
      <c r="D17" s="907"/>
      <c r="E17" s="907"/>
      <c r="F17" s="28" t="s">
        <v>196</v>
      </c>
      <c r="G17" s="28">
        <v>87071</v>
      </c>
      <c r="H17" s="43"/>
      <c r="I17" s="42">
        <v>342</v>
      </c>
      <c r="J17" s="44">
        <v>14122.5</v>
      </c>
      <c r="K17" s="878"/>
      <c r="L17" s="880"/>
    </row>
    <row r="18" spans="1:12" ht="15" hidden="1" thickBot="1" x14ac:dyDescent="0.35">
      <c r="A18" s="76">
        <v>435</v>
      </c>
      <c r="B18" s="77">
        <v>23340.5</v>
      </c>
      <c r="C18" s="77" t="s">
        <v>197</v>
      </c>
      <c r="D18" s="64">
        <f>+I18</f>
        <v>436</v>
      </c>
      <c r="E18" s="64">
        <f>+J18</f>
        <v>22319.9</v>
      </c>
      <c r="F18" s="28" t="s">
        <v>198</v>
      </c>
      <c r="G18" s="28">
        <v>87161</v>
      </c>
      <c r="H18" s="43"/>
      <c r="I18" s="42">
        <v>436</v>
      </c>
      <c r="J18" s="44">
        <v>22319.9</v>
      </c>
      <c r="K18" s="58">
        <f t="shared" si="4"/>
        <v>-1</v>
      </c>
      <c r="L18" s="31">
        <f>((+B18/A18)-(E18/D18))/(B18/A18)</f>
        <v>4.5919857380632749E-2</v>
      </c>
    </row>
    <row r="19" spans="1:12" hidden="1" x14ac:dyDescent="0.3">
      <c r="A19" s="891">
        <v>349</v>
      </c>
      <c r="B19" s="894">
        <v>17424.5</v>
      </c>
      <c r="C19" s="894" t="s">
        <v>199</v>
      </c>
      <c r="D19" s="905">
        <f>+I19+I20</f>
        <v>349</v>
      </c>
      <c r="E19" s="905">
        <f>+J19+J20</f>
        <v>16789.100000000002</v>
      </c>
      <c r="F19" s="29" t="s">
        <v>200</v>
      </c>
      <c r="G19" s="29">
        <v>87231</v>
      </c>
      <c r="H19" s="40"/>
      <c r="I19" s="39">
        <v>65</v>
      </c>
      <c r="J19" s="41">
        <v>3207.4</v>
      </c>
      <c r="K19" s="877">
        <f t="shared" si="4"/>
        <v>0</v>
      </c>
      <c r="L19" s="879">
        <f t="shared" ref="L19" si="7">(+B19-E19)/B19</f>
        <v>3.646589572154138E-2</v>
      </c>
    </row>
    <row r="20" spans="1:12" ht="15" hidden="1" thickBot="1" x14ac:dyDescent="0.35">
      <c r="A20" s="892"/>
      <c r="B20" s="895"/>
      <c r="C20" s="895"/>
      <c r="D20" s="906"/>
      <c r="E20" s="906"/>
      <c r="F20" s="30" t="s">
        <v>200</v>
      </c>
      <c r="G20" s="30">
        <v>87231</v>
      </c>
      <c r="I20" s="50">
        <v>284</v>
      </c>
      <c r="J20" s="51">
        <v>13581.7</v>
      </c>
      <c r="K20" s="886"/>
      <c r="L20" s="885"/>
    </row>
    <row r="21" spans="1:12" hidden="1" x14ac:dyDescent="0.3">
      <c r="A21" s="891">
        <v>741</v>
      </c>
      <c r="B21" s="894">
        <v>38646.5</v>
      </c>
      <c r="C21" s="894" t="s">
        <v>201</v>
      </c>
      <c r="D21" s="905">
        <f>+I21+I22</f>
        <v>741</v>
      </c>
      <c r="E21" s="905">
        <f>+J21+J22</f>
        <v>36270.5</v>
      </c>
      <c r="F21" s="29" t="s">
        <v>202</v>
      </c>
      <c r="G21" s="29">
        <v>87281</v>
      </c>
      <c r="H21" s="40"/>
      <c r="I21" s="39">
        <v>594</v>
      </c>
      <c r="J21" s="39">
        <v>29169.1</v>
      </c>
      <c r="K21" s="877">
        <f t="shared" si="4"/>
        <v>0</v>
      </c>
      <c r="L21" s="879">
        <f t="shared" ref="L21:L24" si="8">(+B21-E21)/B21</f>
        <v>6.1480341039938935E-2</v>
      </c>
    </row>
    <row r="22" spans="1:12" ht="15" hidden="1" thickBot="1" x14ac:dyDescent="0.35">
      <c r="A22" s="893"/>
      <c r="B22" s="896"/>
      <c r="C22" s="896"/>
      <c r="D22" s="907"/>
      <c r="E22" s="907"/>
      <c r="F22" s="28" t="s">
        <v>202</v>
      </c>
      <c r="G22" s="28">
        <v>87281</v>
      </c>
      <c r="H22" s="43"/>
      <c r="I22" s="42">
        <v>147</v>
      </c>
      <c r="J22" s="42">
        <v>7101.4</v>
      </c>
      <c r="K22" s="878"/>
      <c r="L22" s="880"/>
    </row>
    <row r="23" spans="1:12" ht="15" hidden="1" thickBot="1" x14ac:dyDescent="0.35">
      <c r="A23" s="61">
        <v>264</v>
      </c>
      <c r="B23" s="62">
        <v>13378.75</v>
      </c>
      <c r="C23" s="62" t="s">
        <v>349</v>
      </c>
      <c r="D23" s="65">
        <f>+I23</f>
        <v>264</v>
      </c>
      <c r="E23" s="65">
        <f>+J23</f>
        <v>12806.6</v>
      </c>
      <c r="F23" s="27" t="s">
        <v>317</v>
      </c>
      <c r="G23" s="27">
        <v>87371</v>
      </c>
      <c r="H23" s="14"/>
      <c r="I23" s="45">
        <v>264</v>
      </c>
      <c r="J23" s="46">
        <v>12806.6</v>
      </c>
      <c r="K23" s="58">
        <f t="shared" ref="K23:K26" si="9">+A23-D23</f>
        <v>0</v>
      </c>
      <c r="L23" s="53">
        <f t="shared" ref="L23" si="10">(+B23-E23)/B23</f>
        <v>4.276557974399698E-2</v>
      </c>
    </row>
    <row r="24" spans="1:12" hidden="1" x14ac:dyDescent="0.3">
      <c r="A24" s="891">
        <v>392</v>
      </c>
      <c r="B24" s="894">
        <v>17285</v>
      </c>
      <c r="C24" s="894" t="s">
        <v>350</v>
      </c>
      <c r="D24" s="905">
        <f>+I24+I25</f>
        <v>392</v>
      </c>
      <c r="E24" s="905">
        <f>+J24+J25</f>
        <v>16754</v>
      </c>
      <c r="F24" s="63" t="s">
        <v>351</v>
      </c>
      <c r="G24" s="63">
        <v>87451</v>
      </c>
      <c r="H24" s="40"/>
      <c r="I24" s="39">
        <v>180</v>
      </c>
      <c r="J24" s="41">
        <v>7664.2</v>
      </c>
      <c r="K24" s="877">
        <f>+A24-D24</f>
        <v>0</v>
      </c>
      <c r="L24" s="879">
        <f t="shared" si="8"/>
        <v>3.0720277697425514E-2</v>
      </c>
    </row>
    <row r="25" spans="1:12" ht="15" hidden="1" thickBot="1" x14ac:dyDescent="0.35">
      <c r="A25" s="892"/>
      <c r="B25" s="895"/>
      <c r="C25" s="895"/>
      <c r="D25" s="906"/>
      <c r="E25" s="906"/>
      <c r="F25" s="66" t="s">
        <v>351</v>
      </c>
      <c r="G25" s="66">
        <v>87451</v>
      </c>
      <c r="I25" s="50">
        <v>212</v>
      </c>
      <c r="J25" s="51">
        <v>9089.7999999999993</v>
      </c>
      <c r="K25" s="886"/>
      <c r="L25" s="885"/>
    </row>
    <row r="26" spans="1:12" hidden="1" x14ac:dyDescent="0.3">
      <c r="A26" s="891">
        <v>471</v>
      </c>
      <c r="B26" s="894">
        <v>22440.25</v>
      </c>
      <c r="C26" s="894" t="s">
        <v>352</v>
      </c>
      <c r="D26" s="905">
        <f>+I26+I27</f>
        <v>471</v>
      </c>
      <c r="E26" s="905">
        <f>+J26+J27</f>
        <v>21046.7</v>
      </c>
      <c r="F26" s="29" t="s">
        <v>346</v>
      </c>
      <c r="G26" s="29">
        <v>87461</v>
      </c>
      <c r="H26" s="40"/>
      <c r="I26" s="39">
        <v>354</v>
      </c>
      <c r="J26" s="39">
        <v>15856.6</v>
      </c>
      <c r="K26" s="877">
        <f t="shared" si="9"/>
        <v>0</v>
      </c>
      <c r="L26" s="879">
        <f>((+B26/A26)-(E26/D26))/(B26/A26)</f>
        <v>6.2100466795156052E-2</v>
      </c>
    </row>
    <row r="27" spans="1:12" ht="15" hidden="1" thickBot="1" x14ac:dyDescent="0.35">
      <c r="A27" s="893"/>
      <c r="B27" s="896"/>
      <c r="C27" s="896"/>
      <c r="D27" s="907"/>
      <c r="E27" s="907"/>
      <c r="F27" s="28" t="s">
        <v>435</v>
      </c>
      <c r="G27" s="28">
        <v>87461</v>
      </c>
      <c r="H27" s="43"/>
      <c r="I27" s="42">
        <v>117</v>
      </c>
      <c r="J27" s="42">
        <v>5190.1000000000004</v>
      </c>
      <c r="K27" s="878"/>
      <c r="L27" s="880"/>
    </row>
    <row r="28" spans="1:12" ht="15" hidden="1" thickBot="1" x14ac:dyDescent="0.35">
      <c r="A28" s="19">
        <v>264</v>
      </c>
      <c r="B28" s="20">
        <v>12056.75</v>
      </c>
      <c r="C28" s="20" t="s">
        <v>436</v>
      </c>
      <c r="D28" s="27">
        <f>+I28</f>
        <v>264</v>
      </c>
      <c r="E28" s="27">
        <f>+J28</f>
        <v>11852.7</v>
      </c>
      <c r="F28" s="27" t="s">
        <v>440</v>
      </c>
      <c r="G28" s="27">
        <v>87511</v>
      </c>
      <c r="H28" s="14"/>
      <c r="I28" s="45">
        <v>264</v>
      </c>
      <c r="J28" s="45">
        <v>11852.7</v>
      </c>
      <c r="K28" s="54">
        <f>+A28-D28</f>
        <v>0</v>
      </c>
      <c r="L28" s="53">
        <f t="shared" ref="L28:L29" si="11">(+B28-E28)/B28</f>
        <v>1.6924129636925314E-2</v>
      </c>
    </row>
    <row r="29" spans="1:12" hidden="1" x14ac:dyDescent="0.3">
      <c r="A29" s="891">
        <v>445</v>
      </c>
      <c r="B29" s="894">
        <v>19849.25</v>
      </c>
      <c r="C29" s="894" t="s">
        <v>437</v>
      </c>
      <c r="D29" s="29">
        <f>+I29+I30</f>
        <v>445</v>
      </c>
      <c r="E29" s="29">
        <f>+J29+J30</f>
        <v>19157.8</v>
      </c>
      <c r="F29" s="29" t="s">
        <v>441</v>
      </c>
      <c r="G29" s="29">
        <v>87561</v>
      </c>
      <c r="H29" s="40"/>
      <c r="I29" s="39">
        <v>195</v>
      </c>
      <c r="J29" s="39">
        <v>8134.6</v>
      </c>
      <c r="K29" s="56">
        <f>+A29-D29</f>
        <v>0</v>
      </c>
      <c r="L29" s="879">
        <f t="shared" si="11"/>
        <v>3.4835069335113454E-2</v>
      </c>
    </row>
    <row r="30" spans="1:12" ht="15" hidden="1" thickBot="1" x14ac:dyDescent="0.35">
      <c r="A30" s="893"/>
      <c r="B30" s="896"/>
      <c r="C30" s="896"/>
      <c r="D30" s="28"/>
      <c r="E30" s="28"/>
      <c r="F30" s="28" t="s">
        <v>441</v>
      </c>
      <c r="G30" s="28">
        <v>87561</v>
      </c>
      <c r="H30" s="43"/>
      <c r="I30" s="42">
        <v>250</v>
      </c>
      <c r="J30" s="42">
        <v>11023.199999999999</v>
      </c>
      <c r="K30" s="55"/>
      <c r="L30" s="880"/>
    </row>
    <row r="31" spans="1:12" hidden="1" x14ac:dyDescent="0.3">
      <c r="A31" s="891">
        <v>250</v>
      </c>
      <c r="B31" s="894">
        <v>12604.5</v>
      </c>
      <c r="C31" s="894" t="s">
        <v>438</v>
      </c>
      <c r="D31" s="29">
        <f>+I31+I32</f>
        <v>250</v>
      </c>
      <c r="E31" s="29">
        <f>+J31+J32</f>
        <v>12078.8</v>
      </c>
      <c r="F31" s="29" t="s">
        <v>442</v>
      </c>
      <c r="G31" s="29">
        <v>87621</v>
      </c>
      <c r="H31" s="40"/>
      <c r="I31" s="39">
        <v>90</v>
      </c>
      <c r="J31" s="39">
        <v>4364.3</v>
      </c>
      <c r="K31" s="56">
        <f>+A31-D31</f>
        <v>0</v>
      </c>
      <c r="L31" s="879">
        <f t="shared" ref="L31" si="12">(+B31-E31)/B31</f>
        <v>4.1707326748383573E-2</v>
      </c>
    </row>
    <row r="32" spans="1:12" ht="15" hidden="1" thickBot="1" x14ac:dyDescent="0.35">
      <c r="A32" s="893"/>
      <c r="B32" s="896"/>
      <c r="C32" s="896"/>
      <c r="D32" s="28"/>
      <c r="E32" s="28"/>
      <c r="F32" s="28" t="s">
        <v>442</v>
      </c>
      <c r="G32" s="28">
        <v>87621</v>
      </c>
      <c r="H32" s="43"/>
      <c r="I32" s="42">
        <v>160</v>
      </c>
      <c r="J32" s="42">
        <v>7714.5</v>
      </c>
      <c r="K32" s="55"/>
      <c r="L32" s="880"/>
    </row>
    <row r="33" spans="1:12" ht="15" hidden="1" thickBot="1" x14ac:dyDescent="0.35">
      <c r="A33" s="61">
        <v>1639</v>
      </c>
      <c r="B33" s="62">
        <v>90114</v>
      </c>
      <c r="C33" s="62" t="s">
        <v>439</v>
      </c>
      <c r="D33" s="27">
        <f>+I33</f>
        <v>1640</v>
      </c>
      <c r="E33" s="27">
        <f>+J33</f>
        <v>86098.2</v>
      </c>
      <c r="F33" s="27" t="s">
        <v>443</v>
      </c>
      <c r="G33" s="27">
        <v>87761</v>
      </c>
      <c r="H33" s="14"/>
      <c r="I33" s="45">
        <v>1640</v>
      </c>
      <c r="J33" s="45">
        <v>86098.2</v>
      </c>
      <c r="K33" s="54">
        <f>+A33-D33</f>
        <v>-1</v>
      </c>
      <c r="L33" s="31">
        <f>((+B33/A33)-(E33/D33))/(B33/A33)</f>
        <v>4.5146136032570144E-2</v>
      </c>
    </row>
    <row r="34" spans="1:12" ht="15" hidden="1" thickBot="1" x14ac:dyDescent="0.35">
      <c r="A34" s="61">
        <v>405</v>
      </c>
      <c r="B34" s="62">
        <v>18384</v>
      </c>
      <c r="C34" s="62" t="s">
        <v>511</v>
      </c>
      <c r="D34" s="27">
        <f t="shared" ref="D34:E41" si="13">+I34</f>
        <v>405</v>
      </c>
      <c r="E34" s="27">
        <f t="shared" si="13"/>
        <v>17927.900000000001</v>
      </c>
      <c r="F34" s="27" t="s">
        <v>512</v>
      </c>
      <c r="G34" s="27">
        <v>87961</v>
      </c>
      <c r="H34" s="14"/>
      <c r="I34" s="45">
        <v>405</v>
      </c>
      <c r="J34" s="45">
        <v>17927.900000000001</v>
      </c>
      <c r="K34" s="54">
        <f t="shared" ref="K34:K41" si="14">+A34-D34</f>
        <v>0</v>
      </c>
      <c r="L34" s="53">
        <f t="shared" ref="L34:L36" si="15">(+B34-E34)/B34</f>
        <v>2.4809617058311497E-2</v>
      </c>
    </row>
    <row r="35" spans="1:12" ht="15" hidden="1" thickBot="1" x14ac:dyDescent="0.35">
      <c r="A35" s="61">
        <v>266</v>
      </c>
      <c r="B35" s="62">
        <v>12066.75</v>
      </c>
      <c r="C35" s="62" t="s">
        <v>513</v>
      </c>
      <c r="D35" s="27">
        <f t="shared" si="13"/>
        <v>266</v>
      </c>
      <c r="E35" s="27">
        <f t="shared" si="13"/>
        <v>11813.1</v>
      </c>
      <c r="F35" s="27" t="s">
        <v>514</v>
      </c>
      <c r="G35" s="27">
        <v>87971</v>
      </c>
      <c r="H35" s="14"/>
      <c r="I35" s="45">
        <v>266</v>
      </c>
      <c r="J35" s="45">
        <v>11813.1</v>
      </c>
      <c r="K35" s="54">
        <f t="shared" si="14"/>
        <v>0</v>
      </c>
      <c r="L35" s="53">
        <f t="shared" si="15"/>
        <v>2.1020573062340699E-2</v>
      </c>
    </row>
    <row r="36" spans="1:12" ht="15" hidden="1" thickBot="1" x14ac:dyDescent="0.35">
      <c r="A36" s="61">
        <v>1452</v>
      </c>
      <c r="B36" s="62">
        <v>76989.25</v>
      </c>
      <c r="C36" s="62" t="s">
        <v>515</v>
      </c>
      <c r="D36" s="27">
        <f t="shared" si="13"/>
        <v>1452</v>
      </c>
      <c r="E36" s="27">
        <f t="shared" si="13"/>
        <v>72959.3</v>
      </c>
      <c r="F36" s="27" t="s">
        <v>516</v>
      </c>
      <c r="G36" s="27">
        <v>88081</v>
      </c>
      <c r="H36" s="14"/>
      <c r="I36" s="45">
        <v>1452</v>
      </c>
      <c r="J36" s="45">
        <v>72959.3</v>
      </c>
      <c r="K36" s="54">
        <f t="shared" si="14"/>
        <v>0</v>
      </c>
      <c r="L36" s="53">
        <f t="shared" si="15"/>
        <v>5.2344320798033452E-2</v>
      </c>
    </row>
    <row r="37" spans="1:12" ht="15" hidden="1" thickBot="1" x14ac:dyDescent="0.35">
      <c r="A37" s="61">
        <v>578</v>
      </c>
      <c r="B37" s="62">
        <v>29680.75</v>
      </c>
      <c r="C37" s="62" t="s">
        <v>626</v>
      </c>
      <c r="D37" s="27">
        <f t="shared" si="13"/>
        <v>579</v>
      </c>
      <c r="E37" s="27">
        <f t="shared" si="13"/>
        <v>28629.1</v>
      </c>
      <c r="F37" s="27" t="s">
        <v>625</v>
      </c>
      <c r="G37" s="27">
        <v>88271</v>
      </c>
      <c r="H37" s="14"/>
      <c r="I37" s="45">
        <v>579</v>
      </c>
      <c r="J37" s="46">
        <v>28629.1</v>
      </c>
      <c r="K37" s="54">
        <f t="shared" si="14"/>
        <v>-1</v>
      </c>
      <c r="L37" s="31">
        <f>((+B37/A37)-(E37/D37))/(B37/A37)</f>
        <v>3.7097976586390004E-2</v>
      </c>
    </row>
    <row r="38" spans="1:12" ht="15" hidden="1" thickBot="1" x14ac:dyDescent="0.35">
      <c r="A38" s="61">
        <v>320</v>
      </c>
      <c r="B38" s="62">
        <v>17122</v>
      </c>
      <c r="C38" s="62" t="s">
        <v>687</v>
      </c>
      <c r="D38" s="65">
        <f t="shared" si="13"/>
        <v>330</v>
      </c>
      <c r="E38" s="65">
        <f t="shared" si="13"/>
        <v>16678</v>
      </c>
      <c r="F38" s="65" t="s">
        <v>688</v>
      </c>
      <c r="G38" s="65">
        <v>88371</v>
      </c>
      <c r="H38" s="14"/>
      <c r="I38" s="45">
        <v>330</v>
      </c>
      <c r="J38" s="46">
        <v>16678</v>
      </c>
      <c r="K38" s="54">
        <f t="shared" si="14"/>
        <v>-10</v>
      </c>
      <c r="L38" s="31">
        <f>((+B38/A38)-(E38/D38))/(B38/A38)</f>
        <v>5.5448775808546895E-2</v>
      </c>
    </row>
    <row r="39" spans="1:12" ht="15" hidden="1" thickBot="1" x14ac:dyDescent="0.35">
      <c r="A39" s="61">
        <v>267</v>
      </c>
      <c r="B39" s="62">
        <v>13543.25</v>
      </c>
      <c r="C39" s="62" t="s">
        <v>689</v>
      </c>
      <c r="D39" s="65">
        <f t="shared" si="13"/>
        <v>267</v>
      </c>
      <c r="E39" s="65">
        <f t="shared" si="13"/>
        <v>13274.9</v>
      </c>
      <c r="F39" s="65" t="s">
        <v>690</v>
      </c>
      <c r="G39" s="65">
        <v>88451</v>
      </c>
      <c r="H39" s="14"/>
      <c r="I39" s="45">
        <v>267</v>
      </c>
      <c r="J39" s="46">
        <v>13274.9</v>
      </c>
      <c r="K39" s="54">
        <f t="shared" si="14"/>
        <v>0</v>
      </c>
      <c r="L39" s="53">
        <f t="shared" ref="L39:L40" si="16">(+B39-E39)/B39</f>
        <v>1.9814298635851834E-2</v>
      </c>
    </row>
    <row r="40" spans="1:12" ht="15" hidden="1" thickBot="1" x14ac:dyDescent="0.35">
      <c r="A40" s="61">
        <v>477</v>
      </c>
      <c r="B40" s="62">
        <v>20586.5</v>
      </c>
      <c r="C40" s="62" t="s">
        <v>691</v>
      </c>
      <c r="D40" s="65">
        <f t="shared" si="13"/>
        <v>477</v>
      </c>
      <c r="E40" s="65">
        <f t="shared" si="13"/>
        <v>19970.7</v>
      </c>
      <c r="F40" s="27" t="s">
        <v>692</v>
      </c>
      <c r="G40" s="27">
        <v>88521</v>
      </c>
      <c r="H40" s="14"/>
      <c r="I40" s="45">
        <v>477</v>
      </c>
      <c r="J40" s="46">
        <v>19970.7</v>
      </c>
      <c r="K40" s="54">
        <f t="shared" si="14"/>
        <v>0</v>
      </c>
      <c r="L40" s="53">
        <f t="shared" si="16"/>
        <v>2.9912806936584619E-2</v>
      </c>
    </row>
    <row r="41" spans="1:12" ht="15" hidden="1" thickBot="1" x14ac:dyDescent="0.35">
      <c r="A41" s="61">
        <v>380</v>
      </c>
      <c r="B41" s="62">
        <v>16474.5</v>
      </c>
      <c r="C41" s="62" t="s">
        <v>693</v>
      </c>
      <c r="D41" s="65">
        <f t="shared" si="13"/>
        <v>380</v>
      </c>
      <c r="E41" s="65">
        <f t="shared" si="13"/>
        <v>16133.8</v>
      </c>
      <c r="F41" s="27" t="s">
        <v>694</v>
      </c>
      <c r="G41" s="27">
        <v>88581</v>
      </c>
      <c r="H41" s="14"/>
      <c r="I41" s="45">
        <f>210+170</f>
        <v>380</v>
      </c>
      <c r="J41" s="46">
        <f>8898+7235.8</f>
        <v>16133.8</v>
      </c>
      <c r="K41" s="54">
        <f t="shared" si="14"/>
        <v>0</v>
      </c>
      <c r="L41" s="53">
        <f t="shared" ref="L41" si="17">(+B41-E41)/B41</f>
        <v>2.0680445537042139E-2</v>
      </c>
    </row>
    <row r="42" spans="1:12" ht="15" hidden="1" thickBot="1" x14ac:dyDescent="0.35">
      <c r="A42" s="61">
        <v>350</v>
      </c>
      <c r="B42" s="62">
        <v>15148.75</v>
      </c>
      <c r="C42" s="62" t="s">
        <v>747</v>
      </c>
      <c r="D42" s="65">
        <f>+I42</f>
        <v>350</v>
      </c>
      <c r="E42" s="65">
        <f>+J42</f>
        <v>14868</v>
      </c>
      <c r="F42" s="27" t="s">
        <v>748</v>
      </c>
      <c r="G42" s="27">
        <v>88651</v>
      </c>
      <c r="H42" s="14"/>
      <c r="I42" s="45">
        <v>350</v>
      </c>
      <c r="J42" s="45">
        <v>14868</v>
      </c>
      <c r="K42" s="54">
        <f t="shared" ref="K42" si="18">+A42-D42</f>
        <v>0</v>
      </c>
      <c r="L42" s="53">
        <f t="shared" ref="L42:L43" si="19">(+B42-E42)/B42</f>
        <v>1.853288225101081E-2</v>
      </c>
    </row>
    <row r="43" spans="1:12" hidden="1" x14ac:dyDescent="0.3">
      <c r="A43" s="59">
        <v>720</v>
      </c>
      <c r="B43" s="60">
        <v>30985</v>
      </c>
      <c r="C43" s="60" t="s">
        <v>749</v>
      </c>
      <c r="D43" s="63">
        <f>+I43+I44</f>
        <v>720</v>
      </c>
      <c r="E43" s="63">
        <f>+J43+J44</f>
        <v>29587.200000000001</v>
      </c>
      <c r="F43" s="29" t="s">
        <v>750</v>
      </c>
      <c r="G43" s="29">
        <v>88831</v>
      </c>
      <c r="H43" s="40"/>
      <c r="I43" s="39">
        <v>530</v>
      </c>
      <c r="J43" s="39">
        <v>21885.7</v>
      </c>
      <c r="K43" s="56">
        <f>+A43-D43</f>
        <v>0</v>
      </c>
      <c r="L43" s="879">
        <f t="shared" si="19"/>
        <v>4.5112151040826186E-2</v>
      </c>
    </row>
    <row r="44" spans="1:12" ht="15" hidden="1" thickBot="1" x14ac:dyDescent="0.35">
      <c r="A44" s="76"/>
      <c r="B44" s="77"/>
      <c r="C44" s="77"/>
      <c r="D44" s="64"/>
      <c r="E44" s="64"/>
      <c r="F44" s="28" t="s">
        <v>750</v>
      </c>
      <c r="G44" s="28">
        <v>88831</v>
      </c>
      <c r="H44" s="43"/>
      <c r="I44" s="42">
        <v>190</v>
      </c>
      <c r="J44" s="42">
        <v>7701.5</v>
      </c>
      <c r="K44" s="55"/>
      <c r="L44" s="880"/>
    </row>
    <row r="45" spans="1:12" ht="15" hidden="1" thickBot="1" x14ac:dyDescent="0.35">
      <c r="A45" s="61">
        <v>331</v>
      </c>
      <c r="B45" s="62">
        <v>15279.5</v>
      </c>
      <c r="C45" s="62" t="s">
        <v>751</v>
      </c>
      <c r="D45" s="65">
        <f>+I45</f>
        <v>331</v>
      </c>
      <c r="E45" s="65">
        <f>+J45</f>
        <v>14914.7</v>
      </c>
      <c r="F45" s="27" t="s">
        <v>752</v>
      </c>
      <c r="G45" s="27">
        <v>88891</v>
      </c>
      <c r="H45" s="14"/>
      <c r="I45" s="45">
        <v>331</v>
      </c>
      <c r="J45" s="45">
        <v>14914.7</v>
      </c>
      <c r="K45" s="54">
        <f t="shared" ref="K45:K56" si="20">+A45-D45</f>
        <v>0</v>
      </c>
      <c r="L45" s="53">
        <f t="shared" ref="L45" si="21">(+B45-E45)/B45</f>
        <v>2.3875126803887516E-2</v>
      </c>
    </row>
    <row r="46" spans="1:12" ht="15" hidden="1" thickBot="1" x14ac:dyDescent="0.35">
      <c r="A46" s="61">
        <v>475</v>
      </c>
      <c r="B46" s="62">
        <v>20881.75</v>
      </c>
      <c r="C46" s="62" t="s">
        <v>753</v>
      </c>
      <c r="D46" s="27">
        <v>475</v>
      </c>
      <c r="E46" s="27">
        <v>21091.9</v>
      </c>
      <c r="F46" s="27" t="s">
        <v>754</v>
      </c>
      <c r="G46" s="27">
        <v>88901</v>
      </c>
      <c r="H46" s="14"/>
      <c r="I46" s="45">
        <v>300</v>
      </c>
      <c r="J46" s="45">
        <v>13108.8</v>
      </c>
      <c r="K46" s="54">
        <f t="shared" si="20"/>
        <v>0</v>
      </c>
      <c r="L46" s="31">
        <f>((+B46/A46)-(E46/D46))/(B46/A46)</f>
        <v>-1.0063811701605502E-2</v>
      </c>
    </row>
    <row r="47" spans="1:12" ht="15" hidden="1" thickBot="1" x14ac:dyDescent="0.35">
      <c r="A47" s="178">
        <v>140</v>
      </c>
      <c r="B47" s="45">
        <v>6277.5</v>
      </c>
      <c r="C47" s="45" t="s">
        <v>811</v>
      </c>
      <c r="D47" s="45">
        <f t="shared" ref="D47:E52" si="22">+I47</f>
        <v>140</v>
      </c>
      <c r="E47" s="45">
        <f t="shared" si="22"/>
        <v>6491.2</v>
      </c>
      <c r="F47" s="8" t="s">
        <v>812</v>
      </c>
      <c r="G47" s="8">
        <v>88951</v>
      </c>
      <c r="H47" s="14"/>
      <c r="I47" s="45">
        <v>140</v>
      </c>
      <c r="J47" s="46">
        <v>6491.2</v>
      </c>
      <c r="K47" s="54">
        <f t="shared" si="20"/>
        <v>0</v>
      </c>
      <c r="L47" s="53">
        <f t="shared" ref="L47" si="23">(+B47-E47)/B47</f>
        <v>-3.4042214257267993E-2</v>
      </c>
    </row>
    <row r="48" spans="1:12" ht="15" hidden="1" thickBot="1" x14ac:dyDescent="0.35">
      <c r="A48" s="178">
        <v>158</v>
      </c>
      <c r="B48" s="45">
        <v>7245</v>
      </c>
      <c r="C48" s="45" t="s">
        <v>813</v>
      </c>
      <c r="D48" s="45">
        <f t="shared" si="22"/>
        <v>159</v>
      </c>
      <c r="E48" s="45">
        <f t="shared" si="22"/>
        <v>7372.2000000000007</v>
      </c>
      <c r="F48" s="8" t="s">
        <v>814</v>
      </c>
      <c r="G48" s="8">
        <v>88961</v>
      </c>
      <c r="H48" s="14"/>
      <c r="I48" s="45">
        <v>159</v>
      </c>
      <c r="J48" s="46">
        <v>7372.2000000000007</v>
      </c>
      <c r="K48" s="54">
        <f t="shared" si="20"/>
        <v>-1</v>
      </c>
      <c r="L48" s="31">
        <f>((+B48/A48)-(E48/D48))/(B48/A48)</f>
        <v>-1.1157206661718634E-2</v>
      </c>
    </row>
    <row r="49" spans="1:12" ht="15" hidden="1" thickBot="1" x14ac:dyDescent="0.35">
      <c r="A49" s="178">
        <v>187</v>
      </c>
      <c r="B49" s="45">
        <v>8359</v>
      </c>
      <c r="C49" s="45" t="s">
        <v>815</v>
      </c>
      <c r="D49" s="45">
        <f t="shared" si="22"/>
        <v>187</v>
      </c>
      <c r="E49" s="45">
        <f t="shared" si="22"/>
        <v>8569.7000000000007</v>
      </c>
      <c r="F49" s="8" t="s">
        <v>816</v>
      </c>
      <c r="G49" s="8">
        <v>88971</v>
      </c>
      <c r="H49" s="14"/>
      <c r="I49" s="45">
        <v>187</v>
      </c>
      <c r="J49" s="46">
        <v>8569.7000000000007</v>
      </c>
      <c r="K49" s="54">
        <f t="shared" si="20"/>
        <v>0</v>
      </c>
      <c r="L49" s="53">
        <f t="shared" ref="L49:L50" si="24">(+B49-E49)/B49</f>
        <v>-2.520636439765531E-2</v>
      </c>
    </row>
    <row r="50" spans="1:12" ht="15" hidden="1" thickBot="1" x14ac:dyDescent="0.35">
      <c r="A50" s="178">
        <v>350</v>
      </c>
      <c r="B50" s="45">
        <v>15261.25</v>
      </c>
      <c r="C50" s="45" t="s">
        <v>817</v>
      </c>
      <c r="D50" s="45">
        <f t="shared" si="22"/>
        <v>350</v>
      </c>
      <c r="E50" s="45">
        <f t="shared" si="22"/>
        <v>14930.8</v>
      </c>
      <c r="F50" s="8" t="s">
        <v>818</v>
      </c>
      <c r="G50" s="8">
        <v>89051</v>
      </c>
      <c r="H50" s="45"/>
      <c r="I50" s="45">
        <v>350</v>
      </c>
      <c r="J50" s="46">
        <v>14930.8</v>
      </c>
      <c r="K50" s="54">
        <f t="shared" si="20"/>
        <v>0</v>
      </c>
      <c r="L50" s="53">
        <f t="shared" si="24"/>
        <v>2.165287902367111E-2</v>
      </c>
    </row>
    <row r="51" spans="1:12" ht="15" hidden="1" thickBot="1" x14ac:dyDescent="0.35">
      <c r="A51" s="178">
        <v>458</v>
      </c>
      <c r="B51" s="45">
        <v>20396</v>
      </c>
      <c r="C51" s="45" t="s">
        <v>819</v>
      </c>
      <c r="D51" s="45">
        <f t="shared" si="22"/>
        <v>457</v>
      </c>
      <c r="E51" s="45">
        <f t="shared" si="22"/>
        <v>19963.5</v>
      </c>
      <c r="F51" s="8" t="s">
        <v>820</v>
      </c>
      <c r="G51" s="8">
        <v>89061</v>
      </c>
      <c r="H51" s="14"/>
      <c r="I51" s="45">
        <v>457</v>
      </c>
      <c r="J51" s="46">
        <v>19963.5</v>
      </c>
      <c r="K51" s="54">
        <f t="shared" si="20"/>
        <v>1</v>
      </c>
      <c r="L51" s="31">
        <f>((+B51/A51)-(E51/D51))/(B51/A51)</f>
        <v>1.9063355195144831E-2</v>
      </c>
    </row>
    <row r="52" spans="1:12" ht="15" hidden="1" thickBot="1" x14ac:dyDescent="0.35">
      <c r="A52" s="178">
        <v>631</v>
      </c>
      <c r="B52" s="45">
        <v>27814</v>
      </c>
      <c r="C52" s="45" t="s">
        <v>821</v>
      </c>
      <c r="D52" s="45">
        <f t="shared" si="22"/>
        <v>631</v>
      </c>
      <c r="E52" s="45">
        <f t="shared" si="22"/>
        <v>27291.1</v>
      </c>
      <c r="F52" s="8" t="s">
        <v>822</v>
      </c>
      <c r="G52" s="8">
        <v>89131</v>
      </c>
      <c r="H52" s="14"/>
      <c r="I52" s="45">
        <v>631</v>
      </c>
      <c r="J52" s="46">
        <v>27291.1</v>
      </c>
      <c r="K52" s="54">
        <f t="shared" si="20"/>
        <v>0</v>
      </c>
      <c r="L52" s="53">
        <f t="shared" ref="L52" si="25">(+B52-E52)/B52</f>
        <v>1.8799884950025221E-2</v>
      </c>
    </row>
    <row r="53" spans="1:12" ht="15" hidden="1" thickBot="1" x14ac:dyDescent="0.35">
      <c r="A53" s="178">
        <v>315</v>
      </c>
      <c r="B53" s="45">
        <v>14438.5</v>
      </c>
      <c r="C53" s="45" t="s">
        <v>823</v>
      </c>
      <c r="D53" s="45">
        <f>+I53</f>
        <v>317</v>
      </c>
      <c r="E53" s="45">
        <f>+J53</f>
        <v>14373</v>
      </c>
      <c r="F53" s="8" t="s">
        <v>824</v>
      </c>
      <c r="G53" s="8">
        <v>89251</v>
      </c>
      <c r="H53" s="14"/>
      <c r="I53" s="45">
        <v>317</v>
      </c>
      <c r="J53" s="46">
        <v>14373</v>
      </c>
      <c r="K53" s="54">
        <f t="shared" si="20"/>
        <v>-2</v>
      </c>
      <c r="L53" s="31">
        <f>((+B53/A53)-(E53/D53))/(B53/A53)</f>
        <v>1.0817009246986701E-2</v>
      </c>
    </row>
    <row r="54" spans="1:12" ht="15" hidden="1" thickBot="1" x14ac:dyDescent="0.35">
      <c r="A54" s="178">
        <v>568</v>
      </c>
      <c r="B54" s="45">
        <v>26959.25</v>
      </c>
      <c r="C54" s="45" t="s">
        <v>890</v>
      </c>
      <c r="D54" s="45">
        <f t="shared" ref="D54:E55" si="26">+I54</f>
        <v>566</v>
      </c>
      <c r="E54" s="45">
        <f t="shared" si="26"/>
        <v>26261.4</v>
      </c>
      <c r="F54" s="8" t="s">
        <v>891</v>
      </c>
      <c r="G54" s="8">
        <v>89261</v>
      </c>
      <c r="H54" s="14"/>
      <c r="I54" s="45">
        <v>566</v>
      </c>
      <c r="J54" s="46">
        <v>26261.4</v>
      </c>
      <c r="K54" s="54">
        <f t="shared" si="20"/>
        <v>2</v>
      </c>
      <c r="L54" s="31">
        <f t="shared" ref="L54:L55" si="27">((+B54/A54)-(E54/D54))/(B54/A54)</f>
        <v>2.2443262834422394E-2</v>
      </c>
    </row>
    <row r="55" spans="1:12" ht="15" hidden="1" thickBot="1" x14ac:dyDescent="0.35">
      <c r="A55" s="179">
        <v>189</v>
      </c>
      <c r="B55" s="42">
        <v>7888.5</v>
      </c>
      <c r="C55" s="42" t="s">
        <v>892</v>
      </c>
      <c r="D55" s="45">
        <f t="shared" si="26"/>
        <v>187</v>
      </c>
      <c r="E55" s="45">
        <f t="shared" si="26"/>
        <v>7628</v>
      </c>
      <c r="F55" s="8" t="s">
        <v>893</v>
      </c>
      <c r="G55" s="8">
        <v>8931</v>
      </c>
      <c r="H55" s="43"/>
      <c r="I55" s="42">
        <v>187</v>
      </c>
      <c r="J55" s="44">
        <v>7628</v>
      </c>
      <c r="K55" s="54">
        <f t="shared" si="20"/>
        <v>2</v>
      </c>
      <c r="L55" s="31">
        <f t="shared" si="27"/>
        <v>2.2680752018693812E-2</v>
      </c>
    </row>
    <row r="56" spans="1:12" hidden="1" x14ac:dyDescent="0.3">
      <c r="A56" s="873">
        <v>2069</v>
      </c>
      <c r="B56" s="873">
        <v>111024.5</v>
      </c>
      <c r="C56" s="873" t="s">
        <v>894</v>
      </c>
      <c r="D56" s="873">
        <f>+I56+I58+I57</f>
        <v>2069</v>
      </c>
      <c r="E56" s="873">
        <f>+J56+J58+J57</f>
        <v>106054.79999999999</v>
      </c>
      <c r="F56" s="15" t="s">
        <v>895</v>
      </c>
      <c r="G56" s="15">
        <v>89481</v>
      </c>
      <c r="I56" s="50">
        <v>321</v>
      </c>
      <c r="J56" s="51">
        <v>16224.400000000001</v>
      </c>
      <c r="K56" s="877">
        <f t="shared" si="20"/>
        <v>0</v>
      </c>
      <c r="L56" s="879">
        <f>(+B56-E56)/B56</f>
        <v>4.4762192128764478E-2</v>
      </c>
    </row>
    <row r="57" spans="1:12" hidden="1" x14ac:dyDescent="0.3">
      <c r="A57" s="881"/>
      <c r="B57" s="881"/>
      <c r="C57" s="881"/>
      <c r="D57" s="881"/>
      <c r="E57" s="881"/>
      <c r="F57" s="15" t="s">
        <v>895</v>
      </c>
      <c r="G57" s="15">
        <v>89481</v>
      </c>
      <c r="I57" s="50">
        <v>524</v>
      </c>
      <c r="J57" s="51">
        <v>27751.4</v>
      </c>
      <c r="K57" s="886"/>
      <c r="L57" s="885"/>
    </row>
    <row r="58" spans="1:12" ht="15" hidden="1" thickBot="1" x14ac:dyDescent="0.35">
      <c r="A58" s="874"/>
      <c r="B58" s="874"/>
      <c r="C58" s="874"/>
      <c r="D58" s="874"/>
      <c r="E58" s="874"/>
      <c r="F58" s="10" t="s">
        <v>895</v>
      </c>
      <c r="G58" s="10">
        <v>89481</v>
      </c>
      <c r="H58" s="43"/>
      <c r="I58" s="42">
        <v>1224</v>
      </c>
      <c r="J58" s="44">
        <v>62079</v>
      </c>
      <c r="K58" s="878"/>
      <c r="L58" s="880"/>
    </row>
    <row r="59" spans="1:12" ht="15" hidden="1" thickBot="1" x14ac:dyDescent="0.35">
      <c r="A59" s="178">
        <v>82</v>
      </c>
      <c r="B59" s="45">
        <v>3640.25</v>
      </c>
      <c r="C59" s="45" t="s">
        <v>961</v>
      </c>
      <c r="D59" s="45">
        <f t="shared" ref="D59:E63" si="28">+I59</f>
        <v>81</v>
      </c>
      <c r="E59" s="45">
        <f t="shared" si="28"/>
        <v>3513.4</v>
      </c>
      <c r="F59" s="8" t="s">
        <v>962</v>
      </c>
      <c r="G59" s="8">
        <v>89611</v>
      </c>
      <c r="H59" s="14"/>
      <c r="I59" s="45">
        <v>81</v>
      </c>
      <c r="J59" s="46">
        <v>3513.4</v>
      </c>
      <c r="K59" s="54">
        <f t="shared" ref="K59:K64" si="29">+A59-D59</f>
        <v>1</v>
      </c>
      <c r="L59" s="31">
        <f t="shared" ref="L59" si="30">((+B59/A59)-(E59/D59))/(B59/A59)</f>
        <v>2.2931032582384308E-2</v>
      </c>
    </row>
    <row r="60" spans="1:12" ht="15" hidden="1" thickBot="1" x14ac:dyDescent="0.35">
      <c r="A60" s="178">
        <v>336</v>
      </c>
      <c r="B60" s="45">
        <v>16970</v>
      </c>
      <c r="C60" s="45" t="s">
        <v>963</v>
      </c>
      <c r="D60" s="45">
        <f t="shared" si="28"/>
        <v>336</v>
      </c>
      <c r="E60" s="45">
        <f t="shared" si="28"/>
        <v>16065.1</v>
      </c>
      <c r="F60" s="8" t="s">
        <v>964</v>
      </c>
      <c r="G60" s="8">
        <v>89621</v>
      </c>
      <c r="H60" s="14"/>
      <c r="I60" s="45">
        <v>336</v>
      </c>
      <c r="J60" s="46">
        <v>16065.1</v>
      </c>
      <c r="K60" s="54">
        <f t="shared" si="29"/>
        <v>0</v>
      </c>
      <c r="L60" s="53">
        <f t="shared" ref="L60:L61" si="31">(+B60-E60)/B60</f>
        <v>5.3323512080141404E-2</v>
      </c>
    </row>
    <row r="61" spans="1:12" ht="15" hidden="1" thickBot="1" x14ac:dyDescent="0.35">
      <c r="A61" s="178">
        <v>345</v>
      </c>
      <c r="B61" s="45">
        <v>17287.5</v>
      </c>
      <c r="C61" s="45" t="s">
        <v>965</v>
      </c>
      <c r="D61" s="45">
        <f t="shared" si="28"/>
        <v>345</v>
      </c>
      <c r="E61" s="45">
        <f t="shared" si="28"/>
        <v>16131.800000000001</v>
      </c>
      <c r="F61" s="8" t="s">
        <v>966</v>
      </c>
      <c r="G61" s="8">
        <v>89631</v>
      </c>
      <c r="H61" s="14"/>
      <c r="I61" s="45">
        <v>345</v>
      </c>
      <c r="J61" s="46">
        <v>16131.800000000001</v>
      </c>
      <c r="K61" s="54">
        <f t="shared" si="29"/>
        <v>0</v>
      </c>
      <c r="L61" s="53">
        <f t="shared" si="31"/>
        <v>6.6851771511207456E-2</v>
      </c>
    </row>
    <row r="62" spans="1:12" ht="15" hidden="1" thickBot="1" x14ac:dyDescent="0.35">
      <c r="A62" s="178">
        <v>350</v>
      </c>
      <c r="B62" s="45">
        <v>18202.5</v>
      </c>
      <c r="C62" s="45" t="s">
        <v>967</v>
      </c>
      <c r="D62" s="45">
        <f t="shared" si="28"/>
        <v>352</v>
      </c>
      <c r="E62" s="45">
        <f t="shared" si="28"/>
        <v>17542.3</v>
      </c>
      <c r="F62" s="8" t="s">
        <v>968</v>
      </c>
      <c r="G62" s="8">
        <v>89721</v>
      </c>
      <c r="H62" s="14"/>
      <c r="I62" s="45">
        <v>352</v>
      </c>
      <c r="J62" s="46">
        <v>17542.3</v>
      </c>
      <c r="K62" s="54">
        <f t="shared" si="29"/>
        <v>-2</v>
      </c>
      <c r="L62" s="31">
        <f t="shared" ref="L62" si="32">((+B62/A62)-(E62/D62))/(B62/A62)</f>
        <v>4.1745483262788631E-2</v>
      </c>
    </row>
    <row r="63" spans="1:12" ht="15" hidden="1" thickBot="1" x14ac:dyDescent="0.35">
      <c r="A63" s="177">
        <v>160</v>
      </c>
      <c r="B63" s="39">
        <v>8287</v>
      </c>
      <c r="C63" s="39" t="s">
        <v>969</v>
      </c>
      <c r="D63" s="39">
        <f t="shared" si="28"/>
        <v>160</v>
      </c>
      <c r="E63" s="39">
        <f t="shared" si="28"/>
        <v>7860.2999999999993</v>
      </c>
      <c r="F63" s="12" t="s">
        <v>970</v>
      </c>
      <c r="G63" s="12">
        <v>89731</v>
      </c>
      <c r="H63" s="40"/>
      <c r="I63" s="39">
        <v>160</v>
      </c>
      <c r="J63" s="41">
        <v>7860.2999999999993</v>
      </c>
      <c r="K63" s="54">
        <f t="shared" si="29"/>
        <v>0</v>
      </c>
      <c r="L63" s="53">
        <f t="shared" ref="L63:L64" si="33">(+B63-E63)/B63</f>
        <v>5.1490285990105071E-2</v>
      </c>
    </row>
    <row r="64" spans="1:12" hidden="1" x14ac:dyDescent="0.3">
      <c r="A64" s="871">
        <v>402</v>
      </c>
      <c r="B64" s="873">
        <v>19551.25</v>
      </c>
      <c r="C64" s="873" t="s">
        <v>971</v>
      </c>
      <c r="D64" s="873">
        <f>+I64+I65</f>
        <v>402</v>
      </c>
      <c r="E64" s="873">
        <f>+J64+J65</f>
        <v>18623</v>
      </c>
      <c r="F64" s="12" t="s">
        <v>972</v>
      </c>
      <c r="G64" s="12">
        <v>89761</v>
      </c>
      <c r="H64" s="40"/>
      <c r="I64" s="39">
        <v>302</v>
      </c>
      <c r="J64" s="41">
        <v>13954.2</v>
      </c>
      <c r="K64" s="877">
        <f t="shared" si="29"/>
        <v>0</v>
      </c>
      <c r="L64" s="879">
        <f t="shared" si="33"/>
        <v>4.7477782750463528E-2</v>
      </c>
    </row>
    <row r="65" spans="1:12" ht="15" hidden="1" thickBot="1" x14ac:dyDescent="0.35">
      <c r="A65" s="872"/>
      <c r="B65" s="874"/>
      <c r="C65" s="874"/>
      <c r="D65" s="874"/>
      <c r="E65" s="874"/>
      <c r="F65" s="10" t="s">
        <v>972</v>
      </c>
      <c r="G65" s="10">
        <v>89761</v>
      </c>
      <c r="H65" s="43"/>
      <c r="I65" s="42">
        <v>100</v>
      </c>
      <c r="J65" s="44">
        <v>4668.8</v>
      </c>
      <c r="K65" s="878"/>
      <c r="L65" s="880"/>
    </row>
    <row r="66" spans="1:12" ht="15" hidden="1" thickBot="1" x14ac:dyDescent="0.35">
      <c r="A66" s="178">
        <v>140</v>
      </c>
      <c r="B66" s="195">
        <v>7737</v>
      </c>
      <c r="C66" s="45" t="s">
        <v>973</v>
      </c>
      <c r="D66" s="45">
        <f>+I66</f>
        <v>140</v>
      </c>
      <c r="E66" s="45">
        <f>+J66</f>
        <v>7364.7</v>
      </c>
      <c r="F66" s="8" t="s">
        <v>974</v>
      </c>
      <c r="G66" s="8">
        <v>89861</v>
      </c>
      <c r="H66" s="14"/>
      <c r="I66" s="45">
        <v>140</v>
      </c>
      <c r="J66" s="46">
        <v>7364.7</v>
      </c>
      <c r="K66" s="54">
        <f t="shared" ref="K66:K68" si="34">+A66-D66</f>
        <v>0</v>
      </c>
      <c r="L66" s="53">
        <f t="shared" ref="L66:L67" si="35">(+B66-E66)/B66</f>
        <v>4.8119426134160551E-2</v>
      </c>
    </row>
    <row r="67" spans="1:12" ht="15" hidden="1" thickBot="1" x14ac:dyDescent="0.35">
      <c r="A67" s="178">
        <v>443</v>
      </c>
      <c r="B67" s="195">
        <v>21087</v>
      </c>
      <c r="C67" s="45" t="s">
        <v>975</v>
      </c>
      <c r="D67" s="45">
        <v>443</v>
      </c>
      <c r="E67" s="45">
        <v>20684</v>
      </c>
      <c r="F67" s="8" t="s">
        <v>976</v>
      </c>
      <c r="G67" s="8">
        <v>89871</v>
      </c>
      <c r="H67" s="14"/>
      <c r="I67" s="45">
        <v>143</v>
      </c>
      <c r="J67" s="46">
        <v>6695.8</v>
      </c>
      <c r="K67" s="54">
        <f t="shared" si="34"/>
        <v>0</v>
      </c>
      <c r="L67" s="53">
        <f t="shared" si="35"/>
        <v>1.9111300801441647E-2</v>
      </c>
    </row>
    <row r="68" spans="1:12" hidden="1" x14ac:dyDescent="0.3">
      <c r="A68" s="882">
        <v>980</v>
      </c>
      <c r="B68" s="980">
        <v>47271</v>
      </c>
      <c r="C68" s="982" t="s">
        <v>1053</v>
      </c>
      <c r="D68" s="873">
        <v>981</v>
      </c>
      <c r="E68" s="873">
        <v>46147.9</v>
      </c>
      <c r="F68" s="12" t="s">
        <v>1054</v>
      </c>
      <c r="G68" s="12">
        <v>89881</v>
      </c>
      <c r="H68" s="40"/>
      <c r="I68" s="39">
        <v>360</v>
      </c>
      <c r="J68" s="41">
        <v>16419.900000000001</v>
      </c>
      <c r="K68" s="877">
        <f t="shared" si="34"/>
        <v>-1</v>
      </c>
      <c r="L68" s="879">
        <f t="shared" ref="L68" si="36">((+B68/A68)-(E68/D68))/(B68/A68)</f>
        <v>2.4753901803449555E-2</v>
      </c>
    </row>
    <row r="69" spans="1:12" ht="15" hidden="1" thickBot="1" x14ac:dyDescent="0.35">
      <c r="A69" s="884"/>
      <c r="B69" s="981"/>
      <c r="C69" s="983"/>
      <c r="D69" s="874"/>
      <c r="E69" s="874"/>
      <c r="F69" s="10" t="s">
        <v>1054</v>
      </c>
      <c r="G69" s="10">
        <v>89881</v>
      </c>
      <c r="H69" s="43"/>
      <c r="I69" s="42">
        <v>301</v>
      </c>
      <c r="J69" s="44">
        <v>14561.5</v>
      </c>
      <c r="K69" s="878"/>
      <c r="L69" s="880"/>
    </row>
    <row r="70" spans="1:12" hidden="1" x14ac:dyDescent="0.3">
      <c r="A70" s="982">
        <v>951</v>
      </c>
      <c r="B70" s="982">
        <v>46110</v>
      </c>
      <c r="C70" s="982" t="s">
        <v>1118</v>
      </c>
      <c r="D70" s="873">
        <f>+I70+I71</f>
        <v>950</v>
      </c>
      <c r="E70" s="873">
        <f>+J70+J71</f>
        <v>44354.5</v>
      </c>
      <c r="F70" s="12" t="s">
        <v>1119</v>
      </c>
      <c r="G70" s="12">
        <v>90011</v>
      </c>
      <c r="H70" s="40"/>
      <c r="I70" s="39">
        <v>320</v>
      </c>
      <c r="J70" s="41">
        <v>14880</v>
      </c>
      <c r="K70" s="877">
        <f t="shared" ref="K70" si="37">+A70-D70</f>
        <v>1</v>
      </c>
      <c r="L70" s="879">
        <f t="shared" ref="L70" si="38">((+B70/A70)-(E70/D70))/(B70/A70)</f>
        <v>3.7059445947334187E-2</v>
      </c>
    </row>
    <row r="71" spans="1:12" ht="15" hidden="1" thickBot="1" x14ac:dyDescent="0.35">
      <c r="A71" s="983"/>
      <c r="B71" s="983"/>
      <c r="C71" s="983"/>
      <c r="D71" s="874"/>
      <c r="E71" s="874"/>
      <c r="F71" s="10" t="s">
        <v>1119</v>
      </c>
      <c r="G71" s="10">
        <v>90011</v>
      </c>
      <c r="H71" s="43"/>
      <c r="I71" s="42">
        <v>630</v>
      </c>
      <c r="J71" s="44">
        <v>29474.5</v>
      </c>
      <c r="K71" s="878"/>
      <c r="L71" s="880"/>
    </row>
    <row r="72" spans="1:12" ht="15" hidden="1" thickBot="1" x14ac:dyDescent="0.35">
      <c r="A72" s="207">
        <v>430</v>
      </c>
      <c r="B72" s="214">
        <v>20333.75</v>
      </c>
      <c r="C72" s="186" t="s">
        <v>1120</v>
      </c>
      <c r="D72" s="45">
        <f t="shared" ref="D72:E74" si="39">+I72</f>
        <v>430</v>
      </c>
      <c r="E72" s="45">
        <f t="shared" si="39"/>
        <v>19772</v>
      </c>
      <c r="F72" s="8" t="s">
        <v>1121</v>
      </c>
      <c r="G72" s="8">
        <v>90021</v>
      </c>
      <c r="H72" s="14"/>
      <c r="I72" s="45">
        <v>430</v>
      </c>
      <c r="J72" s="46">
        <v>19772</v>
      </c>
      <c r="K72" s="54">
        <f t="shared" ref="K72:K78" si="40">+A72-D72</f>
        <v>0</v>
      </c>
      <c r="L72" s="53">
        <f t="shared" ref="L72:L74" si="41">(+B72-E72)/B72</f>
        <v>2.7626483063871641E-2</v>
      </c>
    </row>
    <row r="73" spans="1:12" ht="15" hidden="1" thickBot="1" x14ac:dyDescent="0.35">
      <c r="A73" s="207">
        <v>535</v>
      </c>
      <c r="B73" s="214">
        <v>29365.75</v>
      </c>
      <c r="C73" s="186" t="s">
        <v>1122</v>
      </c>
      <c r="D73" s="45">
        <v>535</v>
      </c>
      <c r="E73" s="45">
        <v>27963.5</v>
      </c>
      <c r="F73" s="8" t="s">
        <v>1123</v>
      </c>
      <c r="G73" s="8">
        <v>90031</v>
      </c>
      <c r="H73" s="14"/>
      <c r="I73" s="45">
        <v>170</v>
      </c>
      <c r="J73" s="46">
        <v>8698.1</v>
      </c>
      <c r="K73" s="54">
        <f t="shared" si="40"/>
        <v>0</v>
      </c>
      <c r="L73" s="53">
        <f t="shared" si="41"/>
        <v>4.7751206762980683E-2</v>
      </c>
    </row>
    <row r="74" spans="1:12" ht="15" hidden="1" thickBot="1" x14ac:dyDescent="0.35">
      <c r="A74" s="178">
        <v>25</v>
      </c>
      <c r="B74" s="45">
        <v>1343.5</v>
      </c>
      <c r="C74" s="45" t="s">
        <v>1249</v>
      </c>
      <c r="D74" s="8">
        <f t="shared" si="39"/>
        <v>25</v>
      </c>
      <c r="E74" s="8">
        <f t="shared" si="39"/>
        <v>1228.7</v>
      </c>
      <c r="F74" s="8" t="s">
        <v>1250</v>
      </c>
      <c r="G74" s="8">
        <v>90311</v>
      </c>
      <c r="H74" s="14"/>
      <c r="I74" s="45">
        <v>25</v>
      </c>
      <c r="J74" s="46">
        <v>1228.7</v>
      </c>
      <c r="K74" s="54">
        <f t="shared" si="40"/>
        <v>0</v>
      </c>
      <c r="L74" s="53">
        <f t="shared" si="41"/>
        <v>8.5448455526609568E-2</v>
      </c>
    </row>
    <row r="75" spans="1:12" ht="15" hidden="1" thickBot="1" x14ac:dyDescent="0.35">
      <c r="A75" s="178">
        <v>800</v>
      </c>
      <c r="B75" s="45">
        <v>36763.25</v>
      </c>
      <c r="C75" s="45" t="s">
        <v>1251</v>
      </c>
      <c r="D75" s="45">
        <v>799</v>
      </c>
      <c r="E75" s="45">
        <v>35445.1</v>
      </c>
      <c r="F75" s="8" t="s">
        <v>1252</v>
      </c>
      <c r="G75" s="8">
        <v>90381</v>
      </c>
      <c r="H75" s="14"/>
      <c r="I75" s="45">
        <v>200</v>
      </c>
      <c r="J75" s="46">
        <v>9170</v>
      </c>
      <c r="K75" s="54">
        <f t="shared" si="40"/>
        <v>1</v>
      </c>
      <c r="L75" s="31">
        <f t="shared" ref="L75:L76" si="42">((+B75/A75)-(E75/D75))/(B75/A75)</f>
        <v>3.4648410374923153E-2</v>
      </c>
    </row>
    <row r="76" spans="1:12" ht="15" hidden="1" thickBot="1" x14ac:dyDescent="0.35">
      <c r="A76" s="178">
        <v>1052</v>
      </c>
      <c r="B76" s="45">
        <v>48424.25</v>
      </c>
      <c r="C76" s="45" t="s">
        <v>1307</v>
      </c>
      <c r="D76" s="45">
        <v>1051</v>
      </c>
      <c r="E76" s="45">
        <v>46394.8</v>
      </c>
      <c r="F76" s="45" t="s">
        <v>1127</v>
      </c>
      <c r="G76" s="45">
        <v>90391</v>
      </c>
      <c r="H76" s="14"/>
      <c r="I76" s="45">
        <v>163</v>
      </c>
      <c r="J76" s="46">
        <v>7392.1</v>
      </c>
      <c r="K76" s="54">
        <f t="shared" si="40"/>
        <v>1</v>
      </c>
      <c r="L76" s="31">
        <f t="shared" si="42"/>
        <v>4.0998188254898774E-2</v>
      </c>
    </row>
    <row r="77" spans="1:12" ht="15" hidden="1" thickBot="1" x14ac:dyDescent="0.35">
      <c r="A77" s="178">
        <v>363</v>
      </c>
      <c r="B77" s="45">
        <v>18954</v>
      </c>
      <c r="C77" s="45" t="s">
        <v>1308</v>
      </c>
      <c r="D77" s="45">
        <f>+I77</f>
        <v>363</v>
      </c>
      <c r="E77" s="45">
        <f>+J77</f>
        <v>17729.5</v>
      </c>
      <c r="F77" s="45" t="s">
        <v>1309</v>
      </c>
      <c r="G77" s="45">
        <v>90901</v>
      </c>
      <c r="H77" s="14"/>
      <c r="I77" s="45">
        <v>363</v>
      </c>
      <c r="J77" s="46">
        <v>17729.5</v>
      </c>
      <c r="K77" s="54">
        <f t="shared" si="40"/>
        <v>0</v>
      </c>
      <c r="L77" s="53">
        <f t="shared" ref="L77" si="43">(+B77-E77)/B77</f>
        <v>6.4603777566740531E-2</v>
      </c>
    </row>
    <row r="78" spans="1:12" hidden="1" x14ac:dyDescent="0.3">
      <c r="A78" s="873">
        <v>204</v>
      </c>
      <c r="B78" s="873">
        <v>10083.5</v>
      </c>
      <c r="C78" s="873" t="s">
        <v>1433</v>
      </c>
      <c r="D78" s="873">
        <f>+I78+I79</f>
        <v>204</v>
      </c>
      <c r="E78" s="873">
        <f>+J78+J79</f>
        <v>9960</v>
      </c>
      <c r="F78" s="39" t="s">
        <v>1434</v>
      </c>
      <c r="G78" s="39">
        <v>91021</v>
      </c>
      <c r="H78" s="40"/>
      <c r="I78" s="39">
        <v>48</v>
      </c>
      <c r="J78" s="41">
        <v>2360.4</v>
      </c>
      <c r="K78" s="877">
        <f t="shared" si="40"/>
        <v>0</v>
      </c>
      <c r="L78" s="879">
        <f>(+B78-E78)/B78</f>
        <v>1.2247731442455497E-2</v>
      </c>
    </row>
    <row r="79" spans="1:12" ht="15" hidden="1" thickBot="1" x14ac:dyDescent="0.35">
      <c r="A79" s="874"/>
      <c r="B79" s="874"/>
      <c r="C79" s="874"/>
      <c r="D79" s="874"/>
      <c r="E79" s="874"/>
      <c r="F79" s="42" t="s">
        <v>1434</v>
      </c>
      <c r="G79" s="42">
        <v>91021</v>
      </c>
      <c r="H79" s="43"/>
      <c r="I79" s="42">
        <v>156</v>
      </c>
      <c r="J79" s="44">
        <v>7599.6</v>
      </c>
      <c r="K79" s="878"/>
      <c r="L79" s="880"/>
    </row>
    <row r="80" spans="1:12" ht="15" hidden="1" thickBot="1" x14ac:dyDescent="0.35">
      <c r="A80" s="178">
        <v>630</v>
      </c>
      <c r="B80" s="45">
        <v>28016</v>
      </c>
      <c r="C80" s="45" t="s">
        <v>1435</v>
      </c>
      <c r="D80" s="45">
        <f t="shared" ref="D80:E81" si="44">+I80</f>
        <v>632</v>
      </c>
      <c r="E80" s="45">
        <f t="shared" si="44"/>
        <v>26826.800000000003</v>
      </c>
      <c r="F80" s="45" t="s">
        <v>1436</v>
      </c>
      <c r="G80" s="45">
        <v>91061</v>
      </c>
      <c r="H80" s="14"/>
      <c r="I80" s="45">
        <v>632</v>
      </c>
      <c r="J80" s="46">
        <v>26826.800000000003</v>
      </c>
      <c r="K80" s="54">
        <f t="shared" ref="K80:K91" si="45">+A80-D80</f>
        <v>-2</v>
      </c>
      <c r="L80" s="31">
        <f t="shared" ref="L80" si="46">((+B80/A80)-(E80/D80))/(B80/A80)</f>
        <v>4.5477403509025446E-2</v>
      </c>
    </row>
    <row r="81" spans="1:12" ht="15" hidden="1" thickBot="1" x14ac:dyDescent="0.35">
      <c r="A81" s="207">
        <v>420</v>
      </c>
      <c r="B81" s="45">
        <v>19979</v>
      </c>
      <c r="C81" s="45" t="s">
        <v>1437</v>
      </c>
      <c r="D81" s="45">
        <f t="shared" si="44"/>
        <v>420</v>
      </c>
      <c r="E81" s="45">
        <f t="shared" si="44"/>
        <v>19620.7</v>
      </c>
      <c r="F81" s="45" t="s">
        <v>1438</v>
      </c>
      <c r="G81" s="45">
        <v>91171</v>
      </c>
      <c r="H81" s="14"/>
      <c r="I81" s="45">
        <v>420</v>
      </c>
      <c r="J81" s="46">
        <v>19620.7</v>
      </c>
      <c r="K81" s="54">
        <f t="shared" si="45"/>
        <v>0</v>
      </c>
      <c r="L81" s="53">
        <f t="shared" ref="L81:L84" si="47">(+B81-E81)/B81</f>
        <v>1.7933830522048114E-2</v>
      </c>
    </row>
    <row r="82" spans="1:12" hidden="1" x14ac:dyDescent="0.3">
      <c r="A82" s="871">
        <v>714</v>
      </c>
      <c r="B82" s="873">
        <v>32274.75</v>
      </c>
      <c r="C82" s="873" t="s">
        <v>1512</v>
      </c>
      <c r="D82" s="873">
        <f>+I82+I83</f>
        <v>714</v>
      </c>
      <c r="E82" s="873">
        <f>+J82+J83</f>
        <v>30556.799999999999</v>
      </c>
      <c r="F82" s="12" t="s">
        <v>1513</v>
      </c>
      <c r="G82" s="12">
        <v>91241</v>
      </c>
      <c r="H82" s="38"/>
      <c r="I82" s="12">
        <v>468</v>
      </c>
      <c r="J82" s="41">
        <v>20279.5</v>
      </c>
      <c r="K82" s="882">
        <f t="shared" si="45"/>
        <v>0</v>
      </c>
      <c r="L82" s="879">
        <f t="shared" si="47"/>
        <v>5.3228917342504609E-2</v>
      </c>
    </row>
    <row r="83" spans="1:12" ht="15" hidden="1" thickBot="1" x14ac:dyDescent="0.35">
      <c r="A83" s="872"/>
      <c r="B83" s="874"/>
      <c r="C83" s="874"/>
      <c r="D83" s="874"/>
      <c r="E83" s="874"/>
      <c r="F83" s="10" t="s">
        <v>1513</v>
      </c>
      <c r="G83" s="10">
        <v>91241</v>
      </c>
      <c r="H83" s="82"/>
      <c r="I83" s="10">
        <v>246</v>
      </c>
      <c r="J83" s="44">
        <v>10277.299999999999</v>
      </c>
      <c r="K83" s="884"/>
      <c r="L83" s="880"/>
    </row>
    <row r="84" spans="1:12" ht="15" hidden="1" thickBot="1" x14ac:dyDescent="0.35">
      <c r="A84" s="178">
        <v>173</v>
      </c>
      <c r="B84" s="45">
        <v>8479.75</v>
      </c>
      <c r="C84" s="45" t="s">
        <v>1514</v>
      </c>
      <c r="D84" s="45">
        <f>+I84</f>
        <v>173</v>
      </c>
      <c r="E84" s="45">
        <f>+J84</f>
        <v>8041</v>
      </c>
      <c r="F84" s="8" t="s">
        <v>1515</v>
      </c>
      <c r="G84" s="8">
        <v>91311</v>
      </c>
      <c r="H84" s="14"/>
      <c r="I84" s="45">
        <v>173</v>
      </c>
      <c r="J84" s="46">
        <v>8041</v>
      </c>
      <c r="K84" s="54">
        <f t="shared" si="45"/>
        <v>0</v>
      </c>
      <c r="L84" s="53">
        <f t="shared" si="47"/>
        <v>5.1740912173118311E-2</v>
      </c>
    </row>
    <row r="85" spans="1:12" hidden="1" x14ac:dyDescent="0.3">
      <c r="A85" s="871">
        <v>396</v>
      </c>
      <c r="B85" s="873">
        <v>17183.75</v>
      </c>
      <c r="C85" s="873" t="s">
        <v>1516</v>
      </c>
      <c r="D85" s="873">
        <f>+I85+I86</f>
        <v>395</v>
      </c>
      <c r="E85" s="873">
        <f>+J85+J86</f>
        <v>16678.199999999997</v>
      </c>
      <c r="F85" s="12" t="s">
        <v>1696</v>
      </c>
      <c r="G85" s="12">
        <v>91371</v>
      </c>
      <c r="H85" s="40"/>
      <c r="I85" s="39">
        <v>200</v>
      </c>
      <c r="J85" s="41">
        <v>8431.7999999999993</v>
      </c>
      <c r="K85" s="882">
        <f t="shared" si="45"/>
        <v>1</v>
      </c>
      <c r="L85" s="879">
        <f t="shared" ref="L85" si="48">((+B85/A85)-(E85/D85))/(B85/A85)</f>
        <v>2.696307318604858E-2</v>
      </c>
    </row>
    <row r="86" spans="1:12" ht="15" hidden="1" thickBot="1" x14ac:dyDescent="0.35">
      <c r="A86" s="872"/>
      <c r="B86" s="874"/>
      <c r="C86" s="874"/>
      <c r="D86" s="874"/>
      <c r="E86" s="874"/>
      <c r="F86" s="10" t="s">
        <v>1696</v>
      </c>
      <c r="G86" s="10">
        <v>91371</v>
      </c>
      <c r="H86" s="43"/>
      <c r="I86" s="42">
        <v>195</v>
      </c>
      <c r="J86" s="44">
        <v>8246.4</v>
      </c>
      <c r="K86" s="884"/>
      <c r="L86" s="880"/>
    </row>
    <row r="87" spans="1:12" ht="15" hidden="1" thickBot="1" x14ac:dyDescent="0.35">
      <c r="A87" s="175">
        <v>36</v>
      </c>
      <c r="B87" s="8">
        <v>1541.75</v>
      </c>
      <c r="C87" s="8" t="s">
        <v>1517</v>
      </c>
      <c r="D87" s="8">
        <f t="shared" ref="D87:E90" si="49">+I87</f>
        <v>36</v>
      </c>
      <c r="E87" s="8">
        <f t="shared" si="49"/>
        <v>1509.6</v>
      </c>
      <c r="F87" s="8" t="s">
        <v>1518</v>
      </c>
      <c r="G87" s="8">
        <v>91431</v>
      </c>
      <c r="H87" s="14"/>
      <c r="I87" s="45">
        <v>36</v>
      </c>
      <c r="J87" s="46">
        <v>1509.6</v>
      </c>
      <c r="K87" s="54">
        <f t="shared" si="45"/>
        <v>0</v>
      </c>
      <c r="L87" s="53">
        <f t="shared" ref="L87:L90" si="50">(+B87-E87)/B87</f>
        <v>2.0852926868817959E-2</v>
      </c>
    </row>
    <row r="88" spans="1:12" ht="15" hidden="1" thickBot="1" x14ac:dyDescent="0.35">
      <c r="A88" s="175">
        <v>300</v>
      </c>
      <c r="B88" s="8">
        <v>15067.25</v>
      </c>
      <c r="C88" s="8" t="s">
        <v>1519</v>
      </c>
      <c r="D88" s="8">
        <f t="shared" si="49"/>
        <v>300</v>
      </c>
      <c r="E88" s="8">
        <f t="shared" si="49"/>
        <v>14574.9</v>
      </c>
      <c r="F88" s="8" t="s">
        <v>1520</v>
      </c>
      <c r="G88" s="8">
        <v>91441</v>
      </c>
      <c r="H88" s="14"/>
      <c r="I88" s="45">
        <v>300</v>
      </c>
      <c r="J88" s="46">
        <v>14574.9</v>
      </c>
      <c r="K88" s="54">
        <f t="shared" si="45"/>
        <v>0</v>
      </c>
      <c r="L88" s="53">
        <f t="shared" si="50"/>
        <v>3.2676832202293074E-2</v>
      </c>
    </row>
    <row r="89" spans="1:12" ht="15" hidden="1" thickBot="1" x14ac:dyDescent="0.35">
      <c r="A89" s="178">
        <v>270</v>
      </c>
      <c r="B89" s="45">
        <v>12146.25</v>
      </c>
      <c r="C89" s="45" t="s">
        <v>1521</v>
      </c>
      <c r="D89" s="45">
        <f t="shared" si="49"/>
        <v>269</v>
      </c>
      <c r="E89" s="45">
        <f t="shared" si="49"/>
        <v>11646.8</v>
      </c>
      <c r="F89" s="45" t="s">
        <v>1522</v>
      </c>
      <c r="G89" s="45">
        <v>91611</v>
      </c>
      <c r="H89" s="14"/>
      <c r="I89" s="45">
        <v>269</v>
      </c>
      <c r="J89" s="46">
        <v>11646.8</v>
      </c>
      <c r="K89" s="54">
        <f t="shared" si="45"/>
        <v>1</v>
      </c>
      <c r="L89" s="31">
        <f t="shared" ref="L89" si="51">((+B89/A89)-(E89/D89))/(B89/A89)</f>
        <v>3.7555076317786047E-2</v>
      </c>
    </row>
    <row r="90" spans="1:12" ht="15" hidden="1" thickBot="1" x14ac:dyDescent="0.35">
      <c r="A90" s="177">
        <v>648</v>
      </c>
      <c r="B90" s="39">
        <v>32668.25</v>
      </c>
      <c r="C90" s="39" t="s">
        <v>1606</v>
      </c>
      <c r="D90" s="39">
        <f t="shared" si="49"/>
        <v>648</v>
      </c>
      <c r="E90" s="39">
        <f t="shared" si="49"/>
        <v>31491.9</v>
      </c>
      <c r="F90" s="39" t="s">
        <v>1607</v>
      </c>
      <c r="G90" s="39">
        <v>91622</v>
      </c>
      <c r="H90" s="40"/>
      <c r="I90" s="39">
        <v>648</v>
      </c>
      <c r="J90" s="41">
        <v>31491.9</v>
      </c>
      <c r="K90" s="54">
        <f t="shared" si="45"/>
        <v>0</v>
      </c>
      <c r="L90" s="53">
        <f t="shared" si="50"/>
        <v>3.6008968953035396E-2</v>
      </c>
    </row>
    <row r="91" spans="1:12" hidden="1" x14ac:dyDescent="0.3">
      <c r="A91" s="873">
        <v>1763</v>
      </c>
      <c r="B91" s="873">
        <v>85616</v>
      </c>
      <c r="C91" s="873" t="s">
        <v>1608</v>
      </c>
      <c r="D91" s="873">
        <f>+I91+I92+I93</f>
        <v>1763</v>
      </c>
      <c r="E91" s="873">
        <f>+J91+J92+J93</f>
        <v>80967.899999999994</v>
      </c>
      <c r="F91" s="39" t="s">
        <v>1609</v>
      </c>
      <c r="G91" s="39">
        <v>91661</v>
      </c>
      <c r="H91" s="40"/>
      <c r="I91" s="39">
        <v>309</v>
      </c>
      <c r="J91" s="41">
        <v>13797.1</v>
      </c>
      <c r="K91" s="877">
        <f t="shared" si="45"/>
        <v>0</v>
      </c>
      <c r="L91" s="879">
        <f>(+B91-E91)/B91</f>
        <v>5.4290085965240209E-2</v>
      </c>
    </row>
    <row r="92" spans="1:12" ht="15" hidden="1" thickBot="1" x14ac:dyDescent="0.35">
      <c r="A92" s="881"/>
      <c r="B92" s="881"/>
      <c r="C92" s="881"/>
      <c r="D92" s="881"/>
      <c r="E92" s="881"/>
      <c r="F92" s="50" t="s">
        <v>1609</v>
      </c>
      <c r="G92" s="50">
        <v>91661</v>
      </c>
      <c r="I92" s="50">
        <v>619</v>
      </c>
      <c r="J92" s="51">
        <v>28502.3</v>
      </c>
      <c r="K92" s="886"/>
      <c r="L92" s="885"/>
    </row>
    <row r="93" spans="1:12" ht="15" hidden="1" thickBot="1" x14ac:dyDescent="0.35">
      <c r="A93" s="874"/>
      <c r="B93" s="874"/>
      <c r="C93" s="874"/>
      <c r="D93" s="874"/>
      <c r="E93" s="874"/>
      <c r="F93" s="42" t="s">
        <v>1609</v>
      </c>
      <c r="G93" s="42">
        <v>91661</v>
      </c>
      <c r="H93" s="43"/>
      <c r="I93" s="42">
        <v>835</v>
      </c>
      <c r="J93" s="44">
        <v>38668.5</v>
      </c>
      <c r="K93" s="878"/>
      <c r="L93" s="880"/>
    </row>
    <row r="94" spans="1:12" ht="15" hidden="1" thickBot="1" x14ac:dyDescent="0.35">
      <c r="A94" s="175">
        <v>410</v>
      </c>
      <c r="B94" s="8">
        <v>18256</v>
      </c>
      <c r="C94" s="8" t="s">
        <v>1610</v>
      </c>
      <c r="D94" s="8">
        <v>411</v>
      </c>
      <c r="E94" s="8">
        <v>17749.7</v>
      </c>
      <c r="F94" s="45" t="s">
        <v>1611</v>
      </c>
      <c r="G94" s="45">
        <v>91781</v>
      </c>
      <c r="H94" s="14"/>
      <c r="I94" s="45">
        <v>314</v>
      </c>
      <c r="J94" s="46">
        <v>13363.7</v>
      </c>
      <c r="K94" s="54">
        <f t="shared" ref="K94:K97" si="52">+A94-D94</f>
        <v>-1</v>
      </c>
      <c r="L94" s="31">
        <f t="shared" ref="L94" si="53">((+B94/A94)-(E94/D94))/(B94/A94)</f>
        <v>3.0098960232518825E-2</v>
      </c>
    </row>
    <row r="95" spans="1:12" ht="15" hidden="1" thickBot="1" x14ac:dyDescent="0.35">
      <c r="A95" s="175">
        <v>149</v>
      </c>
      <c r="B95" s="8">
        <v>6648.75</v>
      </c>
      <c r="C95" s="8" t="s">
        <v>1612</v>
      </c>
      <c r="D95" s="8">
        <f t="shared" ref="D95:E95" si="54">+I95</f>
        <v>149</v>
      </c>
      <c r="E95" s="8">
        <f t="shared" si="54"/>
        <v>6367.6</v>
      </c>
      <c r="F95" s="45" t="s">
        <v>1613</v>
      </c>
      <c r="G95" s="45">
        <v>91791</v>
      </c>
      <c r="H95" s="14"/>
      <c r="I95" s="45">
        <v>149</v>
      </c>
      <c r="J95" s="46">
        <v>6367.6</v>
      </c>
      <c r="K95" s="54">
        <f t="shared" si="52"/>
        <v>0</v>
      </c>
      <c r="L95" s="53">
        <f t="shared" ref="L95" si="55">(+B95-E95)/B95</f>
        <v>4.2286144012032283E-2</v>
      </c>
    </row>
    <row r="96" spans="1:12" ht="15" hidden="1" thickBot="1" x14ac:dyDescent="0.35">
      <c r="A96" s="175">
        <v>622</v>
      </c>
      <c r="B96" s="8">
        <v>27952</v>
      </c>
      <c r="C96" s="8" t="s">
        <v>1614</v>
      </c>
      <c r="D96" s="8">
        <v>621</v>
      </c>
      <c r="E96" s="8">
        <v>26628.400000000001</v>
      </c>
      <c r="F96" s="45" t="s">
        <v>1615</v>
      </c>
      <c r="G96" s="45">
        <v>91801</v>
      </c>
      <c r="H96" s="14"/>
      <c r="I96" s="45">
        <v>317</v>
      </c>
      <c r="J96" s="46">
        <v>13657.400000000001</v>
      </c>
      <c r="K96" s="54">
        <f t="shared" si="52"/>
        <v>1</v>
      </c>
      <c r="L96" s="31">
        <f t="shared" ref="L96" si="56">((+B96/A96)-(E96/D96))/(B96/A96)</f>
        <v>4.5818550687767516E-2</v>
      </c>
    </row>
    <row r="97" spans="1:12" hidden="1" x14ac:dyDescent="0.3">
      <c r="A97" s="871">
        <v>678</v>
      </c>
      <c r="B97" s="873">
        <v>31675.5</v>
      </c>
      <c r="C97" s="873" t="s">
        <v>1697</v>
      </c>
      <c r="D97" s="873">
        <v>678</v>
      </c>
      <c r="E97" s="873">
        <v>30455</v>
      </c>
      <c r="F97" s="39" t="s">
        <v>1698</v>
      </c>
      <c r="G97" s="39">
        <v>91881</v>
      </c>
      <c r="H97" s="40"/>
      <c r="I97" s="39">
        <v>390</v>
      </c>
      <c r="J97" s="41">
        <v>17755.099999999999</v>
      </c>
      <c r="K97" s="882">
        <f t="shared" si="52"/>
        <v>0</v>
      </c>
      <c r="L97" s="879">
        <f t="shared" ref="L97" si="57">(+B97-E97)/B97</f>
        <v>3.8531357042509193E-2</v>
      </c>
    </row>
    <row r="98" spans="1:12" ht="15" hidden="1" thickBot="1" x14ac:dyDescent="0.35">
      <c r="A98" s="872"/>
      <c r="B98" s="874"/>
      <c r="C98" s="874"/>
      <c r="D98" s="874"/>
      <c r="E98" s="874"/>
      <c r="F98" s="42" t="s">
        <v>1698</v>
      </c>
      <c r="G98" s="42">
        <v>91881</v>
      </c>
      <c r="H98" s="43"/>
      <c r="I98" s="42">
        <v>88</v>
      </c>
      <c r="J98" s="44">
        <v>3814.9</v>
      </c>
      <c r="K98" s="884"/>
      <c r="L98" s="880"/>
    </row>
    <row r="99" spans="1:12" ht="15" hidden="1" thickBot="1" x14ac:dyDescent="0.35">
      <c r="A99" s="175">
        <v>282</v>
      </c>
      <c r="B99" s="8">
        <v>12882.25</v>
      </c>
      <c r="C99" s="8" t="s">
        <v>1699</v>
      </c>
      <c r="D99" s="8">
        <f>+I99</f>
        <v>282</v>
      </c>
      <c r="E99" s="8">
        <f>+J99</f>
        <v>12290.3</v>
      </c>
      <c r="F99" s="45" t="s">
        <v>1700</v>
      </c>
      <c r="G99" s="45">
        <v>91931</v>
      </c>
      <c r="H99" s="14"/>
      <c r="I99" s="45">
        <v>282</v>
      </c>
      <c r="J99" s="46">
        <v>12290.3</v>
      </c>
      <c r="K99" s="54">
        <f t="shared" ref="K99:K107" si="58">+A99-D99</f>
        <v>0</v>
      </c>
      <c r="L99" s="53">
        <f t="shared" ref="L99" si="59">(+B99-E99)/B99</f>
        <v>4.5950823807952859E-2</v>
      </c>
    </row>
    <row r="100" spans="1:12" ht="15" hidden="1" thickBot="1" x14ac:dyDescent="0.35">
      <c r="A100" s="178">
        <v>802</v>
      </c>
      <c r="B100" s="45">
        <v>39218.75</v>
      </c>
      <c r="C100" s="45" t="s">
        <v>1874</v>
      </c>
      <c r="D100" s="45">
        <f t="shared" ref="D100:E100" si="60">+I100</f>
        <v>799</v>
      </c>
      <c r="E100" s="45">
        <f t="shared" si="60"/>
        <v>37725.800000000003</v>
      </c>
      <c r="F100" s="45" t="s">
        <v>1875</v>
      </c>
      <c r="G100" s="45">
        <v>91951</v>
      </c>
      <c r="H100" s="14"/>
      <c r="I100" s="45">
        <v>799</v>
      </c>
      <c r="J100" s="46">
        <v>37725.800000000003</v>
      </c>
      <c r="K100" s="54">
        <f t="shared" si="58"/>
        <v>3</v>
      </c>
      <c r="L100" s="31">
        <f t="shared" ref="L100:L101" si="61">((+B100/A100)-(E100/D100))/(B100/A100)</f>
        <v>3.4455488484111001E-2</v>
      </c>
    </row>
    <row r="101" spans="1:12" ht="15" hidden="1" thickBot="1" x14ac:dyDescent="0.35">
      <c r="A101" s="178">
        <v>1189</v>
      </c>
      <c r="B101" s="45">
        <v>57417</v>
      </c>
      <c r="C101" s="45" t="s">
        <v>1876</v>
      </c>
      <c r="D101" s="45">
        <v>1190</v>
      </c>
      <c r="E101" s="45">
        <v>54551.7</v>
      </c>
      <c r="F101" s="45" t="s">
        <v>1877</v>
      </c>
      <c r="G101" s="45">
        <v>91961</v>
      </c>
      <c r="H101" s="14"/>
      <c r="I101" s="45">
        <v>398</v>
      </c>
      <c r="J101" s="45">
        <v>18491</v>
      </c>
      <c r="K101" s="54">
        <f t="shared" si="58"/>
        <v>-1</v>
      </c>
      <c r="L101" s="31">
        <f t="shared" si="61"/>
        <v>5.0701739288118372E-2</v>
      </c>
    </row>
    <row r="102" spans="1:12" ht="15" hidden="1" thickBot="1" x14ac:dyDescent="0.35">
      <c r="A102" s="178">
        <v>288</v>
      </c>
      <c r="B102" s="45">
        <v>13915.25</v>
      </c>
      <c r="C102" s="45" t="s">
        <v>1969</v>
      </c>
      <c r="D102" s="45">
        <f t="shared" ref="D102:E104" si="62">+I102</f>
        <v>288</v>
      </c>
      <c r="E102" s="45">
        <f t="shared" si="62"/>
        <v>13241.6</v>
      </c>
      <c r="F102" s="45" t="s">
        <v>1970</v>
      </c>
      <c r="G102" s="45">
        <v>92741</v>
      </c>
      <c r="H102" s="14"/>
      <c r="I102" s="45">
        <v>288</v>
      </c>
      <c r="J102" s="46">
        <v>13241.6</v>
      </c>
      <c r="K102" s="54">
        <f t="shared" si="58"/>
        <v>0</v>
      </c>
      <c r="L102" s="53">
        <f t="shared" ref="L102:L105" si="63">(+B102-E102)/B102</f>
        <v>4.8410916081277712E-2</v>
      </c>
    </row>
    <row r="103" spans="1:12" ht="15" hidden="1" thickBot="1" x14ac:dyDescent="0.35">
      <c r="A103" s="178">
        <v>121</v>
      </c>
      <c r="B103" s="45">
        <v>4686.25</v>
      </c>
      <c r="C103" s="45" t="s">
        <v>1971</v>
      </c>
      <c r="D103" s="45">
        <f t="shared" si="62"/>
        <v>121</v>
      </c>
      <c r="E103" s="45">
        <f t="shared" si="62"/>
        <v>4722.6000000000004</v>
      </c>
      <c r="F103" s="45" t="s">
        <v>1972</v>
      </c>
      <c r="G103" s="45">
        <v>92831</v>
      </c>
      <c r="H103" s="14"/>
      <c r="I103" s="45">
        <v>121</v>
      </c>
      <c r="J103" s="46">
        <v>4722.6000000000004</v>
      </c>
      <c r="K103" s="54">
        <f t="shared" si="58"/>
        <v>0</v>
      </c>
      <c r="L103" s="53">
        <f t="shared" si="63"/>
        <v>-7.7567351293679095E-3</v>
      </c>
    </row>
    <row r="104" spans="1:12" ht="15" hidden="1" thickBot="1" x14ac:dyDescent="0.35">
      <c r="A104" s="178">
        <v>250</v>
      </c>
      <c r="B104" s="45">
        <v>11015.75</v>
      </c>
      <c r="C104" s="45" t="s">
        <v>1973</v>
      </c>
      <c r="D104" s="45">
        <f t="shared" si="62"/>
        <v>244</v>
      </c>
      <c r="E104" s="45">
        <f t="shared" si="62"/>
        <v>10373.700000000001</v>
      </c>
      <c r="F104" s="45" t="s">
        <v>1974</v>
      </c>
      <c r="G104" s="45">
        <v>93011</v>
      </c>
      <c r="H104" s="14"/>
      <c r="I104" s="45">
        <v>244</v>
      </c>
      <c r="J104" s="46">
        <v>10373.700000000001</v>
      </c>
      <c r="K104" s="54">
        <f t="shared" si="58"/>
        <v>6</v>
      </c>
      <c r="L104" s="31">
        <f t="shared" ref="L104" si="64">((+B104/A104)-(E104/D104))/(B104/A104)</f>
        <v>3.5127795782714945E-2</v>
      </c>
    </row>
    <row r="105" spans="1:12" hidden="1" x14ac:dyDescent="0.3">
      <c r="A105" s="871">
        <v>1052</v>
      </c>
      <c r="B105" s="873">
        <v>46722.5</v>
      </c>
      <c r="C105" s="873" t="s">
        <v>2019</v>
      </c>
      <c r="D105" s="873">
        <f>+I105+I106</f>
        <v>1052</v>
      </c>
      <c r="E105" s="873">
        <f>+J105+J106</f>
        <v>44764.899999999994</v>
      </c>
      <c r="F105" s="39" t="s">
        <v>2020</v>
      </c>
      <c r="G105" s="39">
        <v>9308</v>
      </c>
      <c r="H105" s="40"/>
      <c r="I105" s="39">
        <v>571</v>
      </c>
      <c r="J105" s="41">
        <v>24362.1</v>
      </c>
      <c r="K105" s="877">
        <f t="shared" si="58"/>
        <v>0</v>
      </c>
      <c r="L105" s="879">
        <f t="shared" si="63"/>
        <v>4.1898442934346532E-2</v>
      </c>
    </row>
    <row r="106" spans="1:12" ht="15" hidden="1" thickBot="1" x14ac:dyDescent="0.35">
      <c r="A106" s="875"/>
      <c r="B106" s="881"/>
      <c r="C106" s="881"/>
      <c r="D106" s="881"/>
      <c r="E106" s="881"/>
      <c r="F106" s="50" t="s">
        <v>2020</v>
      </c>
      <c r="G106" s="50">
        <v>9308</v>
      </c>
      <c r="I106" s="50">
        <v>481</v>
      </c>
      <c r="J106" s="51">
        <v>20402.8</v>
      </c>
      <c r="K106" s="878"/>
      <c r="L106" s="880"/>
    </row>
    <row r="107" spans="1:12" hidden="1" x14ac:dyDescent="0.3">
      <c r="A107" s="871">
        <v>889</v>
      </c>
      <c r="B107" s="873">
        <v>44199.75</v>
      </c>
      <c r="C107" s="873" t="s">
        <v>2021</v>
      </c>
      <c r="D107" s="873">
        <v>889</v>
      </c>
      <c r="E107" s="873">
        <v>43021.599999999999</v>
      </c>
      <c r="F107" s="39" t="s">
        <v>2022</v>
      </c>
      <c r="G107" s="39">
        <v>93161</v>
      </c>
      <c r="H107" s="40"/>
      <c r="I107" s="39">
        <v>200</v>
      </c>
      <c r="J107" s="41">
        <v>9558</v>
      </c>
      <c r="K107" s="877">
        <f t="shared" si="58"/>
        <v>0</v>
      </c>
      <c r="L107" s="879">
        <f>(+B107-E107)/B107</f>
        <v>2.6655128139865078E-2</v>
      </c>
    </row>
    <row r="108" spans="1:12" hidden="1" x14ac:dyDescent="0.3">
      <c r="A108" s="875"/>
      <c r="B108" s="881"/>
      <c r="C108" s="881"/>
      <c r="D108" s="881"/>
      <c r="E108" s="881"/>
      <c r="F108" s="50" t="s">
        <v>2022</v>
      </c>
      <c r="G108" s="50">
        <v>93161</v>
      </c>
      <c r="I108" s="50">
        <v>200</v>
      </c>
      <c r="J108" s="51">
        <v>9695.4000000000015</v>
      </c>
      <c r="K108" s="886"/>
      <c r="L108" s="885"/>
    </row>
    <row r="109" spans="1:12" ht="15" hidden="1" thickBot="1" x14ac:dyDescent="0.35">
      <c r="A109" s="872"/>
      <c r="B109" s="874"/>
      <c r="C109" s="874"/>
      <c r="D109" s="874"/>
      <c r="E109" s="874"/>
      <c r="F109" s="42" t="s">
        <v>2022</v>
      </c>
      <c r="G109" s="42">
        <v>93161</v>
      </c>
      <c r="H109" s="43"/>
      <c r="I109" s="42">
        <v>222</v>
      </c>
      <c r="J109" s="44">
        <v>10696</v>
      </c>
      <c r="K109" s="878"/>
      <c r="L109" s="880"/>
    </row>
    <row r="110" spans="1:12" hidden="1" x14ac:dyDescent="0.3">
      <c r="A110" s="871">
        <v>401</v>
      </c>
      <c r="B110" s="873">
        <v>17781.5</v>
      </c>
      <c r="C110" s="873" t="s">
        <v>2060</v>
      </c>
      <c r="D110" s="873">
        <f>+I110+I111</f>
        <v>401</v>
      </c>
      <c r="E110" s="873">
        <f>+J110+J111</f>
        <v>17019.5</v>
      </c>
      <c r="F110" s="39" t="s">
        <v>2061</v>
      </c>
      <c r="G110" s="39">
        <v>93281</v>
      </c>
      <c r="H110" s="40"/>
      <c r="I110" s="39">
        <v>133</v>
      </c>
      <c r="J110" s="41">
        <v>5779.5</v>
      </c>
      <c r="K110" s="877">
        <f t="shared" ref="K110" si="65">+A110-D110</f>
        <v>0</v>
      </c>
      <c r="L110" s="879">
        <f t="shared" ref="L110" si="66">(+B110-E110)/B110</f>
        <v>4.2853527542670751E-2</v>
      </c>
    </row>
    <row r="111" spans="1:12" ht="15" hidden="1" thickBot="1" x14ac:dyDescent="0.35">
      <c r="A111" s="872"/>
      <c r="B111" s="874"/>
      <c r="C111" s="874"/>
      <c r="D111" s="874"/>
      <c r="E111" s="874"/>
      <c r="F111" s="42" t="s">
        <v>2061</v>
      </c>
      <c r="G111" s="42">
        <v>93281</v>
      </c>
      <c r="H111" s="43"/>
      <c r="I111" s="42">
        <v>268</v>
      </c>
      <c r="J111" s="44">
        <v>11240</v>
      </c>
      <c r="K111" s="878"/>
      <c r="L111" s="880"/>
    </row>
    <row r="112" spans="1:12" ht="15" thickBot="1" x14ac:dyDescent="0.35">
      <c r="A112" s="175">
        <v>624</v>
      </c>
      <c r="B112" s="8">
        <v>27455.25</v>
      </c>
      <c r="C112" s="8" t="s">
        <v>2142</v>
      </c>
      <c r="D112" s="8">
        <f t="shared" ref="D112:E114" si="67">+I112</f>
        <v>624</v>
      </c>
      <c r="E112" s="8">
        <f t="shared" si="67"/>
        <v>25905.9</v>
      </c>
      <c r="F112" s="45" t="s">
        <v>2143</v>
      </c>
      <c r="G112" s="45">
        <v>93421</v>
      </c>
      <c r="H112" s="14"/>
      <c r="I112" s="45">
        <v>624</v>
      </c>
      <c r="J112" s="46">
        <v>25905.9</v>
      </c>
      <c r="K112" s="54">
        <f t="shared" ref="K112:K115" si="68">+A112-D112</f>
        <v>0</v>
      </c>
      <c r="L112" s="53">
        <f t="shared" ref="L112:L115" si="69">(+B112-E112)/B112</f>
        <v>5.6431829977873028E-2</v>
      </c>
    </row>
    <row r="113" spans="1:12" ht="15" thickBot="1" x14ac:dyDescent="0.35">
      <c r="A113" s="175">
        <v>141</v>
      </c>
      <c r="B113" s="8">
        <v>7368.25</v>
      </c>
      <c r="C113" s="8" t="s">
        <v>2144</v>
      </c>
      <c r="D113" s="8">
        <f t="shared" si="67"/>
        <v>141</v>
      </c>
      <c r="E113" s="8">
        <f t="shared" si="67"/>
        <v>7021.9</v>
      </c>
      <c r="F113" s="45" t="s">
        <v>2145</v>
      </c>
      <c r="G113" s="45">
        <v>93641</v>
      </c>
      <c r="H113" s="14"/>
      <c r="I113" s="45">
        <v>141</v>
      </c>
      <c r="J113" s="46">
        <v>7021.9</v>
      </c>
      <c r="K113" s="54">
        <f t="shared" si="68"/>
        <v>0</v>
      </c>
      <c r="L113" s="53">
        <f t="shared" si="69"/>
        <v>4.7005734061683624E-2</v>
      </c>
    </row>
    <row r="114" spans="1:12" ht="15" thickBot="1" x14ac:dyDescent="0.35">
      <c r="A114" s="175">
        <v>265</v>
      </c>
      <c r="B114" s="8">
        <v>11334.25</v>
      </c>
      <c r="C114" s="8" t="s">
        <v>2146</v>
      </c>
      <c r="D114" s="8">
        <f t="shared" si="67"/>
        <v>265</v>
      </c>
      <c r="E114" s="8">
        <f t="shared" si="67"/>
        <v>10666.5</v>
      </c>
      <c r="F114" s="45" t="s">
        <v>2147</v>
      </c>
      <c r="G114" s="45">
        <v>93651</v>
      </c>
      <c r="H114" s="14"/>
      <c r="I114" s="45">
        <v>265</v>
      </c>
      <c r="J114" s="46">
        <v>10666.5</v>
      </c>
      <c r="K114" s="54">
        <f t="shared" si="68"/>
        <v>0</v>
      </c>
      <c r="L114" s="53">
        <f t="shared" si="69"/>
        <v>5.8914352515605353E-2</v>
      </c>
    </row>
    <row r="115" spans="1:12" x14ac:dyDescent="0.3">
      <c r="A115" s="871">
        <v>1084</v>
      </c>
      <c r="B115" s="873">
        <v>55545.5</v>
      </c>
      <c r="C115" s="873" t="s">
        <v>2148</v>
      </c>
      <c r="D115" s="873">
        <f>+I115+I116</f>
        <v>1084</v>
      </c>
      <c r="E115" s="873">
        <f>+J115+J116</f>
        <v>53413.9</v>
      </c>
      <c r="F115" s="39" t="s">
        <v>2149</v>
      </c>
      <c r="G115" s="39">
        <v>93681</v>
      </c>
      <c r="H115" s="40"/>
      <c r="I115" s="39">
        <v>433</v>
      </c>
      <c r="J115" s="41">
        <v>21326.9</v>
      </c>
      <c r="K115" s="877">
        <f t="shared" si="68"/>
        <v>0</v>
      </c>
      <c r="L115" s="879">
        <f t="shared" si="69"/>
        <v>3.8375746010027786E-2</v>
      </c>
    </row>
    <row r="116" spans="1:12" ht="15" thickBot="1" x14ac:dyDescent="0.35">
      <c r="A116" s="872"/>
      <c r="B116" s="874"/>
      <c r="C116" s="874"/>
      <c r="D116" s="874"/>
      <c r="E116" s="874"/>
      <c r="F116" s="42" t="s">
        <v>2149</v>
      </c>
      <c r="G116" s="42">
        <v>93681</v>
      </c>
      <c r="H116" s="43"/>
      <c r="I116" s="42">
        <v>651</v>
      </c>
      <c r="J116" s="44">
        <v>32087</v>
      </c>
      <c r="K116" s="878"/>
      <c r="L116" s="880"/>
    </row>
    <row r="117" spans="1:12" x14ac:dyDescent="0.3">
      <c r="A117" s="871">
        <v>500</v>
      </c>
      <c r="B117" s="873">
        <v>23161.200000000001</v>
      </c>
      <c r="C117" s="873" t="s">
        <v>2210</v>
      </c>
      <c r="D117" s="873">
        <f>+I117+I118</f>
        <v>500</v>
      </c>
      <c r="E117" s="873">
        <f>+J117+J118</f>
        <v>21931.7</v>
      </c>
      <c r="F117" s="39" t="s">
        <v>2211</v>
      </c>
      <c r="G117" s="39">
        <v>93691</v>
      </c>
      <c r="H117" s="40"/>
      <c r="I117" s="39">
        <v>220</v>
      </c>
      <c r="J117" s="41">
        <v>9737.2000000000007</v>
      </c>
      <c r="K117" s="877">
        <f t="shared" ref="K117" si="70">+A117-D117</f>
        <v>0</v>
      </c>
      <c r="L117" s="879">
        <f t="shared" ref="L117" si="71">(+B117-E117)/B117</f>
        <v>5.3084468853081879E-2</v>
      </c>
    </row>
    <row r="118" spans="1:12" ht="15" thickBot="1" x14ac:dyDescent="0.35">
      <c r="A118" s="872"/>
      <c r="B118" s="874"/>
      <c r="C118" s="874"/>
      <c r="D118" s="874"/>
      <c r="E118" s="874"/>
      <c r="F118" s="42" t="s">
        <v>2211</v>
      </c>
      <c r="G118" s="42">
        <v>93691</v>
      </c>
      <c r="H118" s="43"/>
      <c r="I118" s="42">
        <v>280</v>
      </c>
      <c r="J118" s="44">
        <v>12194.5</v>
      </c>
      <c r="K118" s="878"/>
      <c r="L118" s="880"/>
    </row>
    <row r="119" spans="1:12" ht="15" thickBot="1" x14ac:dyDescent="0.35">
      <c r="A119" s="174">
        <v>500</v>
      </c>
      <c r="B119" s="12">
        <v>24296.6</v>
      </c>
      <c r="C119" s="12" t="s">
        <v>2327</v>
      </c>
      <c r="D119" s="12">
        <f>+I119</f>
        <v>503</v>
      </c>
      <c r="E119" s="12">
        <f>+J119</f>
        <v>22731.1</v>
      </c>
      <c r="F119" s="39" t="s">
        <v>2328</v>
      </c>
      <c r="G119" s="39">
        <v>93781</v>
      </c>
      <c r="H119" s="40"/>
      <c r="I119" s="39">
        <v>503</v>
      </c>
      <c r="J119" s="41">
        <v>22731.1</v>
      </c>
      <c r="K119" s="54">
        <f t="shared" ref="K119:K120" si="72">+A119-D119</f>
        <v>-3</v>
      </c>
      <c r="L119" s="31">
        <f t="shared" ref="L119:L120" si="73">((+B119/A119)-(E119/D119))/(B119/A119)</f>
        <v>7.0012806772708824E-2</v>
      </c>
    </row>
    <row r="120" spans="1:12" x14ac:dyDescent="0.3">
      <c r="A120" s="871">
        <v>940</v>
      </c>
      <c r="B120" s="873">
        <v>44470</v>
      </c>
      <c r="C120" s="873" t="s">
        <v>2329</v>
      </c>
      <c r="D120" s="873">
        <f>+I120+I121+I122</f>
        <v>941</v>
      </c>
      <c r="E120" s="873">
        <f>+J120+J121+J122</f>
        <v>42246.100000000006</v>
      </c>
      <c r="F120" s="39" t="s">
        <v>2330</v>
      </c>
      <c r="G120" s="39">
        <v>93871</v>
      </c>
      <c r="H120" s="40"/>
      <c r="I120" s="39">
        <v>440</v>
      </c>
      <c r="J120" s="41">
        <v>20062.900000000001</v>
      </c>
      <c r="K120" s="882">
        <f t="shared" si="72"/>
        <v>-1</v>
      </c>
      <c r="L120" s="879">
        <f t="shared" si="73"/>
        <v>5.1018549562481856E-2</v>
      </c>
    </row>
    <row r="121" spans="1:12" x14ac:dyDescent="0.3">
      <c r="A121" s="875"/>
      <c r="B121" s="881"/>
      <c r="C121" s="881"/>
      <c r="D121" s="881"/>
      <c r="E121" s="881"/>
      <c r="F121" s="50" t="s">
        <v>2330</v>
      </c>
      <c r="G121" s="50">
        <v>93871</v>
      </c>
      <c r="I121" s="50">
        <v>210</v>
      </c>
      <c r="J121" s="51">
        <v>9348.9</v>
      </c>
      <c r="K121" s="883"/>
      <c r="L121" s="885"/>
    </row>
    <row r="122" spans="1:12" ht="15" thickBot="1" x14ac:dyDescent="0.35">
      <c r="A122" s="875"/>
      <c r="B122" s="881"/>
      <c r="C122" s="881"/>
      <c r="D122" s="881"/>
      <c r="E122" s="881"/>
      <c r="F122" s="50" t="s">
        <v>2330</v>
      </c>
      <c r="G122" s="50">
        <v>93871</v>
      </c>
      <c r="I122" s="50">
        <v>291</v>
      </c>
      <c r="J122" s="51">
        <v>12834.3</v>
      </c>
      <c r="K122" s="884"/>
      <c r="L122" s="880"/>
    </row>
    <row r="123" spans="1:12" x14ac:dyDescent="0.3">
      <c r="A123" s="871">
        <v>250</v>
      </c>
      <c r="B123" s="873">
        <v>10802.5</v>
      </c>
      <c r="C123" s="873" t="s">
        <v>2331</v>
      </c>
      <c r="D123" s="873">
        <f>+I123+I124</f>
        <v>250</v>
      </c>
      <c r="E123" s="873">
        <f>+J123+J124</f>
        <v>10266</v>
      </c>
      <c r="F123" s="39" t="s">
        <v>2332</v>
      </c>
      <c r="G123" s="39">
        <v>93911</v>
      </c>
      <c r="H123" s="40"/>
      <c r="I123" s="39">
        <v>200</v>
      </c>
      <c r="J123" s="41">
        <v>8234</v>
      </c>
      <c r="K123" s="877">
        <f t="shared" ref="K123" si="74">+A123-D123</f>
        <v>0</v>
      </c>
      <c r="L123" s="879">
        <f t="shared" ref="L123" si="75">(+B123-E123)/B123</f>
        <v>4.9664429530201344E-2</v>
      </c>
    </row>
    <row r="124" spans="1:12" ht="15" thickBot="1" x14ac:dyDescent="0.35">
      <c r="A124" s="872"/>
      <c r="B124" s="874"/>
      <c r="C124" s="874"/>
      <c r="D124" s="874"/>
      <c r="E124" s="874"/>
      <c r="F124" s="42" t="s">
        <v>2332</v>
      </c>
      <c r="G124" s="42">
        <v>93911</v>
      </c>
      <c r="H124" s="43"/>
      <c r="I124" s="42">
        <v>50</v>
      </c>
      <c r="J124" s="44">
        <v>2032</v>
      </c>
      <c r="K124" s="878"/>
      <c r="L124" s="880"/>
    </row>
    <row r="125" spans="1:12" x14ac:dyDescent="0.3">
      <c r="A125" s="871">
        <v>1500</v>
      </c>
      <c r="B125" s="873">
        <v>63242.6</v>
      </c>
      <c r="C125" s="873" t="s">
        <v>2333</v>
      </c>
      <c r="D125" s="873">
        <v>1500</v>
      </c>
      <c r="E125" s="873">
        <v>60107.8</v>
      </c>
      <c r="F125" s="39" t="s">
        <v>2334</v>
      </c>
      <c r="G125" s="39">
        <v>94161</v>
      </c>
      <c r="H125" s="40"/>
      <c r="I125" s="39">
        <v>150</v>
      </c>
      <c r="J125" s="41">
        <v>5732.8</v>
      </c>
      <c r="K125" s="877">
        <f t="shared" ref="K125" si="76">+A125-D125</f>
        <v>0</v>
      </c>
      <c r="L125" s="879">
        <f t="shared" ref="L125" si="77">((+B125/A125)-(E125/D125))/(B125/A125)</f>
        <v>4.9567854579033566E-2</v>
      </c>
    </row>
    <row r="126" spans="1:12" x14ac:dyDescent="0.3">
      <c r="A126" s="875"/>
      <c r="B126" s="881"/>
      <c r="C126" s="881"/>
      <c r="D126" s="881"/>
      <c r="E126" s="881"/>
      <c r="F126" s="50" t="s">
        <v>2334</v>
      </c>
      <c r="G126" s="50">
        <v>94161</v>
      </c>
      <c r="I126" s="50">
        <v>600</v>
      </c>
      <c r="J126" s="51">
        <v>24780</v>
      </c>
      <c r="K126" s="886"/>
      <c r="L126" s="885"/>
    </row>
    <row r="127" spans="1:12" ht="15" thickBot="1" x14ac:dyDescent="0.35">
      <c r="A127" s="872"/>
      <c r="B127" s="874"/>
      <c r="C127" s="874"/>
      <c r="D127" s="874"/>
      <c r="E127" s="874"/>
      <c r="F127" s="42" t="s">
        <v>2334</v>
      </c>
      <c r="G127" s="42">
        <v>94161</v>
      </c>
      <c r="H127" s="43"/>
      <c r="I127" s="42">
        <v>600</v>
      </c>
      <c r="J127" s="44">
        <v>23575.300000000003</v>
      </c>
      <c r="K127" s="878"/>
      <c r="L127" s="880"/>
    </row>
    <row r="128" spans="1:12" ht="15" thickBot="1" x14ac:dyDescent="0.35">
      <c r="A128" s="175">
        <v>172</v>
      </c>
      <c r="B128" s="8">
        <v>9114.1</v>
      </c>
      <c r="C128" s="8" t="s">
        <v>2501</v>
      </c>
      <c r="D128" s="8">
        <f>+I128</f>
        <v>172</v>
      </c>
      <c r="E128" s="8">
        <f>+J128</f>
        <v>8387.7000000000007</v>
      </c>
      <c r="F128" s="45" t="s">
        <v>2502</v>
      </c>
      <c r="G128" s="45">
        <v>94341</v>
      </c>
      <c r="H128" s="14"/>
      <c r="I128" s="45">
        <v>172</v>
      </c>
      <c r="J128" s="46">
        <v>8387.7000000000007</v>
      </c>
      <c r="K128" s="54">
        <f t="shared" ref="K128:K129" si="78">+A128-D128</f>
        <v>0</v>
      </c>
      <c r="L128" s="53">
        <f t="shared" ref="L128" si="79">(+B128-E128)/B128</f>
        <v>7.9700683556247973E-2</v>
      </c>
    </row>
    <row r="129" spans="1:12" x14ac:dyDescent="0.3">
      <c r="A129" s="871">
        <v>750</v>
      </c>
      <c r="B129" s="873">
        <v>33404.199999999997</v>
      </c>
      <c r="C129" s="873" t="s">
        <v>2503</v>
      </c>
      <c r="D129" s="873">
        <f>+I129+I130</f>
        <v>750</v>
      </c>
      <c r="E129" s="873">
        <f>+J129+J130</f>
        <v>31581.7</v>
      </c>
      <c r="F129" s="39" t="s">
        <v>2504</v>
      </c>
      <c r="G129" s="39">
        <v>94351</v>
      </c>
      <c r="H129" s="40"/>
      <c r="I129" s="39">
        <v>400</v>
      </c>
      <c r="J129" s="41">
        <v>17013.400000000001</v>
      </c>
      <c r="K129" s="877">
        <f t="shared" si="78"/>
        <v>0</v>
      </c>
      <c r="L129" s="879">
        <f t="shared" ref="L129" si="80">(+B129-E129)/B129</f>
        <v>5.4559007549948704E-2</v>
      </c>
    </row>
    <row r="130" spans="1:12" ht="15" thickBot="1" x14ac:dyDescent="0.35">
      <c r="A130" s="872"/>
      <c r="B130" s="874"/>
      <c r="C130" s="874"/>
      <c r="D130" s="874"/>
      <c r="E130" s="874"/>
      <c r="F130" s="42" t="s">
        <v>2504</v>
      </c>
      <c r="G130" s="42">
        <v>94351</v>
      </c>
      <c r="H130" s="43"/>
      <c r="I130" s="42">
        <v>350</v>
      </c>
      <c r="J130" s="44">
        <v>14568.3</v>
      </c>
      <c r="K130" s="878"/>
      <c r="L130" s="880"/>
    </row>
    <row r="131" spans="1:12" ht="15" thickBot="1" x14ac:dyDescent="0.35">
      <c r="A131" s="178">
        <v>250</v>
      </c>
      <c r="B131" s="45">
        <v>10304.1</v>
      </c>
      <c r="C131" s="45" t="s">
        <v>2505</v>
      </c>
      <c r="D131" s="45">
        <f t="shared" ref="D131:E134" si="81">+I131</f>
        <v>250</v>
      </c>
      <c r="E131" s="45">
        <f t="shared" si="81"/>
        <v>10000.5</v>
      </c>
      <c r="F131" s="45" t="s">
        <v>2506</v>
      </c>
      <c r="G131" s="45">
        <v>94431</v>
      </c>
      <c r="H131" s="14"/>
      <c r="I131" s="45">
        <v>250</v>
      </c>
      <c r="J131" s="46">
        <v>10000.5</v>
      </c>
      <c r="K131" s="54">
        <f t="shared" ref="K131:K144" si="82">+A131-D131</f>
        <v>0</v>
      </c>
      <c r="L131" s="53">
        <f t="shared" ref="L131:L135" si="83">(+B131-E131)/B131</f>
        <v>2.9463999767083041E-2</v>
      </c>
    </row>
    <row r="132" spans="1:12" ht="15" thickBot="1" x14ac:dyDescent="0.35">
      <c r="A132" s="178">
        <v>505</v>
      </c>
      <c r="B132" s="45">
        <v>21664.5</v>
      </c>
      <c r="C132" s="45" t="s">
        <v>2507</v>
      </c>
      <c r="D132" s="45">
        <v>500</v>
      </c>
      <c r="E132" s="45">
        <v>20656</v>
      </c>
      <c r="F132" s="45" t="s">
        <v>2508</v>
      </c>
      <c r="G132" s="45">
        <v>94601</v>
      </c>
      <c r="H132" s="14"/>
      <c r="I132" s="45">
        <v>400</v>
      </c>
      <c r="J132" s="46">
        <v>16390.900000000001</v>
      </c>
      <c r="K132" s="54">
        <f t="shared" si="82"/>
        <v>5</v>
      </c>
      <c r="L132" s="31">
        <f t="shared" ref="L132:L133" si="84">((+B132/A132)-(E132/D132))/(B132/A132)</f>
        <v>3.7016317016317038E-2</v>
      </c>
    </row>
    <row r="133" spans="1:12" ht="15" thickBot="1" x14ac:dyDescent="0.35">
      <c r="A133" s="178">
        <v>706</v>
      </c>
      <c r="B133" s="45">
        <v>33522.5</v>
      </c>
      <c r="C133" s="45" t="s">
        <v>2655</v>
      </c>
      <c r="D133" s="45">
        <v>704</v>
      </c>
      <c r="E133" s="45">
        <v>31443</v>
      </c>
      <c r="F133" s="45" t="s">
        <v>2656</v>
      </c>
      <c r="G133" s="46">
        <v>94671</v>
      </c>
      <c r="I133" s="50">
        <v>339</v>
      </c>
      <c r="J133" s="50">
        <v>19089.3</v>
      </c>
      <c r="K133" s="54">
        <f t="shared" ref="K133" si="85">+A133-D133</f>
        <v>2</v>
      </c>
      <c r="L133" s="31">
        <f t="shared" si="84"/>
        <v>5.9368283852771847E-2</v>
      </c>
    </row>
    <row r="134" spans="1:12" ht="15" thickBot="1" x14ac:dyDescent="0.35">
      <c r="A134" s="178">
        <v>339</v>
      </c>
      <c r="B134" s="45">
        <v>19128.5</v>
      </c>
      <c r="C134" s="45" t="s">
        <v>2579</v>
      </c>
      <c r="D134" s="45">
        <f t="shared" si="81"/>
        <v>339</v>
      </c>
      <c r="E134" s="45">
        <f t="shared" si="81"/>
        <v>19089.3</v>
      </c>
      <c r="F134" s="45" t="s">
        <v>2580</v>
      </c>
      <c r="G134" s="46">
        <v>94771</v>
      </c>
      <c r="I134" s="50">
        <v>339</v>
      </c>
      <c r="J134" s="50">
        <v>19089.3</v>
      </c>
      <c r="K134" s="54">
        <f t="shared" si="82"/>
        <v>0</v>
      </c>
      <c r="L134" s="53">
        <f t="shared" si="83"/>
        <v>2.0492981676556304E-3</v>
      </c>
    </row>
    <row r="135" spans="1:12" ht="15" thickBot="1" x14ac:dyDescent="0.35">
      <c r="A135" s="178">
        <v>233</v>
      </c>
      <c r="B135" s="45">
        <v>11671</v>
      </c>
      <c r="C135" s="45" t="s">
        <v>2657</v>
      </c>
      <c r="D135" s="45">
        <f t="shared" ref="D135:E141" si="86">+I135</f>
        <v>233</v>
      </c>
      <c r="E135" s="45">
        <f t="shared" si="86"/>
        <v>12888.6</v>
      </c>
      <c r="F135" s="45" t="s">
        <v>2658</v>
      </c>
      <c r="G135" s="45">
        <v>94921</v>
      </c>
      <c r="H135" s="14"/>
      <c r="I135" s="45">
        <v>233</v>
      </c>
      <c r="J135" s="46">
        <v>12888.6</v>
      </c>
      <c r="K135" s="54">
        <f t="shared" si="82"/>
        <v>0</v>
      </c>
      <c r="L135" s="53">
        <f t="shared" si="83"/>
        <v>-0.10432696427041388</v>
      </c>
    </row>
    <row r="136" spans="1:12" ht="15" thickBot="1" x14ac:dyDescent="0.35">
      <c r="A136" s="178">
        <v>357</v>
      </c>
      <c r="B136" s="45">
        <v>17888.75</v>
      </c>
      <c r="C136" s="45" t="s">
        <v>2659</v>
      </c>
      <c r="D136" s="45">
        <f t="shared" si="86"/>
        <v>358</v>
      </c>
      <c r="E136" s="45">
        <f t="shared" si="86"/>
        <v>17013.900000000001</v>
      </c>
      <c r="F136" s="45" t="s">
        <v>2660</v>
      </c>
      <c r="G136" s="45">
        <v>94951</v>
      </c>
      <c r="H136" s="14"/>
      <c r="I136" s="45">
        <v>358</v>
      </c>
      <c r="J136" s="46">
        <v>17013.900000000001</v>
      </c>
      <c r="K136" s="54">
        <f t="shared" si="82"/>
        <v>-1</v>
      </c>
      <c r="L136" s="31">
        <f t="shared" ref="L136:L141" si="87">((+B136/A136)-(E136/D136))/(B136/A136)</f>
        <v>5.1561727920351838E-2</v>
      </c>
    </row>
    <row r="137" spans="1:12" ht="15" thickBot="1" x14ac:dyDescent="0.35">
      <c r="A137" s="178">
        <v>236</v>
      </c>
      <c r="B137" s="45">
        <v>10601.75</v>
      </c>
      <c r="C137" s="45" t="s">
        <v>2661</v>
      </c>
      <c r="D137" s="45">
        <f t="shared" si="86"/>
        <v>235</v>
      </c>
      <c r="E137" s="45">
        <f t="shared" si="86"/>
        <v>10343.5</v>
      </c>
      <c r="F137" s="45" t="s">
        <v>2662</v>
      </c>
      <c r="G137" s="45">
        <v>95021</v>
      </c>
      <c r="H137" s="14"/>
      <c r="I137" s="45">
        <v>235</v>
      </c>
      <c r="J137" s="46">
        <v>10343.5</v>
      </c>
      <c r="K137" s="54">
        <f t="shared" si="82"/>
        <v>1</v>
      </c>
      <c r="L137" s="31">
        <f t="shared" si="87"/>
        <v>2.0207522945077799E-2</v>
      </c>
    </row>
    <row r="138" spans="1:12" ht="15" thickBot="1" x14ac:dyDescent="0.35">
      <c r="A138" s="178">
        <v>603</v>
      </c>
      <c r="B138" s="45">
        <v>29777.5</v>
      </c>
      <c r="C138" s="45" t="s">
        <v>2801</v>
      </c>
      <c r="D138" s="45">
        <f t="shared" si="86"/>
        <v>602</v>
      </c>
      <c r="E138" s="45">
        <f t="shared" si="86"/>
        <v>27866.799999999999</v>
      </c>
      <c r="F138" s="45" t="s">
        <v>2802</v>
      </c>
      <c r="G138" s="45">
        <v>95071</v>
      </c>
      <c r="H138" s="14"/>
      <c r="I138" s="45">
        <v>602</v>
      </c>
      <c r="J138" s="46">
        <v>27866.799999999999</v>
      </c>
      <c r="K138" s="54">
        <f t="shared" si="82"/>
        <v>1</v>
      </c>
      <c r="L138" s="31">
        <f t="shared" si="87"/>
        <v>6.261135537071591E-2</v>
      </c>
    </row>
    <row r="139" spans="1:12" ht="15" thickBot="1" x14ac:dyDescent="0.35">
      <c r="A139" s="178">
        <v>750</v>
      </c>
      <c r="B139" s="45">
        <v>35437.699999999997</v>
      </c>
      <c r="C139" s="45" t="s">
        <v>2803</v>
      </c>
      <c r="D139" s="45">
        <f t="shared" si="86"/>
        <v>751</v>
      </c>
      <c r="E139" s="45">
        <f>+J139</f>
        <v>33557.300000000003</v>
      </c>
      <c r="F139" s="45" t="s">
        <v>2804</v>
      </c>
      <c r="G139" s="45">
        <v>95311</v>
      </c>
      <c r="H139" s="14"/>
      <c r="I139" s="45">
        <v>751</v>
      </c>
      <c r="J139" s="46">
        <v>33557.300000000003</v>
      </c>
      <c r="K139" s="54">
        <f t="shared" si="82"/>
        <v>-1</v>
      </c>
      <c r="L139" s="31">
        <f t="shared" si="87"/>
        <v>5.4323037010916397E-2</v>
      </c>
    </row>
    <row r="140" spans="1:12" ht="15" thickBot="1" x14ac:dyDescent="0.35">
      <c r="A140" s="178">
        <v>740</v>
      </c>
      <c r="B140" s="45">
        <v>32996.25</v>
      </c>
      <c r="C140" s="45" t="s">
        <v>2805</v>
      </c>
      <c r="D140" s="45">
        <f t="shared" si="86"/>
        <v>740</v>
      </c>
      <c r="E140" s="45">
        <f>+J140</f>
        <v>31773.300000000003</v>
      </c>
      <c r="F140" s="45" t="s">
        <v>2806</v>
      </c>
      <c r="G140" s="45">
        <v>95371</v>
      </c>
      <c r="H140" s="14"/>
      <c r="I140" s="45">
        <v>740</v>
      </c>
      <c r="J140" s="46">
        <v>31773.300000000003</v>
      </c>
      <c r="K140" s="54">
        <f t="shared" si="82"/>
        <v>0</v>
      </c>
      <c r="L140" s="53">
        <f t="shared" ref="L140" si="88">(+B140-E140)/B140</f>
        <v>3.7063302648028096E-2</v>
      </c>
    </row>
    <row r="141" spans="1:12" ht="15" thickBot="1" x14ac:dyDescent="0.35">
      <c r="A141" s="178">
        <v>763</v>
      </c>
      <c r="B141" s="45">
        <v>34514.25</v>
      </c>
      <c r="C141" s="45" t="s">
        <v>2807</v>
      </c>
      <c r="D141" s="45">
        <f t="shared" si="86"/>
        <v>762</v>
      </c>
      <c r="E141" s="45">
        <f>+J141</f>
        <v>32763.499999999996</v>
      </c>
      <c r="F141" s="45" t="s">
        <v>2808</v>
      </c>
      <c r="G141" s="45">
        <v>95411</v>
      </c>
      <c r="H141" s="14"/>
      <c r="I141" s="45">
        <v>762</v>
      </c>
      <c r="J141" s="46">
        <v>32763.499999999996</v>
      </c>
      <c r="K141" s="54">
        <f t="shared" si="82"/>
        <v>1</v>
      </c>
      <c r="L141" s="31">
        <f t="shared" si="87"/>
        <v>4.9479657846828458E-2</v>
      </c>
    </row>
    <row r="142" spans="1:12" x14ac:dyDescent="0.3">
      <c r="A142" s="871">
        <v>573</v>
      </c>
      <c r="B142" s="873">
        <v>26038.75</v>
      </c>
      <c r="C142" s="873" t="s">
        <v>2809</v>
      </c>
      <c r="D142" s="873">
        <f>+I142+I143</f>
        <v>573</v>
      </c>
      <c r="E142" s="873">
        <f>+J142+J143</f>
        <v>25216.600000000002</v>
      </c>
      <c r="F142" s="39" t="s">
        <v>1772</v>
      </c>
      <c r="G142" s="39">
        <v>95451</v>
      </c>
      <c r="H142" s="40"/>
      <c r="I142" s="39">
        <v>523</v>
      </c>
      <c r="J142" s="41">
        <v>23085.7</v>
      </c>
      <c r="K142" s="877">
        <f t="shared" si="82"/>
        <v>0</v>
      </c>
      <c r="L142" s="879">
        <f t="shared" ref="L142" si="89">(+B142-E142)/B142</f>
        <v>3.1574096298785381E-2</v>
      </c>
    </row>
    <row r="143" spans="1:12" ht="15" thickBot="1" x14ac:dyDescent="0.35">
      <c r="A143" s="872"/>
      <c r="B143" s="874"/>
      <c r="C143" s="874"/>
      <c r="D143" s="874"/>
      <c r="E143" s="874"/>
      <c r="F143" s="42" t="s">
        <v>2808</v>
      </c>
      <c r="G143" s="42">
        <v>95411</v>
      </c>
      <c r="H143" s="43"/>
      <c r="I143" s="42">
        <v>50</v>
      </c>
      <c r="J143" s="44">
        <v>2130.9</v>
      </c>
      <c r="K143" s="878"/>
      <c r="L143" s="880"/>
    </row>
    <row r="144" spans="1:12" ht="15" thickBot="1" x14ac:dyDescent="0.35">
      <c r="A144" s="175">
        <v>642</v>
      </c>
      <c r="B144" s="8">
        <v>28805.5</v>
      </c>
      <c r="C144" s="8" t="s">
        <v>2936</v>
      </c>
      <c r="D144" s="8">
        <v>715</v>
      </c>
      <c r="E144" s="8">
        <v>31421.4</v>
      </c>
      <c r="F144" s="45" t="s">
        <v>2937</v>
      </c>
      <c r="G144" s="45">
        <v>95531</v>
      </c>
      <c r="H144" s="14"/>
      <c r="I144" s="45">
        <v>323</v>
      </c>
      <c r="J144" s="46">
        <v>14416.9</v>
      </c>
      <c r="K144" s="54">
        <f t="shared" si="82"/>
        <v>-73</v>
      </c>
      <c r="L144" s="31">
        <f t="shared" ref="L144" si="90">((+B144/A144)-(E144/D144))/(B144/A144)</f>
        <v>2.0557151272466084E-2</v>
      </c>
    </row>
    <row r="145" spans="1:12" ht="15" thickBot="1" x14ac:dyDescent="0.35">
      <c r="A145" s="175">
        <v>111</v>
      </c>
      <c r="B145" s="8">
        <v>5139.25</v>
      </c>
      <c r="C145" s="8" t="s">
        <v>3072</v>
      </c>
      <c r="D145" s="8">
        <f>+I145</f>
        <v>111</v>
      </c>
      <c r="E145" s="8">
        <f>+J145</f>
        <v>5002.7</v>
      </c>
      <c r="F145" s="45" t="s">
        <v>3073</v>
      </c>
      <c r="G145" s="45">
        <v>95541</v>
      </c>
      <c r="H145" s="14"/>
      <c r="I145" s="45">
        <v>111</v>
      </c>
      <c r="J145" s="46">
        <v>5002.7</v>
      </c>
      <c r="K145" s="54">
        <f t="shared" ref="K145:K146" si="91">+A145-D145</f>
        <v>0</v>
      </c>
      <c r="L145" s="31">
        <f t="shared" ref="L145:L146" si="92">((+B145/A145)-(E145/D145))/(B145/A145)</f>
        <v>2.6570024809067411E-2</v>
      </c>
    </row>
    <row r="146" spans="1:12" x14ac:dyDescent="0.3">
      <c r="A146" s="871">
        <v>452</v>
      </c>
      <c r="B146" s="873">
        <v>17931.599999999999</v>
      </c>
      <c r="C146" s="873" t="s">
        <v>3074</v>
      </c>
      <c r="D146" s="873">
        <f>+I146+I148+I147</f>
        <v>448</v>
      </c>
      <c r="E146" s="873">
        <f>+J146+J148+J147</f>
        <v>17311.600000000002</v>
      </c>
      <c r="F146" s="39" t="s">
        <v>3075</v>
      </c>
      <c r="G146" s="39">
        <v>95611</v>
      </c>
      <c r="H146" s="40"/>
      <c r="I146" s="39">
        <v>100</v>
      </c>
      <c r="J146" s="41">
        <v>3878.1</v>
      </c>
      <c r="K146" s="877">
        <f t="shared" si="91"/>
        <v>4</v>
      </c>
      <c r="L146" s="879">
        <f t="shared" si="92"/>
        <v>2.5955973970930673E-2</v>
      </c>
    </row>
    <row r="147" spans="1:12" x14ac:dyDescent="0.3">
      <c r="A147" s="875"/>
      <c r="B147" s="881"/>
      <c r="C147" s="881"/>
      <c r="D147" s="881"/>
      <c r="E147" s="881"/>
      <c r="F147" s="50" t="s">
        <v>3075</v>
      </c>
      <c r="G147" s="50">
        <v>95611</v>
      </c>
      <c r="I147" s="50">
        <v>45</v>
      </c>
      <c r="J147" s="51">
        <v>1733.9</v>
      </c>
      <c r="K147" s="886"/>
      <c r="L147" s="885"/>
    </row>
    <row r="148" spans="1:12" ht="15" thickBot="1" x14ac:dyDescent="0.35">
      <c r="A148" s="872"/>
      <c r="B148" s="874"/>
      <c r="C148" s="874"/>
      <c r="D148" s="874"/>
      <c r="E148" s="874"/>
      <c r="F148" s="42" t="s">
        <v>3075</v>
      </c>
      <c r="G148" s="42">
        <v>95611</v>
      </c>
      <c r="H148" s="43"/>
      <c r="I148" s="42">
        <v>303</v>
      </c>
      <c r="J148" s="44">
        <v>11699.6</v>
      </c>
      <c r="K148" s="878"/>
      <c r="L148" s="880"/>
    </row>
    <row r="149" spans="1:12" x14ac:dyDescent="0.3">
      <c r="A149" s="871">
        <v>250</v>
      </c>
      <c r="B149" s="873">
        <v>11351.1</v>
      </c>
      <c r="C149" s="873" t="s">
        <v>3076</v>
      </c>
      <c r="D149" s="873">
        <f>+I149+I150</f>
        <v>250</v>
      </c>
      <c r="E149" s="873">
        <f>+J149+J150</f>
        <v>10987.7</v>
      </c>
      <c r="F149" s="39" t="s">
        <v>3077</v>
      </c>
      <c r="G149" s="39">
        <v>96081</v>
      </c>
      <c r="H149" s="40"/>
      <c r="I149" s="39">
        <v>100</v>
      </c>
      <c r="J149" s="41">
        <v>4436.6000000000004</v>
      </c>
      <c r="K149" s="882">
        <f t="shared" ref="K149" si="93">+A149-D149</f>
        <v>0</v>
      </c>
      <c r="L149" s="879">
        <f t="shared" ref="L149" si="94">((+B149/A149)-(E149/D149))/(B149/A149)</f>
        <v>3.2014518416717354E-2</v>
      </c>
    </row>
    <row r="150" spans="1:12" ht="15" thickBot="1" x14ac:dyDescent="0.35">
      <c r="A150" s="872"/>
      <c r="B150" s="874"/>
      <c r="C150" s="874"/>
      <c r="D150" s="874"/>
      <c r="E150" s="874"/>
      <c r="F150" s="42" t="s">
        <v>3077</v>
      </c>
      <c r="G150" s="42">
        <v>96081</v>
      </c>
      <c r="H150" s="43"/>
      <c r="I150" s="42">
        <v>150</v>
      </c>
      <c r="J150" s="44">
        <v>6551.1</v>
      </c>
      <c r="K150" s="884"/>
      <c r="L150" s="880"/>
    </row>
    <row r="151" spans="1:12" x14ac:dyDescent="0.3">
      <c r="A151" s="871">
        <v>275</v>
      </c>
      <c r="B151" s="873">
        <v>12469.5</v>
      </c>
      <c r="C151" s="873" t="s">
        <v>3078</v>
      </c>
      <c r="D151" s="873">
        <f>+I151+I152</f>
        <v>275</v>
      </c>
      <c r="E151" s="873">
        <f>+J151+J152</f>
        <v>12080.3</v>
      </c>
      <c r="F151" s="12" t="s">
        <v>3079</v>
      </c>
      <c r="G151" s="12">
        <v>96251</v>
      </c>
      <c r="H151" s="40"/>
      <c r="I151" s="39">
        <v>100</v>
      </c>
      <c r="J151" s="41">
        <v>4439.1000000000004</v>
      </c>
      <c r="K151" s="882">
        <f t="shared" ref="K151" si="95">+A151-D151</f>
        <v>0</v>
      </c>
      <c r="L151" s="879">
        <f t="shared" ref="L151" si="96">((+B151/A151)-(E151/D151))/(B151/A151)</f>
        <v>3.1212157664701912E-2</v>
      </c>
    </row>
    <row r="152" spans="1:12" ht="15" thickBot="1" x14ac:dyDescent="0.35">
      <c r="A152" s="872"/>
      <c r="B152" s="874"/>
      <c r="C152" s="874"/>
      <c r="D152" s="874"/>
      <c r="E152" s="874"/>
      <c r="F152" s="10" t="s">
        <v>3079</v>
      </c>
      <c r="G152" s="10">
        <v>96251</v>
      </c>
      <c r="H152" s="43"/>
      <c r="I152" s="42">
        <v>175</v>
      </c>
      <c r="J152" s="44">
        <v>7641.2</v>
      </c>
      <c r="K152" s="884"/>
      <c r="L152" s="880"/>
    </row>
    <row r="153" spans="1:12" ht="15" thickBot="1" x14ac:dyDescent="0.35">
      <c r="A153" s="175">
        <v>500</v>
      </c>
      <c r="B153" s="8">
        <v>22301</v>
      </c>
      <c r="C153" s="8" t="s">
        <v>3080</v>
      </c>
      <c r="D153" s="8">
        <f t="shared" ref="D153:E154" si="97">+I153</f>
        <v>500</v>
      </c>
      <c r="E153" s="8">
        <f t="shared" si="97"/>
        <v>21703.9</v>
      </c>
      <c r="F153" s="8" t="s">
        <v>3081</v>
      </c>
      <c r="G153" s="8">
        <v>96261</v>
      </c>
      <c r="H153" s="14"/>
      <c r="I153" s="8">
        <v>500</v>
      </c>
      <c r="J153" s="9">
        <v>21703.9</v>
      </c>
      <c r="K153" s="54">
        <f t="shared" ref="K153:K156" si="98">+A153-D153</f>
        <v>0</v>
      </c>
      <c r="L153" s="31">
        <f t="shared" ref="L153:L156" si="99">((+B153/A153)-(E153/D153))/(B153/A153)</f>
        <v>2.6774584099367633E-2</v>
      </c>
    </row>
    <row r="154" spans="1:12" ht="15" thickBot="1" x14ac:dyDescent="0.35">
      <c r="A154" s="174">
        <v>49</v>
      </c>
      <c r="B154" s="12">
        <v>1901</v>
      </c>
      <c r="C154" s="12" t="s">
        <v>3082</v>
      </c>
      <c r="D154" s="12">
        <f t="shared" si="97"/>
        <v>47</v>
      </c>
      <c r="E154" s="12">
        <f t="shared" si="97"/>
        <v>1825.8</v>
      </c>
      <c r="F154" s="12" t="s">
        <v>3083</v>
      </c>
      <c r="G154" s="12">
        <v>96301</v>
      </c>
      <c r="H154" s="40"/>
      <c r="I154" s="12">
        <v>47</v>
      </c>
      <c r="J154" s="13">
        <v>1825.8</v>
      </c>
      <c r="K154" s="54">
        <f t="shared" si="98"/>
        <v>2</v>
      </c>
      <c r="L154" s="31">
        <f t="shared" si="99"/>
        <v>-1.3117396219235807E-3</v>
      </c>
    </row>
    <row r="155" spans="1:12" ht="15" thickBot="1" x14ac:dyDescent="0.35">
      <c r="A155" s="175">
        <v>488</v>
      </c>
      <c r="B155" s="8">
        <v>21508</v>
      </c>
      <c r="C155" s="8" t="s">
        <v>3084</v>
      </c>
      <c r="D155" s="8">
        <v>488</v>
      </c>
      <c r="E155" s="8">
        <v>20886</v>
      </c>
      <c r="F155" s="8" t="s">
        <v>3085</v>
      </c>
      <c r="G155" s="8">
        <v>96341</v>
      </c>
      <c r="H155" s="8"/>
      <c r="I155" s="8">
        <v>300</v>
      </c>
      <c r="J155" s="9">
        <v>12735.6</v>
      </c>
      <c r="K155" s="54">
        <f t="shared" si="98"/>
        <v>0</v>
      </c>
      <c r="L155" s="31">
        <f t="shared" si="99"/>
        <v>2.891947182443743E-2</v>
      </c>
    </row>
    <row r="156" spans="1:12" x14ac:dyDescent="0.3">
      <c r="A156" s="871">
        <v>178</v>
      </c>
      <c r="B156" s="873">
        <v>8143.75</v>
      </c>
      <c r="C156" s="873" t="s">
        <v>3234</v>
      </c>
      <c r="D156" s="873">
        <f>+I156+I157</f>
        <v>178</v>
      </c>
      <c r="E156" s="873">
        <f>+J156+J157</f>
        <v>7893.9000000000005</v>
      </c>
      <c r="F156" s="12" t="s">
        <v>3235</v>
      </c>
      <c r="G156" s="12">
        <v>96541</v>
      </c>
      <c r="H156" s="12"/>
      <c r="I156" s="12">
        <v>12</v>
      </c>
      <c r="J156" s="13">
        <v>518.6</v>
      </c>
      <c r="K156" s="882">
        <f t="shared" si="98"/>
        <v>0</v>
      </c>
      <c r="L156" s="879">
        <f t="shared" si="99"/>
        <v>3.0679969301611629E-2</v>
      </c>
    </row>
    <row r="157" spans="1:12" ht="15" thickBot="1" x14ac:dyDescent="0.35">
      <c r="A157" s="872"/>
      <c r="B157" s="874"/>
      <c r="C157" s="874"/>
      <c r="D157" s="874"/>
      <c r="E157" s="874"/>
      <c r="F157" s="10" t="s">
        <v>3235</v>
      </c>
      <c r="G157" s="10">
        <v>96541</v>
      </c>
      <c r="H157" s="10"/>
      <c r="I157" s="10">
        <v>166</v>
      </c>
      <c r="J157" s="11">
        <v>7375.3</v>
      </c>
      <c r="K157" s="884"/>
      <c r="L157" s="880"/>
    </row>
    <row r="158" spans="1:12" x14ac:dyDescent="0.3">
      <c r="A158" s="871">
        <v>410</v>
      </c>
      <c r="B158" s="873">
        <v>18540.75</v>
      </c>
      <c r="C158" s="873" t="s">
        <v>3236</v>
      </c>
      <c r="D158" s="873">
        <f>+I158+I159</f>
        <v>410</v>
      </c>
      <c r="E158" s="873">
        <f>+J158+J159</f>
        <v>17945.8</v>
      </c>
      <c r="F158" s="12" t="s">
        <v>3237</v>
      </c>
      <c r="G158" s="12">
        <v>96551</v>
      </c>
      <c r="H158" s="12"/>
      <c r="I158" s="12">
        <v>200</v>
      </c>
      <c r="J158" s="13">
        <v>8606.7999999999993</v>
      </c>
      <c r="K158" s="882">
        <f t="shared" ref="K158" si="100">+A158-D158</f>
        <v>0</v>
      </c>
      <c r="L158" s="879">
        <f t="shared" ref="L158" si="101">((+B158/A158)-(E158/D158))/(B158/A158)</f>
        <v>3.2088777422704086E-2</v>
      </c>
    </row>
    <row r="159" spans="1:12" ht="15" thickBot="1" x14ac:dyDescent="0.35">
      <c r="A159" s="872"/>
      <c r="B159" s="874"/>
      <c r="C159" s="874"/>
      <c r="D159" s="874"/>
      <c r="E159" s="874"/>
      <c r="F159" s="10" t="s">
        <v>3237</v>
      </c>
      <c r="G159" s="10">
        <v>96551</v>
      </c>
      <c r="H159" s="10"/>
      <c r="I159" s="10">
        <v>210</v>
      </c>
      <c r="J159" s="11">
        <v>9339</v>
      </c>
      <c r="K159" s="884"/>
      <c r="L159" s="880"/>
    </row>
    <row r="160" spans="1:12" x14ac:dyDescent="0.3">
      <c r="A160" s="871">
        <v>350</v>
      </c>
      <c r="B160" s="873">
        <v>13588.2</v>
      </c>
      <c r="C160" s="873" t="s">
        <v>3238</v>
      </c>
      <c r="D160" s="873">
        <f>+I160+I161</f>
        <v>350</v>
      </c>
      <c r="E160" s="873">
        <f>+J160+J161</f>
        <v>12679.400000000001</v>
      </c>
      <c r="F160" s="12" t="s">
        <v>3239</v>
      </c>
      <c r="G160" s="12">
        <v>96721</v>
      </c>
      <c r="H160" s="40"/>
      <c r="I160" s="39">
        <v>200</v>
      </c>
      <c r="J160" s="41">
        <v>7242.6</v>
      </c>
      <c r="K160" s="882">
        <f t="shared" ref="K160" si="102">+A160-D160</f>
        <v>0</v>
      </c>
      <c r="L160" s="879">
        <f t="shared" ref="L160" si="103">((+B160/A160)-(E160/D160))/(B160/A160)</f>
        <v>6.6881558999720189E-2</v>
      </c>
    </row>
    <row r="161" spans="1:12" ht="15" thickBot="1" x14ac:dyDescent="0.35">
      <c r="A161" s="872"/>
      <c r="B161" s="874"/>
      <c r="C161" s="874"/>
      <c r="D161" s="874"/>
      <c r="E161" s="874"/>
      <c r="F161" s="42" t="s">
        <v>3239</v>
      </c>
      <c r="G161" s="42">
        <v>96721</v>
      </c>
      <c r="H161" s="43"/>
      <c r="I161" s="42">
        <v>150</v>
      </c>
      <c r="J161" s="44">
        <v>5436.8</v>
      </c>
      <c r="K161" s="884"/>
      <c r="L161" s="880"/>
    </row>
    <row r="162" spans="1:12" ht="15" thickBot="1" x14ac:dyDescent="0.35">
      <c r="A162" s="178">
        <v>252</v>
      </c>
      <c r="B162" s="45">
        <v>10365.9</v>
      </c>
      <c r="C162" s="45" t="s">
        <v>3240</v>
      </c>
      <c r="D162" s="45">
        <f>+I162</f>
        <v>252</v>
      </c>
      <c r="E162" s="45">
        <f>+J162</f>
        <v>9724.8000000000011</v>
      </c>
      <c r="F162" s="45" t="s">
        <v>3241</v>
      </c>
      <c r="G162" s="45">
        <v>96751</v>
      </c>
      <c r="H162" s="14"/>
      <c r="I162" s="45">
        <v>252</v>
      </c>
      <c r="J162" s="46">
        <v>9724.8000000000011</v>
      </c>
      <c r="K162" s="54">
        <f t="shared" ref="K162" si="104">+A162-D162</f>
        <v>0</v>
      </c>
      <c r="L162" s="31">
        <f t="shared" ref="L162" si="105">((+B162/A162)-(E162/D162))/(B162/A162)</f>
        <v>6.1847017625097471E-2</v>
      </c>
    </row>
    <row r="163" spans="1:12" ht="15" thickBot="1" x14ac:dyDescent="0.35">
      <c r="A163" s="178">
        <v>934</v>
      </c>
      <c r="B163" s="45">
        <v>41890.25</v>
      </c>
      <c r="C163" s="45" t="s">
        <v>3346</v>
      </c>
      <c r="D163" s="45">
        <f t="shared" ref="D163:E163" si="106">+I163</f>
        <v>934</v>
      </c>
      <c r="E163" s="45">
        <f t="shared" si="106"/>
        <v>41052.300000000003</v>
      </c>
      <c r="F163" s="45" t="s">
        <v>3347</v>
      </c>
      <c r="G163" s="45">
        <v>96841</v>
      </c>
      <c r="H163" s="14"/>
      <c r="I163" s="45">
        <v>934</v>
      </c>
      <c r="J163" s="46">
        <v>41052.300000000003</v>
      </c>
      <c r="K163" s="54">
        <f t="shared" ref="K163" si="107">+A163-D163</f>
        <v>0</v>
      </c>
      <c r="L163" s="31">
        <f t="shared" ref="L163" si="108">((+B163/A163)-(E163/D163))/(B163/A163)</f>
        <v>2.0003461425988071E-2</v>
      </c>
    </row>
    <row r="164" spans="1:12" ht="15" thickBot="1" x14ac:dyDescent="0.35">
      <c r="A164" s="306">
        <v>33</v>
      </c>
      <c r="B164" s="29">
        <v>1311</v>
      </c>
      <c r="C164" s="29" t="s">
        <v>3458</v>
      </c>
      <c r="D164" s="12">
        <f>+I164</f>
        <v>33</v>
      </c>
      <c r="E164" s="12">
        <f>+J164</f>
        <v>1308.3</v>
      </c>
      <c r="F164" s="12" t="s">
        <v>3459</v>
      </c>
      <c r="G164" s="12">
        <v>96901</v>
      </c>
      <c r="H164" s="40"/>
      <c r="I164" s="12">
        <v>33</v>
      </c>
      <c r="J164" s="13">
        <v>1308.3</v>
      </c>
      <c r="K164" s="54">
        <f t="shared" ref="K164:K168" si="109">+A164-D164</f>
        <v>0</v>
      </c>
      <c r="L164" s="31">
        <f t="shared" ref="L164:L168" si="110">((+B164/A164)-(E164/D164))/(B164/A164)</f>
        <v>2.059496567505815E-3</v>
      </c>
    </row>
    <row r="165" spans="1:12" ht="15" thickBot="1" x14ac:dyDescent="0.35">
      <c r="A165" s="310">
        <v>500</v>
      </c>
      <c r="B165" s="65">
        <v>21904.7</v>
      </c>
      <c r="C165" s="65" t="s">
        <v>3460</v>
      </c>
      <c r="D165" s="8">
        <f>+I165</f>
        <v>500</v>
      </c>
      <c r="E165" s="8">
        <f t="shared" ref="E165:E168" si="111">+J165</f>
        <v>20533.400000000001</v>
      </c>
      <c r="F165" s="311" t="s">
        <v>3461</v>
      </c>
      <c r="G165" s="311">
        <v>96961</v>
      </c>
      <c r="H165" s="311"/>
      <c r="I165" s="311">
        <v>500</v>
      </c>
      <c r="J165" s="312">
        <v>20533.400000000001</v>
      </c>
      <c r="K165" s="54">
        <f t="shared" si="109"/>
        <v>0</v>
      </c>
      <c r="L165" s="31">
        <f t="shared" si="110"/>
        <v>6.2603003008486827E-2</v>
      </c>
    </row>
    <row r="166" spans="1:12" ht="15" thickBot="1" x14ac:dyDescent="0.35">
      <c r="A166" s="310">
        <v>500</v>
      </c>
      <c r="B166" s="65">
        <v>22074.1</v>
      </c>
      <c r="C166" s="65" t="s">
        <v>3462</v>
      </c>
      <c r="D166" s="8">
        <f>+I166</f>
        <v>500</v>
      </c>
      <c r="E166" s="8">
        <f t="shared" si="111"/>
        <v>21019.8</v>
      </c>
      <c r="F166" s="45" t="s">
        <v>3463</v>
      </c>
      <c r="G166" s="45">
        <v>97131</v>
      </c>
      <c r="H166" s="14"/>
      <c r="I166" s="45">
        <v>500</v>
      </c>
      <c r="J166" s="46">
        <v>21019.8</v>
      </c>
      <c r="K166" s="54">
        <f t="shared" si="109"/>
        <v>0</v>
      </c>
      <c r="L166" s="31">
        <f t="shared" si="110"/>
        <v>4.7761856655537387E-2</v>
      </c>
    </row>
    <row r="167" spans="1:12" ht="15" thickBot="1" x14ac:dyDescent="0.35">
      <c r="A167" s="310">
        <v>66</v>
      </c>
      <c r="B167" s="65">
        <v>2652.8</v>
      </c>
      <c r="C167" s="65" t="s">
        <v>3464</v>
      </c>
      <c r="D167" s="8">
        <f>+I167</f>
        <v>66</v>
      </c>
      <c r="E167" s="8">
        <f t="shared" si="111"/>
        <v>2500.6999999999998</v>
      </c>
      <c r="F167" s="45" t="s">
        <v>3465</v>
      </c>
      <c r="G167" s="45">
        <v>97211</v>
      </c>
      <c r="H167" s="14"/>
      <c r="I167" s="45">
        <v>66</v>
      </c>
      <c r="J167" s="46">
        <v>2500.6999999999998</v>
      </c>
      <c r="K167" s="54">
        <f t="shared" si="109"/>
        <v>0</v>
      </c>
      <c r="L167" s="31">
        <f t="shared" si="110"/>
        <v>5.7335645355850604E-2</v>
      </c>
    </row>
    <row r="168" spans="1:12" ht="15" thickBot="1" x14ac:dyDescent="0.35">
      <c r="A168" s="178">
        <v>514</v>
      </c>
      <c r="B168" s="45">
        <v>23738.75</v>
      </c>
      <c r="C168" s="45" t="s">
        <v>3466</v>
      </c>
      <c r="D168" s="8">
        <f>+I168</f>
        <v>514</v>
      </c>
      <c r="E168" s="8">
        <f t="shared" si="111"/>
        <v>22901.200000000001</v>
      </c>
      <c r="F168" s="45" t="s">
        <v>3467</v>
      </c>
      <c r="G168" s="45">
        <v>97281</v>
      </c>
      <c r="H168" s="14"/>
      <c r="I168" s="45">
        <v>514</v>
      </c>
      <c r="J168" s="46">
        <v>22901.200000000001</v>
      </c>
      <c r="K168" s="54">
        <f t="shared" si="109"/>
        <v>0</v>
      </c>
      <c r="L168" s="31">
        <f t="shared" si="110"/>
        <v>3.5281975672686969E-2</v>
      </c>
    </row>
    <row r="169" spans="1:12" ht="15" thickBot="1" x14ac:dyDescent="0.35">
      <c r="A169" s="178">
        <v>47</v>
      </c>
      <c r="B169" s="45">
        <v>1572.25</v>
      </c>
      <c r="C169" s="45" t="s">
        <v>3607</v>
      </c>
      <c r="D169" s="8">
        <f t="shared" ref="D169:E174" si="112">+I169</f>
        <v>47</v>
      </c>
      <c r="E169" s="8">
        <f>+J169</f>
        <v>1516.1</v>
      </c>
      <c r="F169" s="45" t="s">
        <v>3608</v>
      </c>
      <c r="G169" s="45">
        <v>97351</v>
      </c>
      <c r="H169" s="14"/>
      <c r="I169" s="45">
        <v>47</v>
      </c>
      <c r="J169" s="46">
        <v>1516.1</v>
      </c>
      <c r="K169" s="54">
        <f t="shared" ref="K169:K175" si="113">+A169-D169</f>
        <v>0</v>
      </c>
      <c r="L169" s="31">
        <f t="shared" ref="L169:L175" si="114">((+B169/A169)-(E169/D169))/(B169/A169)</f>
        <v>3.571314994434726E-2</v>
      </c>
    </row>
    <row r="170" spans="1:12" ht="15" thickBot="1" x14ac:dyDescent="0.35">
      <c r="A170" s="178">
        <v>322</v>
      </c>
      <c r="B170" s="45">
        <v>16551.900000000001</v>
      </c>
      <c r="C170" s="45" t="s">
        <v>3609</v>
      </c>
      <c r="D170" s="8">
        <f t="shared" si="112"/>
        <v>322</v>
      </c>
      <c r="E170" s="8">
        <f>+J170</f>
        <v>15583.5</v>
      </c>
      <c r="F170" s="45" t="s">
        <v>3610</v>
      </c>
      <c r="G170" s="45">
        <v>97451</v>
      </c>
      <c r="H170" s="14"/>
      <c r="I170" s="45">
        <v>322</v>
      </c>
      <c r="J170" s="46">
        <v>15583.5</v>
      </c>
      <c r="K170" s="54">
        <f t="shared" si="113"/>
        <v>0</v>
      </c>
      <c r="L170" s="31">
        <f t="shared" si="114"/>
        <v>5.8506878364417522E-2</v>
      </c>
    </row>
    <row r="171" spans="1:12" ht="15" thickBot="1" x14ac:dyDescent="0.35">
      <c r="A171" s="179">
        <v>131</v>
      </c>
      <c r="B171" s="42">
        <v>5152.2</v>
      </c>
      <c r="C171" s="42" t="s">
        <v>3611</v>
      </c>
      <c r="D171" s="8">
        <f t="shared" si="112"/>
        <v>131</v>
      </c>
      <c r="E171" s="8">
        <f t="shared" si="112"/>
        <v>4865.2000000000007</v>
      </c>
      <c r="F171" s="42" t="s">
        <v>3612</v>
      </c>
      <c r="G171" s="42">
        <v>97521</v>
      </c>
      <c r="H171" s="43"/>
      <c r="I171" s="42">
        <v>131</v>
      </c>
      <c r="J171" s="44">
        <v>4865.2000000000007</v>
      </c>
      <c r="K171" s="54">
        <f t="shared" si="113"/>
        <v>0</v>
      </c>
      <c r="L171" s="31">
        <f t="shared" si="114"/>
        <v>5.5704359302821929E-2</v>
      </c>
    </row>
    <row r="172" spans="1:12" ht="15" thickBot="1" x14ac:dyDescent="0.35">
      <c r="A172" s="179">
        <v>119</v>
      </c>
      <c r="B172" s="42">
        <v>4834.8999999999996</v>
      </c>
      <c r="C172" s="42" t="s">
        <v>3613</v>
      </c>
      <c r="D172" s="8">
        <f t="shared" si="112"/>
        <v>119</v>
      </c>
      <c r="E172" s="8">
        <f t="shared" si="112"/>
        <v>4608.6000000000004</v>
      </c>
      <c r="F172" s="42" t="s">
        <v>3614</v>
      </c>
      <c r="G172" s="42">
        <v>97531</v>
      </c>
      <c r="H172" s="43"/>
      <c r="I172" s="42">
        <v>119</v>
      </c>
      <c r="J172" s="44">
        <v>4608.6000000000004</v>
      </c>
      <c r="K172" s="54">
        <f t="shared" si="113"/>
        <v>0</v>
      </c>
      <c r="L172" s="31">
        <f t="shared" si="114"/>
        <v>4.6805518211338278E-2</v>
      </c>
    </row>
    <row r="173" spans="1:12" ht="15" thickBot="1" x14ac:dyDescent="0.35">
      <c r="A173" s="178">
        <v>200</v>
      </c>
      <c r="B173" s="45">
        <v>10430</v>
      </c>
      <c r="C173" s="45" t="s">
        <v>3615</v>
      </c>
      <c r="D173" s="8">
        <f t="shared" si="112"/>
        <v>200</v>
      </c>
      <c r="E173" s="8">
        <f t="shared" si="112"/>
        <v>10027.5</v>
      </c>
      <c r="F173" s="45" t="s">
        <v>3616</v>
      </c>
      <c r="G173" s="45">
        <v>97601</v>
      </c>
      <c r="H173" s="14"/>
      <c r="I173" s="45">
        <v>200</v>
      </c>
      <c r="J173" s="46">
        <v>10027.5</v>
      </c>
      <c r="K173" s="54">
        <f t="shared" si="113"/>
        <v>0</v>
      </c>
      <c r="L173" s="31">
        <f t="shared" si="114"/>
        <v>3.8590604026845554E-2</v>
      </c>
    </row>
    <row r="174" spans="1:12" ht="15" thickBot="1" x14ac:dyDescent="0.35">
      <c r="A174" s="178">
        <v>600</v>
      </c>
      <c r="B174" s="45">
        <v>28145.1</v>
      </c>
      <c r="C174" s="45" t="s">
        <v>3617</v>
      </c>
      <c r="D174" s="8">
        <f t="shared" si="112"/>
        <v>600</v>
      </c>
      <c r="E174" s="8">
        <f t="shared" si="112"/>
        <v>26863</v>
      </c>
      <c r="F174" s="45" t="s">
        <v>3618</v>
      </c>
      <c r="G174" s="45">
        <v>97691</v>
      </c>
      <c r="H174" s="14"/>
      <c r="I174" s="45">
        <v>600</v>
      </c>
      <c r="J174" s="46">
        <v>26863</v>
      </c>
      <c r="K174" s="54">
        <f t="shared" si="113"/>
        <v>0</v>
      </c>
      <c r="L174" s="31">
        <f t="shared" si="114"/>
        <v>4.5553222408163306E-2</v>
      </c>
    </row>
    <row r="175" spans="1:12" x14ac:dyDescent="0.3">
      <c r="A175" s="871">
        <v>979</v>
      </c>
      <c r="B175" s="873">
        <v>41296.9</v>
      </c>
      <c r="C175" s="873" t="s">
        <v>3773</v>
      </c>
      <c r="D175" s="873">
        <f>+I175+I176+I177</f>
        <v>983</v>
      </c>
      <c r="E175" s="873">
        <f>+J175+J176+J177</f>
        <v>39999.199999999997</v>
      </c>
      <c r="F175" s="39" t="s">
        <v>3774</v>
      </c>
      <c r="G175" s="39">
        <v>97761</v>
      </c>
      <c r="H175" s="40"/>
      <c r="I175" s="39">
        <v>200</v>
      </c>
      <c r="J175" s="41">
        <v>8364.2999999999993</v>
      </c>
      <c r="K175" s="882">
        <f t="shared" si="113"/>
        <v>-4</v>
      </c>
      <c r="L175" s="879">
        <f t="shared" si="114"/>
        <v>3.5364973747028829E-2</v>
      </c>
    </row>
    <row r="176" spans="1:12" x14ac:dyDescent="0.3">
      <c r="A176" s="875"/>
      <c r="B176" s="881"/>
      <c r="C176" s="881"/>
      <c r="D176" s="881"/>
      <c r="E176" s="881"/>
      <c r="F176" s="50" t="s">
        <v>3774</v>
      </c>
      <c r="G176" s="50">
        <v>97661</v>
      </c>
      <c r="I176" s="50">
        <v>400</v>
      </c>
      <c r="J176" s="51">
        <v>16242.900000000001</v>
      </c>
      <c r="K176" s="883"/>
      <c r="L176" s="885"/>
    </row>
    <row r="177" spans="1:12" ht="15" thickBot="1" x14ac:dyDescent="0.35">
      <c r="A177" s="872"/>
      <c r="B177" s="874"/>
      <c r="C177" s="874"/>
      <c r="D177" s="874"/>
      <c r="E177" s="874"/>
      <c r="F177" s="10" t="s">
        <v>3774</v>
      </c>
      <c r="G177" s="10">
        <v>97761</v>
      </c>
      <c r="H177" s="43"/>
      <c r="I177" s="42">
        <v>383</v>
      </c>
      <c r="J177" s="44">
        <v>15392</v>
      </c>
      <c r="K177" s="884"/>
      <c r="L177" s="880"/>
    </row>
    <row r="178" spans="1:12" ht="15" thickBot="1" x14ac:dyDescent="0.35">
      <c r="A178" s="175">
        <v>600</v>
      </c>
      <c r="B178" s="8">
        <v>31714.400000000001</v>
      </c>
      <c r="C178" s="8" t="s">
        <v>3775</v>
      </c>
      <c r="D178" s="8">
        <f t="shared" ref="D178:E178" si="115">+I178</f>
        <v>601</v>
      </c>
      <c r="E178" s="8">
        <f t="shared" si="115"/>
        <v>30689</v>
      </c>
      <c r="F178" s="45" t="s">
        <v>3776</v>
      </c>
      <c r="G178" s="45">
        <v>97931</v>
      </c>
      <c r="H178" s="14"/>
      <c r="I178" s="45">
        <v>601</v>
      </c>
      <c r="J178" s="46">
        <v>30689</v>
      </c>
      <c r="K178" s="54">
        <f t="shared" ref="K178:K180" si="116">+A178-D178</f>
        <v>-1</v>
      </c>
      <c r="L178" s="31">
        <f t="shared" ref="L178:L180" si="117">((+B178/A178)-(E178/D178))/(B178/A178)</f>
        <v>3.3942411899749454E-2</v>
      </c>
    </row>
    <row r="179" spans="1:12" ht="15" thickBot="1" x14ac:dyDescent="0.35">
      <c r="A179" s="178">
        <v>538</v>
      </c>
      <c r="B179" s="45">
        <v>27511.4</v>
      </c>
      <c r="C179" s="45" t="s">
        <v>3777</v>
      </c>
      <c r="D179" s="45">
        <v>538</v>
      </c>
      <c r="E179" s="45">
        <v>26562.7</v>
      </c>
      <c r="F179" s="45" t="s">
        <v>3778</v>
      </c>
      <c r="G179" s="45">
        <v>98091</v>
      </c>
      <c r="H179" s="14"/>
      <c r="I179" s="45">
        <v>400</v>
      </c>
      <c r="J179" s="45">
        <v>20278.599999999999</v>
      </c>
      <c r="K179" s="54">
        <f t="shared" si="116"/>
        <v>0</v>
      </c>
      <c r="L179" s="31">
        <f t="shared" si="117"/>
        <v>3.4483886679703722E-2</v>
      </c>
    </row>
    <row r="180" spans="1:12" x14ac:dyDescent="0.3">
      <c r="A180" s="871">
        <v>400</v>
      </c>
      <c r="B180" s="873">
        <v>20218.3</v>
      </c>
      <c r="C180" s="873" t="s">
        <v>4021</v>
      </c>
      <c r="D180" s="873">
        <f>+I180+I181</f>
        <v>401</v>
      </c>
      <c r="E180" s="873">
        <f>+J180+J181</f>
        <v>19346.900000000001</v>
      </c>
      <c r="F180" s="39" t="s">
        <v>4022</v>
      </c>
      <c r="G180" s="39">
        <v>98171</v>
      </c>
      <c r="H180" s="40"/>
      <c r="I180" s="39">
        <v>249</v>
      </c>
      <c r="J180" s="41">
        <v>11872.3</v>
      </c>
      <c r="K180" s="882">
        <f t="shared" si="116"/>
        <v>-1</v>
      </c>
      <c r="L180" s="879">
        <f t="shared" si="117"/>
        <v>4.5485853579007973E-2</v>
      </c>
    </row>
    <row r="181" spans="1:12" ht="15" thickBot="1" x14ac:dyDescent="0.35">
      <c r="A181" s="872"/>
      <c r="B181" s="874"/>
      <c r="C181" s="874"/>
      <c r="D181" s="874"/>
      <c r="E181" s="874"/>
      <c r="F181" s="42" t="s">
        <v>4022</v>
      </c>
      <c r="G181" s="42">
        <v>98171</v>
      </c>
      <c r="H181" s="43"/>
      <c r="I181" s="42">
        <v>152</v>
      </c>
      <c r="J181" s="44">
        <v>7474.6</v>
      </c>
      <c r="K181" s="884"/>
      <c r="L181" s="880"/>
    </row>
    <row r="182" spans="1:12" ht="15" thickBot="1" x14ac:dyDescent="0.35">
      <c r="A182" s="178">
        <v>208</v>
      </c>
      <c r="B182" s="45">
        <v>8265.1</v>
      </c>
      <c r="C182" s="45" t="s">
        <v>4023</v>
      </c>
      <c r="D182" s="45">
        <f>+I182</f>
        <v>208</v>
      </c>
      <c r="E182" s="45">
        <f>+J182</f>
        <v>7973.4</v>
      </c>
      <c r="F182" s="45" t="s">
        <v>4024</v>
      </c>
      <c r="G182" s="45">
        <v>98271</v>
      </c>
      <c r="H182" s="14"/>
      <c r="I182" s="45">
        <v>208</v>
      </c>
      <c r="J182" s="46">
        <v>7973.4</v>
      </c>
      <c r="K182" s="54">
        <f t="shared" ref="K182:K184" si="118">+A182-D182</f>
        <v>0</v>
      </c>
      <c r="L182" s="31">
        <f t="shared" ref="L182:L184" si="119">((+B182/A182)-(E182/D182))/(B182/A182)</f>
        <v>3.5292978911326087E-2</v>
      </c>
    </row>
    <row r="183" spans="1:12" ht="15" thickBot="1" x14ac:dyDescent="0.35">
      <c r="A183" s="178">
        <v>305</v>
      </c>
      <c r="B183" s="45">
        <v>15038.6</v>
      </c>
      <c r="C183" s="45" t="s">
        <v>4025</v>
      </c>
      <c r="D183" s="8">
        <f>+I183</f>
        <v>302</v>
      </c>
      <c r="E183" s="8">
        <f>+J183</f>
        <v>14390.600000000002</v>
      </c>
      <c r="F183" s="8" t="s">
        <v>4026</v>
      </c>
      <c r="G183" s="8">
        <v>98301</v>
      </c>
      <c r="H183" s="8"/>
      <c r="I183" s="8">
        <v>302</v>
      </c>
      <c r="J183" s="9">
        <v>14390.600000000002</v>
      </c>
      <c r="K183" s="54">
        <f t="shared" si="118"/>
        <v>3</v>
      </c>
      <c r="L183" s="31">
        <f t="shared" si="119"/>
        <v>3.3583380093063664E-2</v>
      </c>
    </row>
    <row r="184" spans="1:12" x14ac:dyDescent="0.3">
      <c r="A184" s="871">
        <v>894</v>
      </c>
      <c r="B184" s="873">
        <v>40944.9</v>
      </c>
      <c r="C184" s="873" t="s">
        <v>4027</v>
      </c>
      <c r="D184" s="873">
        <f>+I184+I185</f>
        <v>894</v>
      </c>
      <c r="E184" s="873">
        <f>+J184+J185</f>
        <v>39631.1</v>
      </c>
      <c r="F184" s="12" t="s">
        <v>4028</v>
      </c>
      <c r="G184" s="12">
        <v>98351</v>
      </c>
      <c r="H184" s="12"/>
      <c r="I184" s="12">
        <v>604</v>
      </c>
      <c r="J184" s="13">
        <v>26329.8</v>
      </c>
      <c r="K184" s="882">
        <f t="shared" si="118"/>
        <v>0</v>
      </c>
      <c r="L184" s="879">
        <f t="shared" si="119"/>
        <v>3.2087024269200806E-2</v>
      </c>
    </row>
    <row r="185" spans="1:12" ht="15" thickBot="1" x14ac:dyDescent="0.35">
      <c r="A185" s="872"/>
      <c r="B185" s="874"/>
      <c r="C185" s="874"/>
      <c r="D185" s="874"/>
      <c r="E185" s="874"/>
      <c r="F185" s="10" t="s">
        <v>4028</v>
      </c>
      <c r="G185" s="10">
        <v>98351</v>
      </c>
      <c r="H185" s="10"/>
      <c r="I185" s="10">
        <v>290</v>
      </c>
      <c r="J185" s="11">
        <v>13301.300000000001</v>
      </c>
      <c r="K185" s="884"/>
      <c r="L185" s="880"/>
    </row>
    <row r="186" spans="1:12" ht="15" thickBot="1" x14ac:dyDescent="0.35">
      <c r="A186" s="178">
        <v>162</v>
      </c>
      <c r="B186" s="45">
        <v>7889.6</v>
      </c>
      <c r="C186" s="45" t="s">
        <v>4029</v>
      </c>
      <c r="D186" s="8">
        <f t="shared" ref="D186:E189" si="120">+I186</f>
        <v>163</v>
      </c>
      <c r="E186" s="8">
        <f t="shared" si="120"/>
        <v>7505.7</v>
      </c>
      <c r="F186" s="8" t="s">
        <v>4030</v>
      </c>
      <c r="G186" s="8">
        <v>98411</v>
      </c>
      <c r="H186" s="8"/>
      <c r="I186" s="8">
        <v>163</v>
      </c>
      <c r="J186" s="9">
        <v>7505.7</v>
      </c>
      <c r="K186" s="54">
        <f t="shared" ref="K186:K190" si="121">+A186-D186</f>
        <v>-1</v>
      </c>
      <c r="L186" s="31">
        <f t="shared" ref="L186:L190" si="122">((+B186/A186)-(E186/D186))/(B186/A186)</f>
        <v>5.4495442007681513E-2</v>
      </c>
    </row>
    <row r="187" spans="1:12" ht="15" thickBot="1" x14ac:dyDescent="0.35">
      <c r="A187" s="178">
        <v>220</v>
      </c>
      <c r="B187" s="45">
        <v>9031.2999999999993</v>
      </c>
      <c r="C187" s="45" t="s">
        <v>4031</v>
      </c>
      <c r="D187" s="8">
        <f t="shared" si="120"/>
        <v>220</v>
      </c>
      <c r="E187" s="8">
        <f t="shared" si="120"/>
        <v>8771.5</v>
      </c>
      <c r="F187" s="8" t="s">
        <v>4032</v>
      </c>
      <c r="G187" s="8">
        <v>98441</v>
      </c>
      <c r="H187" s="14"/>
      <c r="I187" s="45">
        <v>220</v>
      </c>
      <c r="J187" s="46">
        <v>8771.5</v>
      </c>
      <c r="K187" s="54">
        <f t="shared" si="121"/>
        <v>0</v>
      </c>
      <c r="L187" s="31">
        <f t="shared" si="122"/>
        <v>2.876662274534118E-2</v>
      </c>
    </row>
    <row r="188" spans="1:12" ht="15" thickBot="1" x14ac:dyDescent="0.35">
      <c r="A188" s="178">
        <v>983</v>
      </c>
      <c r="B188" s="45">
        <v>42636.3</v>
      </c>
      <c r="C188" s="45" t="s">
        <v>4033</v>
      </c>
      <c r="D188" s="8">
        <f t="shared" si="120"/>
        <v>984</v>
      </c>
      <c r="E188" s="8">
        <f t="shared" si="120"/>
        <v>41384.899999999994</v>
      </c>
      <c r="F188" s="8" t="s">
        <v>4034</v>
      </c>
      <c r="G188" s="8">
        <v>98521</v>
      </c>
      <c r="H188" s="14"/>
      <c r="I188" s="45">
        <v>984</v>
      </c>
      <c r="J188" s="46">
        <v>41384.899999999994</v>
      </c>
      <c r="K188" s="54">
        <f t="shared" si="121"/>
        <v>-1</v>
      </c>
      <c r="L188" s="31">
        <f t="shared" si="122"/>
        <v>3.0337009196465363E-2</v>
      </c>
    </row>
    <row r="189" spans="1:12" ht="15" thickBot="1" x14ac:dyDescent="0.35">
      <c r="A189" s="177">
        <v>320</v>
      </c>
      <c r="B189" s="39">
        <v>15020.5</v>
      </c>
      <c r="C189" s="39" t="s">
        <v>4035</v>
      </c>
      <c r="D189" s="12">
        <f t="shared" si="120"/>
        <v>320</v>
      </c>
      <c r="E189" s="12">
        <f t="shared" si="120"/>
        <v>14438.599999999999</v>
      </c>
      <c r="F189" s="12" t="s">
        <v>4036</v>
      </c>
      <c r="G189" s="12">
        <v>98521</v>
      </c>
      <c r="H189" s="40"/>
      <c r="I189" s="39">
        <v>320</v>
      </c>
      <c r="J189" s="41">
        <v>14438.599999999999</v>
      </c>
      <c r="K189" s="54">
        <f t="shared" si="121"/>
        <v>0</v>
      </c>
      <c r="L189" s="31">
        <f t="shared" si="122"/>
        <v>3.8740388136213881E-2</v>
      </c>
    </row>
    <row r="190" spans="1:12" x14ac:dyDescent="0.3">
      <c r="A190" s="871">
        <v>1050</v>
      </c>
      <c r="B190" s="873">
        <v>49635.8</v>
      </c>
      <c r="C190" s="873" t="s">
        <v>4037</v>
      </c>
      <c r="D190" s="873">
        <f>+I190+I191+I192</f>
        <v>1049</v>
      </c>
      <c r="E190" s="873">
        <f>+J190+J191+J192</f>
        <v>48069.600000000006</v>
      </c>
      <c r="F190" s="12" t="s">
        <v>4038</v>
      </c>
      <c r="G190" s="12">
        <v>98731</v>
      </c>
      <c r="H190" s="40"/>
      <c r="I190" s="39">
        <v>249</v>
      </c>
      <c r="J190" s="41">
        <v>9566.7000000000007</v>
      </c>
      <c r="K190" s="882">
        <f t="shared" si="121"/>
        <v>1</v>
      </c>
      <c r="L190" s="879">
        <f t="shared" si="122"/>
        <v>3.063062923259615E-2</v>
      </c>
    </row>
    <row r="191" spans="1:12" x14ac:dyDescent="0.3">
      <c r="A191" s="875"/>
      <c r="B191" s="881"/>
      <c r="C191" s="881"/>
      <c r="D191" s="881"/>
      <c r="E191" s="881"/>
      <c r="F191" s="15" t="s">
        <v>4038</v>
      </c>
      <c r="G191" s="15">
        <v>98731</v>
      </c>
      <c r="I191" s="50">
        <v>400</v>
      </c>
      <c r="J191" s="51">
        <v>19392.099999999999</v>
      </c>
      <c r="K191" s="883"/>
      <c r="L191" s="885"/>
    </row>
    <row r="192" spans="1:12" ht="15" thickBot="1" x14ac:dyDescent="0.35">
      <c r="A192" s="872"/>
      <c r="B192" s="874"/>
      <c r="C192" s="881"/>
      <c r="D192" s="881"/>
      <c r="E192" s="881"/>
      <c r="F192" s="15" t="s">
        <v>4038</v>
      </c>
      <c r="G192" s="15">
        <v>98731</v>
      </c>
      <c r="I192" s="50">
        <v>400</v>
      </c>
      <c r="J192" s="51">
        <v>19110.800000000003</v>
      </c>
      <c r="K192" s="884"/>
      <c r="L192" s="880"/>
    </row>
    <row r="193" spans="1:12" x14ac:dyDescent="0.3">
      <c r="A193" s="871">
        <v>800</v>
      </c>
      <c r="B193" s="873">
        <v>39114.699999999997</v>
      </c>
      <c r="C193" s="873" t="s">
        <v>4039</v>
      </c>
      <c r="D193" s="873">
        <f>+I193+I194</f>
        <v>800</v>
      </c>
      <c r="E193" s="873">
        <f>+J193+J194</f>
        <v>37791.800000000003</v>
      </c>
      <c r="F193" s="12" t="s">
        <v>4040</v>
      </c>
      <c r="G193" s="12">
        <v>98841</v>
      </c>
      <c r="H193" s="40"/>
      <c r="I193" s="39">
        <v>400</v>
      </c>
      <c r="J193" s="41">
        <v>19203.8</v>
      </c>
      <c r="K193" s="882">
        <f t="shared" ref="K193" si="123">+A193-D193</f>
        <v>0</v>
      </c>
      <c r="L193" s="879">
        <f t="shared" ref="L193" si="124">((+B193/A193)-(E193/D193))/(B193/A193)</f>
        <v>3.3821044262131589E-2</v>
      </c>
    </row>
    <row r="194" spans="1:12" ht="15" thickBot="1" x14ac:dyDescent="0.35">
      <c r="A194" s="872"/>
      <c r="B194" s="874"/>
      <c r="C194" s="874"/>
      <c r="D194" s="874"/>
      <c r="E194" s="874"/>
      <c r="F194" s="10" t="s">
        <v>4040</v>
      </c>
      <c r="G194" s="10">
        <v>98841</v>
      </c>
      <c r="H194" s="43"/>
      <c r="I194" s="42">
        <v>400</v>
      </c>
      <c r="J194" s="44">
        <v>18588</v>
      </c>
      <c r="K194" s="884"/>
      <c r="L194" s="880"/>
    </row>
    <row r="195" spans="1:12" ht="15" thickBot="1" x14ac:dyDescent="0.35">
      <c r="A195" s="175">
        <v>597</v>
      </c>
      <c r="B195" s="8">
        <v>28677.7</v>
      </c>
      <c r="C195" s="8" t="s">
        <v>4272</v>
      </c>
      <c r="D195" s="12">
        <f>+I195</f>
        <v>597</v>
      </c>
      <c r="E195" s="12">
        <f t="shared" ref="E195:E196" si="125">+J195</f>
        <v>27944.9</v>
      </c>
      <c r="F195" s="8" t="s">
        <v>4273</v>
      </c>
      <c r="G195" s="8">
        <v>98901</v>
      </c>
      <c r="H195" s="14"/>
      <c r="I195" s="45">
        <v>597</v>
      </c>
      <c r="J195" s="46">
        <v>27944.9</v>
      </c>
      <c r="K195" s="54">
        <f t="shared" ref="K195:K197" si="126">+A195-D195</f>
        <v>0</v>
      </c>
      <c r="L195" s="31">
        <f t="shared" ref="L195:L197" si="127">((+B195/A195)-(E195/D195))/(B195/A195)</f>
        <v>2.5552955780972681E-2</v>
      </c>
    </row>
    <row r="196" spans="1:12" ht="15" thickBot="1" x14ac:dyDescent="0.35">
      <c r="A196" s="175">
        <v>123</v>
      </c>
      <c r="B196" s="8">
        <v>6425.75</v>
      </c>
      <c r="C196" s="8" t="s">
        <v>4274</v>
      </c>
      <c r="D196" s="8">
        <f>+I196</f>
        <v>123</v>
      </c>
      <c r="E196" s="8">
        <f t="shared" si="125"/>
        <v>6318.1</v>
      </c>
      <c r="F196" s="8" t="s">
        <v>4275</v>
      </c>
      <c r="G196" s="8">
        <v>98991</v>
      </c>
      <c r="H196" s="14"/>
      <c r="I196" s="45">
        <v>123</v>
      </c>
      <c r="J196" s="46">
        <v>6318.1</v>
      </c>
      <c r="K196" s="54">
        <f t="shared" si="126"/>
        <v>0</v>
      </c>
      <c r="L196" s="31">
        <f t="shared" si="127"/>
        <v>1.675290822083025E-2</v>
      </c>
    </row>
    <row r="197" spans="1:12" x14ac:dyDescent="0.3">
      <c r="A197" s="871">
        <v>958</v>
      </c>
      <c r="B197" s="873">
        <v>40177.199999999997</v>
      </c>
      <c r="C197" s="873" t="s">
        <v>4276</v>
      </c>
      <c r="D197" s="873">
        <f>+I197+I198</f>
        <v>958</v>
      </c>
      <c r="E197" s="873">
        <f>+J197+J198</f>
        <v>39231.699999999997</v>
      </c>
      <c r="F197" s="12" t="s">
        <v>4277</v>
      </c>
      <c r="G197" s="12">
        <v>99051</v>
      </c>
      <c r="H197" s="40"/>
      <c r="I197" s="39">
        <v>800</v>
      </c>
      <c r="J197" s="41">
        <v>33170.5</v>
      </c>
      <c r="K197" s="882">
        <f t="shared" si="126"/>
        <v>0</v>
      </c>
      <c r="L197" s="879">
        <f t="shared" si="127"/>
        <v>2.3533247712633043E-2</v>
      </c>
    </row>
    <row r="198" spans="1:12" ht="15" thickBot="1" x14ac:dyDescent="0.35">
      <c r="A198" s="872"/>
      <c r="B198" s="874"/>
      <c r="C198" s="874"/>
      <c r="D198" s="874"/>
      <c r="E198" s="874"/>
      <c r="F198" s="10" t="s">
        <v>4277</v>
      </c>
      <c r="G198" s="10">
        <v>99051</v>
      </c>
      <c r="H198" s="43"/>
      <c r="I198" s="42">
        <v>158</v>
      </c>
      <c r="J198" s="44">
        <v>6061.2000000000007</v>
      </c>
      <c r="K198" s="884"/>
      <c r="L198" s="880"/>
    </row>
    <row r="199" spans="1:12" x14ac:dyDescent="0.3">
      <c r="A199" s="871">
        <v>1483</v>
      </c>
      <c r="B199" s="873">
        <v>60173.9</v>
      </c>
      <c r="C199" s="873" t="s">
        <v>4278</v>
      </c>
      <c r="D199" s="873">
        <v>1482</v>
      </c>
      <c r="E199" s="873">
        <v>58825.1</v>
      </c>
      <c r="F199" s="12" t="s">
        <v>4279</v>
      </c>
      <c r="G199" s="12">
        <v>99081</v>
      </c>
      <c r="H199" s="40"/>
      <c r="I199" s="39">
        <v>213</v>
      </c>
      <c r="J199" s="41">
        <v>8471.7000000000007</v>
      </c>
      <c r="K199" s="882">
        <f t="shared" ref="K199" si="128">+A199-D199</f>
        <v>1</v>
      </c>
      <c r="L199" s="879">
        <f t="shared" ref="L199" si="129">((+B199/A199)-(E199/D199))/(B199/A199)</f>
        <v>2.1755394781915141E-2</v>
      </c>
    </row>
    <row r="200" spans="1:12" x14ac:dyDescent="0.3">
      <c r="A200" s="875"/>
      <c r="B200" s="881"/>
      <c r="C200" s="881"/>
      <c r="D200" s="881"/>
      <c r="E200" s="881"/>
      <c r="F200" s="15" t="s">
        <v>4279</v>
      </c>
      <c r="G200" s="15">
        <v>99081</v>
      </c>
      <c r="I200" s="50">
        <v>491</v>
      </c>
      <c r="J200" s="51">
        <v>19555.900000000001</v>
      </c>
      <c r="K200" s="883"/>
      <c r="L200" s="885"/>
    </row>
    <row r="201" spans="1:12" ht="15" thickBot="1" x14ac:dyDescent="0.35">
      <c r="A201" s="872"/>
      <c r="B201" s="874"/>
      <c r="C201" s="874"/>
      <c r="D201" s="874"/>
      <c r="E201" s="874"/>
      <c r="F201" s="10" t="s">
        <v>4279</v>
      </c>
      <c r="G201" s="10">
        <v>99081</v>
      </c>
      <c r="H201" s="43"/>
      <c r="I201" s="42">
        <v>173</v>
      </c>
      <c r="J201" s="44">
        <v>6930.2</v>
      </c>
      <c r="K201" s="884"/>
      <c r="L201" s="880"/>
    </row>
    <row r="202" spans="1:12" ht="15" thickBot="1" x14ac:dyDescent="0.35">
      <c r="A202" s="178">
        <v>400</v>
      </c>
      <c r="B202" s="45">
        <v>19778.2</v>
      </c>
      <c r="C202" s="45" t="s">
        <v>4549</v>
      </c>
      <c r="D202" s="8">
        <v>400</v>
      </c>
      <c r="E202" s="8">
        <v>19097.400000000001</v>
      </c>
      <c r="F202" s="8" t="s">
        <v>4550</v>
      </c>
      <c r="G202" s="8">
        <v>99231</v>
      </c>
      <c r="H202" s="14"/>
      <c r="I202" s="45">
        <v>238</v>
      </c>
      <c r="J202" s="46">
        <v>11967.400000000001</v>
      </c>
      <c r="K202" s="54">
        <f t="shared" ref="K202" si="130">+A202-D202</f>
        <v>0</v>
      </c>
      <c r="L202" s="31">
        <f t="shared" ref="L202" si="131">((+B202/A202)-(E202/D202))/(B202/A202)</f>
        <v>3.442173706404017E-2</v>
      </c>
    </row>
    <row r="203" spans="1:12" ht="15" thickBot="1" x14ac:dyDescent="0.35">
      <c r="A203" s="178">
        <v>238</v>
      </c>
      <c r="B203" s="45">
        <v>11988.5</v>
      </c>
      <c r="C203" s="45" t="s">
        <v>4351</v>
      </c>
      <c r="D203" s="8">
        <f>+I203</f>
        <v>238</v>
      </c>
      <c r="E203" s="8">
        <f t="shared" ref="E203:E204" si="132">+J203</f>
        <v>11967.400000000001</v>
      </c>
      <c r="F203" s="8" t="s">
        <v>4352</v>
      </c>
      <c r="G203" s="8">
        <v>99551</v>
      </c>
      <c r="H203" s="14"/>
      <c r="I203" s="45">
        <v>238</v>
      </c>
      <c r="J203" s="46">
        <v>11967.400000000001</v>
      </c>
      <c r="K203" s="54">
        <f t="shared" ref="K203" si="133">+A203-D203</f>
        <v>0</v>
      </c>
      <c r="L203" s="31">
        <f t="shared" ref="L203" si="134">((+B203/A203)-(E203/D203))/(B203/A203)</f>
        <v>1.7600200191849227E-3</v>
      </c>
    </row>
    <row r="204" spans="1:12" ht="15" thickBot="1" x14ac:dyDescent="0.35">
      <c r="A204" s="179">
        <v>400</v>
      </c>
      <c r="B204" s="45">
        <v>16100.5</v>
      </c>
      <c r="C204" s="45" t="s">
        <v>4463</v>
      </c>
      <c r="D204" s="10">
        <f>+I204</f>
        <v>400</v>
      </c>
      <c r="E204" s="10">
        <f t="shared" si="132"/>
        <v>16822.599999999999</v>
      </c>
      <c r="F204" s="8" t="s">
        <v>4464</v>
      </c>
      <c r="G204" s="8">
        <v>99661</v>
      </c>
      <c r="H204" s="14"/>
      <c r="I204" s="45">
        <v>400</v>
      </c>
      <c r="J204" s="46">
        <v>16822.599999999999</v>
      </c>
      <c r="K204" s="54">
        <f t="shared" ref="K204" si="135">+A204-D204</f>
        <v>0</v>
      </c>
      <c r="L204" s="31">
        <f t="shared" ref="L204" si="136">((+B204/A204)-(E204/D204))/(B204/A204)</f>
        <v>-4.4849538834197719E-2</v>
      </c>
    </row>
    <row r="205" spans="1:12" ht="15" thickBot="1" x14ac:dyDescent="0.35">
      <c r="A205" s="348">
        <v>300</v>
      </c>
      <c r="B205" s="45">
        <v>13185</v>
      </c>
      <c r="C205" s="45" t="s">
        <v>4551</v>
      </c>
      <c r="D205" s="45">
        <f>+I205</f>
        <v>300</v>
      </c>
      <c r="E205" s="45">
        <f>+J205</f>
        <v>12670.9</v>
      </c>
      <c r="F205" s="8" t="s">
        <v>4552</v>
      </c>
      <c r="G205" s="8">
        <v>99671</v>
      </c>
      <c r="H205" s="14"/>
      <c r="I205" s="45">
        <v>300</v>
      </c>
      <c r="J205" s="46">
        <v>12670.9</v>
      </c>
      <c r="K205" s="54">
        <f t="shared" ref="K205" si="137">+A205-D205</f>
        <v>0</v>
      </c>
      <c r="L205" s="31">
        <f t="shared" ref="L205" si="138">((+B205/A205)-(E205/D205))/(B205/A205)</f>
        <v>3.8991277967387224E-2</v>
      </c>
    </row>
    <row r="206" spans="1:12" ht="15" thickBot="1" x14ac:dyDescent="0.35">
      <c r="A206" s="348">
        <v>1009</v>
      </c>
      <c r="B206" s="45">
        <v>45029.25</v>
      </c>
      <c r="C206" s="45" t="s">
        <v>4601</v>
      </c>
      <c r="D206" s="45">
        <v>1009</v>
      </c>
      <c r="E206" s="45">
        <v>44384.3</v>
      </c>
      <c r="F206" s="8" t="s">
        <v>4602</v>
      </c>
      <c r="G206" s="8">
        <v>99961</v>
      </c>
      <c r="H206" s="14"/>
      <c r="I206" s="45">
        <v>300</v>
      </c>
      <c r="J206" s="46">
        <v>12670.9</v>
      </c>
      <c r="K206" s="54">
        <f t="shared" ref="K206:K207" si="139">+A206-D206</f>
        <v>0</v>
      </c>
      <c r="L206" s="31">
        <f t="shared" ref="L206:L207" si="140">((+B206/A206)-(E206/D206))/(B206/A206)</f>
        <v>1.4322912329208171E-2</v>
      </c>
    </row>
    <row r="207" spans="1:12" x14ac:dyDescent="0.3">
      <c r="A207" s="871">
        <v>640</v>
      </c>
      <c r="B207" s="873">
        <v>28362.75</v>
      </c>
      <c r="C207" s="873" t="s">
        <v>4643</v>
      </c>
      <c r="D207" s="873">
        <f>+I207+I208</f>
        <v>640</v>
      </c>
      <c r="E207" s="873">
        <f>+J207+J208</f>
        <v>27714.2</v>
      </c>
      <c r="F207" s="12" t="s">
        <v>4644</v>
      </c>
      <c r="G207" s="12">
        <v>100011</v>
      </c>
      <c r="H207" s="40"/>
      <c r="I207" s="39">
        <v>437</v>
      </c>
      <c r="J207" s="41">
        <v>18951.900000000001</v>
      </c>
      <c r="K207" s="882">
        <f t="shared" si="139"/>
        <v>0</v>
      </c>
      <c r="L207" s="879">
        <f t="shared" si="140"/>
        <v>2.2866259442402451E-2</v>
      </c>
    </row>
    <row r="208" spans="1:12" ht="15" thickBot="1" x14ac:dyDescent="0.35">
      <c r="A208" s="872"/>
      <c r="B208" s="874"/>
      <c r="C208" s="874"/>
      <c r="D208" s="874"/>
      <c r="E208" s="874"/>
      <c r="F208" s="10" t="s">
        <v>4644</v>
      </c>
      <c r="G208" s="10">
        <v>100011</v>
      </c>
      <c r="H208" s="43"/>
      <c r="I208" s="42">
        <v>203</v>
      </c>
      <c r="J208" s="44">
        <v>8762.2999999999993</v>
      </c>
      <c r="K208" s="884"/>
      <c r="L208" s="880"/>
    </row>
    <row r="209" spans="1:12" ht="15" thickBot="1" x14ac:dyDescent="0.35">
      <c r="A209" s="178">
        <v>1582</v>
      </c>
      <c r="B209" s="45">
        <v>68484</v>
      </c>
      <c r="C209" s="45" t="s">
        <v>4705</v>
      </c>
      <c r="D209" s="45">
        <v>1582</v>
      </c>
      <c r="E209" s="45">
        <v>66964.7</v>
      </c>
      <c r="F209" s="8" t="s">
        <v>4706</v>
      </c>
      <c r="G209" s="8">
        <v>100081</v>
      </c>
      <c r="H209" s="14"/>
      <c r="I209" s="45">
        <v>200</v>
      </c>
      <c r="J209" s="46">
        <v>8970</v>
      </c>
      <c r="K209" s="54">
        <f t="shared" ref="K209" si="141">+A209-D209</f>
        <v>0</v>
      </c>
      <c r="L209" s="31">
        <f t="shared" ref="L209" si="142">((+B209/A209)-(E209/D209))/(B209/A209)</f>
        <v>2.2184743881782633E-2</v>
      </c>
    </row>
    <row r="210" spans="1:12" ht="15" thickBot="1" x14ac:dyDescent="0.35">
      <c r="A210" s="178">
        <v>200</v>
      </c>
      <c r="B210" s="45">
        <v>8999.75</v>
      </c>
      <c r="C210" s="45" t="s">
        <v>4645</v>
      </c>
      <c r="D210" s="45">
        <f>+I210</f>
        <v>200</v>
      </c>
      <c r="E210" s="45">
        <f>+J210</f>
        <v>8970</v>
      </c>
      <c r="F210" s="8" t="s">
        <v>4646</v>
      </c>
      <c r="G210" s="8">
        <v>100191</v>
      </c>
      <c r="H210" s="14"/>
      <c r="I210" s="45">
        <v>200</v>
      </c>
      <c r="J210" s="46">
        <v>8970</v>
      </c>
      <c r="K210" s="54">
        <f t="shared" ref="K210" si="143">+A210-D210</f>
        <v>0</v>
      </c>
      <c r="L210" s="31">
        <f t="shared" ref="L210" si="144">((+B210/A210)-(E210/D210))/(B210/A210)</f>
        <v>3.3056473790938575E-3</v>
      </c>
    </row>
    <row r="211" spans="1:12" ht="15" thickBot="1" x14ac:dyDescent="0.35">
      <c r="A211" s="178">
        <v>345</v>
      </c>
      <c r="B211" s="45">
        <v>14812.75</v>
      </c>
      <c r="C211" s="45" t="s">
        <v>4800</v>
      </c>
      <c r="D211" s="45">
        <f t="shared" ref="D211:E211" si="145">+I211</f>
        <v>345</v>
      </c>
      <c r="E211" s="45">
        <f t="shared" si="145"/>
        <v>14371.3</v>
      </c>
      <c r="F211" s="8" t="s">
        <v>4801</v>
      </c>
      <c r="G211" s="8">
        <v>100271</v>
      </c>
      <c r="H211" s="14"/>
      <c r="I211" s="45">
        <v>345</v>
      </c>
      <c r="J211" s="46">
        <v>14371.3</v>
      </c>
      <c r="K211" s="54">
        <f t="shared" ref="K211:K213" si="146">+A211-D211</f>
        <v>0</v>
      </c>
      <c r="L211" s="31">
        <f t="shared" ref="L211:L213" si="147">((+B211/A211)-(E211/D211))/(B211/A211)</f>
        <v>2.9802028657744103E-2</v>
      </c>
    </row>
    <row r="212" spans="1:12" ht="15" thickBot="1" x14ac:dyDescent="0.35">
      <c r="A212" s="179">
        <v>219</v>
      </c>
      <c r="B212" s="42">
        <v>8456.2000000000007</v>
      </c>
      <c r="C212" s="42" t="s">
        <v>4802</v>
      </c>
      <c r="D212" s="45">
        <f>+I212+164</f>
        <v>219</v>
      </c>
      <c r="E212" s="45">
        <f>+J212+6110.8</f>
        <v>8130.5</v>
      </c>
      <c r="F212" s="10" t="s">
        <v>4803</v>
      </c>
      <c r="G212" s="10">
        <v>100491</v>
      </c>
      <c r="H212" s="43"/>
      <c r="I212" s="42">
        <v>55</v>
      </c>
      <c r="J212" s="44">
        <v>2019.7</v>
      </c>
      <c r="K212" s="54">
        <f t="shared" si="146"/>
        <v>0</v>
      </c>
      <c r="L212" s="31">
        <f t="shared" si="147"/>
        <v>3.8516118351032413E-2</v>
      </c>
    </row>
    <row r="213" spans="1:12" x14ac:dyDescent="0.3">
      <c r="A213" s="882">
        <v>797</v>
      </c>
      <c r="B213" s="982">
        <v>34495.75</v>
      </c>
      <c r="C213" s="982" t="s">
        <v>4901</v>
      </c>
      <c r="D213" s="873">
        <f>+I213+I214</f>
        <v>797</v>
      </c>
      <c r="E213" s="873">
        <f>+J213+J214</f>
        <v>33172.9</v>
      </c>
      <c r="F213" s="12" t="s">
        <v>4902</v>
      </c>
      <c r="G213" s="12">
        <v>100571</v>
      </c>
      <c r="H213" s="40"/>
      <c r="I213" s="39">
        <v>36</v>
      </c>
      <c r="J213" s="41">
        <v>1477.9</v>
      </c>
      <c r="K213" s="882">
        <f t="shared" si="146"/>
        <v>0</v>
      </c>
      <c r="L213" s="879">
        <f t="shared" si="147"/>
        <v>3.8348202314777792E-2</v>
      </c>
    </row>
    <row r="214" spans="1:12" ht="15" thickBot="1" x14ac:dyDescent="0.35">
      <c r="A214" s="884"/>
      <c r="B214" s="983"/>
      <c r="C214" s="983"/>
      <c r="D214" s="874"/>
      <c r="E214" s="874"/>
      <c r="F214" s="10" t="s">
        <v>4902</v>
      </c>
      <c r="G214" s="10">
        <v>100571</v>
      </c>
      <c r="H214" s="43"/>
      <c r="I214" s="42">
        <v>761</v>
      </c>
      <c r="J214" s="44">
        <v>31695</v>
      </c>
      <c r="K214" s="884"/>
      <c r="L214" s="880"/>
    </row>
    <row r="215" spans="1:12" ht="15" thickBot="1" x14ac:dyDescent="0.35">
      <c r="A215" s="177">
        <v>298</v>
      </c>
      <c r="B215" s="39">
        <v>12996.75</v>
      </c>
      <c r="C215" s="39" t="s">
        <v>4903</v>
      </c>
      <c r="D215" s="39">
        <f>+I215</f>
        <v>298</v>
      </c>
      <c r="E215" s="39">
        <f>+J215</f>
        <v>12700.099999999999</v>
      </c>
      <c r="F215" s="12" t="s">
        <v>4904</v>
      </c>
      <c r="G215" s="12">
        <v>100701</v>
      </c>
      <c r="H215" s="40"/>
      <c r="I215" s="39">
        <v>298</v>
      </c>
      <c r="J215" s="41">
        <v>12700.099999999999</v>
      </c>
      <c r="K215" s="54">
        <f t="shared" ref="K215" si="148">+A215-D215</f>
        <v>0</v>
      </c>
      <c r="L215" s="31">
        <f t="shared" ref="L215" si="149">((+B215/A215)-(E215/D215))/(B215/A215)</f>
        <v>2.2824937003481753E-2</v>
      </c>
    </row>
    <row r="216" spans="1:12" x14ac:dyDescent="0.3">
      <c r="A216" s="871">
        <v>387</v>
      </c>
      <c r="B216" s="873">
        <v>16147</v>
      </c>
      <c r="C216" s="873" t="s">
        <v>4905</v>
      </c>
      <c r="D216" s="873">
        <v>393</v>
      </c>
      <c r="E216" s="873">
        <v>16174.5</v>
      </c>
      <c r="F216" s="12" t="s">
        <v>4906</v>
      </c>
      <c r="G216" s="12">
        <v>100841</v>
      </c>
      <c r="H216" s="40"/>
      <c r="I216" s="39">
        <v>302</v>
      </c>
      <c r="J216" s="41">
        <v>12402.3</v>
      </c>
      <c r="K216" s="882">
        <f t="shared" ref="K216" si="150">+A216-D216</f>
        <v>-6</v>
      </c>
      <c r="L216" s="879">
        <f t="shared" ref="L216" si="151">((+B216/A216)-(E216/D216))/(B216/A216)</f>
        <v>1.3590074397579012E-2</v>
      </c>
    </row>
    <row r="217" spans="1:12" ht="15" thickBot="1" x14ac:dyDescent="0.35">
      <c r="A217" s="872"/>
      <c r="B217" s="874"/>
      <c r="C217" s="874"/>
      <c r="D217" s="874"/>
      <c r="E217" s="874"/>
      <c r="F217" s="10" t="s">
        <v>3119</v>
      </c>
      <c r="G217" s="10">
        <v>18631</v>
      </c>
      <c r="H217" s="43"/>
      <c r="I217" s="42">
        <v>6</v>
      </c>
      <c r="J217" s="44">
        <v>295.10000000000002</v>
      </c>
      <c r="K217" s="884"/>
      <c r="L217" s="880"/>
    </row>
    <row r="218" spans="1:12" ht="15" thickBot="1" x14ac:dyDescent="0.35">
      <c r="A218" s="178">
        <v>440</v>
      </c>
      <c r="B218" s="45">
        <v>18478.75</v>
      </c>
      <c r="C218" s="45" t="s">
        <v>5011</v>
      </c>
      <c r="D218" s="45">
        <f t="shared" ref="D218:E218" si="152">+I218</f>
        <v>439</v>
      </c>
      <c r="E218" s="45">
        <f t="shared" si="152"/>
        <v>18086.300000000003</v>
      </c>
      <c r="F218" s="8" t="s">
        <v>5012</v>
      </c>
      <c r="G218" s="8">
        <v>100951</v>
      </c>
      <c r="H218" s="14"/>
      <c r="I218" s="45">
        <v>439</v>
      </c>
      <c r="J218" s="46">
        <v>18086.300000000003</v>
      </c>
      <c r="K218" s="54">
        <f t="shared" ref="K218:K219" si="153">+A218-D218</f>
        <v>1</v>
      </c>
      <c r="L218" s="31">
        <f t="shared" ref="L218:L219" si="154">((+B218/A218)-(E218/D218))/(B218/A218)</f>
        <v>1.900838200376986E-2</v>
      </c>
    </row>
    <row r="219" spans="1:12" ht="15" thickBot="1" x14ac:dyDescent="0.35">
      <c r="A219" s="178">
        <v>1120</v>
      </c>
      <c r="B219" s="45">
        <v>47537.5</v>
      </c>
      <c r="C219" s="45" t="s">
        <v>5013</v>
      </c>
      <c r="D219" s="45">
        <v>1120</v>
      </c>
      <c r="E219" s="45">
        <v>46838.2</v>
      </c>
      <c r="F219" s="8" t="s">
        <v>5014</v>
      </c>
      <c r="G219" s="8">
        <v>101041</v>
      </c>
      <c r="H219" s="14"/>
      <c r="I219" s="45">
        <v>220</v>
      </c>
      <c r="J219" s="46">
        <v>9222.7999999999993</v>
      </c>
      <c r="K219" s="54">
        <f t="shared" si="153"/>
        <v>0</v>
      </c>
      <c r="L219" s="31">
        <f t="shared" si="154"/>
        <v>1.4710491717065654E-2</v>
      </c>
    </row>
    <row r="220" spans="1:12" ht="15" thickBot="1" x14ac:dyDescent="0.35">
      <c r="A220" s="370">
        <v>126</v>
      </c>
      <c r="B220" s="372">
        <v>5432</v>
      </c>
      <c r="C220" s="372" t="s">
        <v>5220</v>
      </c>
      <c r="D220" s="378">
        <f t="shared" ref="D220:E220" si="155">+I220</f>
        <v>126</v>
      </c>
      <c r="E220" s="378">
        <f t="shared" si="155"/>
        <v>5484.5</v>
      </c>
      <c r="F220" s="372" t="s">
        <v>5221</v>
      </c>
      <c r="G220" s="372">
        <v>101371</v>
      </c>
      <c r="H220" s="40"/>
      <c r="I220" s="378">
        <v>126</v>
      </c>
      <c r="J220" s="41">
        <v>5484.5</v>
      </c>
      <c r="K220" s="54">
        <f t="shared" ref="K220:K221" si="156">+A220-D220</f>
        <v>0</v>
      </c>
      <c r="L220" s="31">
        <f t="shared" ref="L220:L221" si="157">((+B220/A220)-(E220/D220))/(B220/A220)</f>
        <v>-9.6649484536081923E-3</v>
      </c>
    </row>
    <row r="221" spans="1:12" x14ac:dyDescent="0.3">
      <c r="A221" s="871">
        <v>249</v>
      </c>
      <c r="B221" s="873">
        <v>11421.5</v>
      </c>
      <c r="C221" s="873" t="s">
        <v>5222</v>
      </c>
      <c r="D221" s="873">
        <f>+I221+I222</f>
        <v>249</v>
      </c>
      <c r="E221" s="873">
        <f>+J221+J222</f>
        <v>11613.2</v>
      </c>
      <c r="F221" s="372" t="s">
        <v>5223</v>
      </c>
      <c r="G221" s="372">
        <v>101451</v>
      </c>
      <c r="H221" s="40"/>
      <c r="I221" s="378">
        <v>138</v>
      </c>
      <c r="J221" s="41">
        <v>6388.9</v>
      </c>
      <c r="K221" s="882">
        <f t="shared" si="156"/>
        <v>0</v>
      </c>
      <c r="L221" s="879">
        <f t="shared" si="157"/>
        <v>-1.6784135183644987E-2</v>
      </c>
    </row>
    <row r="222" spans="1:12" ht="15" thickBot="1" x14ac:dyDescent="0.35">
      <c r="A222" s="872"/>
      <c r="B222" s="874"/>
      <c r="C222" s="874"/>
      <c r="D222" s="874"/>
      <c r="E222" s="874"/>
      <c r="F222" s="373" t="s">
        <v>5223</v>
      </c>
      <c r="G222" s="373">
        <v>101451</v>
      </c>
      <c r="H222" s="380"/>
      <c r="I222" s="379">
        <v>111</v>
      </c>
      <c r="J222" s="44">
        <v>5224.3</v>
      </c>
      <c r="K222" s="884"/>
      <c r="L222" s="880"/>
    </row>
    <row r="223" spans="1:12" ht="15" thickBot="1" x14ac:dyDescent="0.35">
      <c r="A223" s="175">
        <v>558</v>
      </c>
      <c r="B223" s="8">
        <v>23815</v>
      </c>
      <c r="C223" s="8" t="s">
        <v>5224</v>
      </c>
      <c r="D223" s="45">
        <v>558</v>
      </c>
      <c r="E223" s="45">
        <v>23701.8</v>
      </c>
      <c r="F223" s="8" t="s">
        <v>5225</v>
      </c>
      <c r="G223" s="8">
        <v>101561</v>
      </c>
      <c r="H223" s="80"/>
      <c r="I223" s="8">
        <v>220</v>
      </c>
      <c r="J223" s="9">
        <v>9285</v>
      </c>
      <c r="K223" s="54">
        <f t="shared" ref="K223:K224" si="158">+A223-D223</f>
        <v>0</v>
      </c>
      <c r="L223" s="31">
        <f t="shared" ref="L223:L224" si="159">((+B223/A223)-(E223/D223))/(B223/A223)</f>
        <v>4.753306739449987E-3</v>
      </c>
    </row>
    <row r="224" spans="1:12" x14ac:dyDescent="0.3">
      <c r="A224" s="875">
        <v>637</v>
      </c>
      <c r="B224" s="881">
        <v>27641.25</v>
      </c>
      <c r="C224" s="881" t="s">
        <v>5306</v>
      </c>
      <c r="D224" s="881">
        <f>+I224+I225</f>
        <v>637</v>
      </c>
      <c r="E224" s="881">
        <f>+J224+J225</f>
        <v>27379</v>
      </c>
      <c r="F224" s="383" t="s">
        <v>5307</v>
      </c>
      <c r="G224" s="383">
        <v>101781</v>
      </c>
      <c r="H224" s="81"/>
      <c r="I224" s="383">
        <v>197</v>
      </c>
      <c r="J224" s="16">
        <v>8322.2999999999993</v>
      </c>
      <c r="K224" s="882">
        <f t="shared" si="158"/>
        <v>0</v>
      </c>
      <c r="L224" s="879">
        <f t="shared" si="159"/>
        <v>9.4876317098539532E-3</v>
      </c>
    </row>
    <row r="225" spans="1:12" ht="15" thickBot="1" x14ac:dyDescent="0.35">
      <c r="A225" s="872"/>
      <c r="B225" s="874"/>
      <c r="C225" s="874"/>
      <c r="D225" s="874"/>
      <c r="E225" s="874"/>
      <c r="F225" s="387" t="s">
        <v>5307</v>
      </c>
      <c r="G225" s="387">
        <v>101781</v>
      </c>
      <c r="H225" s="394"/>
      <c r="I225" s="393">
        <v>440</v>
      </c>
      <c r="J225" s="44">
        <v>19056.7</v>
      </c>
      <c r="K225" s="884"/>
      <c r="L225" s="880"/>
    </row>
    <row r="226" spans="1:12" ht="15" thickBot="1" x14ac:dyDescent="0.35">
      <c r="A226" s="388">
        <v>200</v>
      </c>
      <c r="B226" s="392">
        <v>8516.25</v>
      </c>
      <c r="C226" s="382" t="s">
        <v>5308</v>
      </c>
      <c r="D226" s="382">
        <f>+I226</f>
        <v>200</v>
      </c>
      <c r="E226" s="382">
        <f>+J226</f>
        <v>8525.2999999999993</v>
      </c>
      <c r="F226" s="382" t="s">
        <v>5309</v>
      </c>
      <c r="G226" s="382">
        <v>101861</v>
      </c>
      <c r="H226" s="40"/>
      <c r="I226" s="382">
        <v>200</v>
      </c>
      <c r="J226" s="13">
        <v>8525.2999999999993</v>
      </c>
      <c r="K226" s="54">
        <f t="shared" ref="K226" si="160">+A226-D226</f>
        <v>0</v>
      </c>
      <c r="L226" s="31">
        <f t="shared" ref="L226" si="161">((+B226/A226)-(E226/D226))/(B226/A226)</f>
        <v>-1.0626742991339097E-3</v>
      </c>
    </row>
    <row r="227" spans="1:12" ht="15" thickBot="1" x14ac:dyDescent="0.35">
      <c r="A227" s="178">
        <v>580</v>
      </c>
      <c r="B227" s="45">
        <v>24941.5</v>
      </c>
      <c r="C227" s="8" t="s">
        <v>5310</v>
      </c>
      <c r="D227" s="8">
        <v>580</v>
      </c>
      <c r="E227" s="8">
        <v>24874.1</v>
      </c>
      <c r="F227" s="8" t="s">
        <v>5311</v>
      </c>
      <c r="G227" s="8">
        <v>101951</v>
      </c>
      <c r="H227" s="14"/>
      <c r="I227" s="8">
        <v>200</v>
      </c>
      <c r="J227" s="9">
        <v>8396.4</v>
      </c>
      <c r="K227" s="54">
        <f t="shared" ref="K227:K228" si="162">+A227-D227</f>
        <v>0</v>
      </c>
      <c r="L227" s="31">
        <f t="shared" ref="L227:L228" si="163">((+B227/A227)-(E227/D227))/(B227/A227)</f>
        <v>2.7023234368423626E-3</v>
      </c>
    </row>
    <row r="228" spans="1:12" x14ac:dyDescent="0.3">
      <c r="A228" s="871">
        <v>511</v>
      </c>
      <c r="B228" s="873">
        <v>22549.75</v>
      </c>
      <c r="C228" s="873" t="s">
        <v>5448</v>
      </c>
      <c r="D228" s="873">
        <f>+I228+I229</f>
        <v>511</v>
      </c>
      <c r="E228" s="873">
        <f>+J228+J229</f>
        <v>22674.300000000003</v>
      </c>
      <c r="F228" s="404" t="s">
        <v>5449</v>
      </c>
      <c r="G228" s="404">
        <v>102061</v>
      </c>
      <c r="H228" s="40"/>
      <c r="I228" s="404">
        <v>120</v>
      </c>
      <c r="J228" s="13">
        <v>5376.1</v>
      </c>
      <c r="K228" s="882">
        <f t="shared" si="162"/>
        <v>0</v>
      </c>
      <c r="L228" s="879">
        <f t="shared" si="163"/>
        <v>-5.5233428308517542E-3</v>
      </c>
    </row>
    <row r="229" spans="1:12" ht="15" thickBot="1" x14ac:dyDescent="0.35">
      <c r="A229" s="872"/>
      <c r="B229" s="874"/>
      <c r="C229" s="874"/>
      <c r="D229" s="874"/>
      <c r="E229" s="874"/>
      <c r="F229" s="407" t="s">
        <v>5449</v>
      </c>
      <c r="G229" s="407">
        <v>102061</v>
      </c>
      <c r="H229" s="415"/>
      <c r="I229" s="407">
        <v>391</v>
      </c>
      <c r="J229" s="11">
        <v>17298.2</v>
      </c>
      <c r="K229" s="884"/>
      <c r="L229" s="880"/>
    </row>
    <row r="230" spans="1:12" ht="15" thickBot="1" x14ac:dyDescent="0.35">
      <c r="A230" s="410">
        <v>135</v>
      </c>
      <c r="B230" s="413">
        <v>5899</v>
      </c>
      <c r="C230" s="404" t="s">
        <v>5450</v>
      </c>
      <c r="D230" s="404">
        <f t="shared" ref="D230:E230" si="164">+I230</f>
        <v>135</v>
      </c>
      <c r="E230" s="404">
        <f t="shared" si="164"/>
        <v>5942.7</v>
      </c>
      <c r="F230" s="404" t="s">
        <v>5451</v>
      </c>
      <c r="G230" s="404">
        <v>102141</v>
      </c>
      <c r="H230" s="40"/>
      <c r="I230" s="404">
        <v>135</v>
      </c>
      <c r="J230" s="13">
        <v>5942.7</v>
      </c>
      <c r="K230" s="54">
        <f t="shared" ref="K230" si="165">+A230-D230</f>
        <v>0</v>
      </c>
      <c r="L230" s="31">
        <f t="shared" ref="L230" si="166">((+B230/A230)-(E230/D230))/(B230/A230)</f>
        <v>-7.4080352602135073E-3</v>
      </c>
    </row>
    <row r="231" spans="1:12" x14ac:dyDescent="0.3">
      <c r="A231" s="410">
        <v>720</v>
      </c>
      <c r="B231" s="413">
        <v>31221.5</v>
      </c>
      <c r="C231" s="413" t="s">
        <v>5452</v>
      </c>
      <c r="D231" s="404">
        <f>+I231+I232</f>
        <v>720</v>
      </c>
      <c r="E231" s="404">
        <f>+J231+J232</f>
        <v>31288.100000000006</v>
      </c>
      <c r="F231" s="404" t="s">
        <v>5453</v>
      </c>
      <c r="G231" s="404">
        <v>102281</v>
      </c>
      <c r="H231" s="40"/>
      <c r="I231" s="413">
        <v>683</v>
      </c>
      <c r="J231" s="41">
        <v>29664.700000000004</v>
      </c>
      <c r="K231" s="882">
        <f t="shared" ref="K231" si="167">+A231-D231</f>
        <v>0</v>
      </c>
      <c r="L231" s="879">
        <f t="shared" ref="L231" si="168">((+B231/A231)-(E231/D231))/(B231/A231)</f>
        <v>-2.1331454286311015E-3</v>
      </c>
    </row>
    <row r="232" spans="1:12" ht="15" thickBot="1" x14ac:dyDescent="0.35">
      <c r="A232" s="411"/>
      <c r="B232" s="414"/>
      <c r="C232" s="414"/>
      <c r="D232" s="407"/>
      <c r="E232" s="407"/>
      <c r="F232" s="407" t="s">
        <v>5453</v>
      </c>
      <c r="G232" s="407">
        <v>102281</v>
      </c>
      <c r="H232" s="415"/>
      <c r="I232" s="414">
        <v>37</v>
      </c>
      <c r="J232" s="44">
        <v>1623.4</v>
      </c>
      <c r="K232" s="884"/>
      <c r="L232" s="880"/>
    </row>
    <row r="233" spans="1:12" ht="15" thickBot="1" x14ac:dyDescent="0.35">
      <c r="A233" s="411">
        <v>451</v>
      </c>
      <c r="B233" s="414">
        <v>19547.25</v>
      </c>
      <c r="C233" s="414" t="s">
        <v>5454</v>
      </c>
      <c r="D233" s="407">
        <f>+I233</f>
        <v>451</v>
      </c>
      <c r="E233" s="407">
        <f>+J233</f>
        <v>19647.599999999999</v>
      </c>
      <c r="F233" s="407" t="s">
        <v>5455</v>
      </c>
      <c r="G233" s="407">
        <v>102321</v>
      </c>
      <c r="H233" s="415"/>
      <c r="I233" s="414">
        <v>451</v>
      </c>
      <c r="J233" s="44">
        <v>19647.599999999999</v>
      </c>
      <c r="K233" s="54">
        <f t="shared" ref="K233:K235" si="169">+A233-D233</f>
        <v>0</v>
      </c>
      <c r="L233" s="31">
        <f t="shared" ref="L233:L235" si="170">((+B233/A233)-(E233/D233))/(B233/A233)</f>
        <v>-5.1337144611133768E-3</v>
      </c>
    </row>
    <row r="234" spans="1:12" ht="15" thickBot="1" x14ac:dyDescent="0.35">
      <c r="A234" s="178">
        <v>439</v>
      </c>
      <c r="B234" s="45">
        <v>16437.2</v>
      </c>
      <c r="C234" s="45" t="s">
        <v>5560</v>
      </c>
      <c r="D234" s="8">
        <f t="shared" ref="D234:E234" si="171">+I234</f>
        <v>439</v>
      </c>
      <c r="E234" s="8">
        <f t="shared" si="171"/>
        <v>16217.7</v>
      </c>
      <c r="F234" s="8" t="s">
        <v>5561</v>
      </c>
      <c r="G234" s="8">
        <v>102361</v>
      </c>
      <c r="H234" s="14"/>
      <c r="I234" s="45">
        <v>439</v>
      </c>
      <c r="J234" s="46">
        <v>16217.7</v>
      </c>
      <c r="K234" s="54">
        <f t="shared" si="169"/>
        <v>0</v>
      </c>
      <c r="L234" s="31">
        <f t="shared" si="170"/>
        <v>1.3353855887864113E-2</v>
      </c>
    </row>
    <row r="235" spans="1:12" x14ac:dyDescent="0.3">
      <c r="A235" s="871">
        <v>440</v>
      </c>
      <c r="B235" s="873">
        <v>17518.3</v>
      </c>
      <c r="C235" s="873" t="s">
        <v>5562</v>
      </c>
      <c r="D235" s="873">
        <v>440</v>
      </c>
      <c r="E235" s="873">
        <v>17324.7</v>
      </c>
      <c r="F235" s="427" t="s">
        <v>5563</v>
      </c>
      <c r="G235" s="427">
        <v>102411</v>
      </c>
      <c r="H235" s="40"/>
      <c r="I235" s="435">
        <v>200</v>
      </c>
      <c r="J235" s="41">
        <v>7640.7</v>
      </c>
      <c r="K235" s="882">
        <f t="shared" si="169"/>
        <v>0</v>
      </c>
      <c r="L235" s="879">
        <f t="shared" si="170"/>
        <v>1.1051300639902216E-2</v>
      </c>
    </row>
    <row r="236" spans="1:12" ht="15" thickBot="1" x14ac:dyDescent="0.35">
      <c r="A236" s="872"/>
      <c r="B236" s="874"/>
      <c r="C236" s="874"/>
      <c r="D236" s="874"/>
      <c r="E236" s="874"/>
      <c r="F236" s="429" t="s">
        <v>5563</v>
      </c>
      <c r="G236" s="429">
        <v>102411</v>
      </c>
      <c r="H236" s="437"/>
      <c r="I236" s="436">
        <v>220</v>
      </c>
      <c r="J236" s="44">
        <v>8895.1</v>
      </c>
      <c r="K236" s="884"/>
      <c r="L236" s="880"/>
    </row>
    <row r="237" spans="1:12" ht="15" thickBot="1" x14ac:dyDescent="0.35">
      <c r="A237" s="446">
        <v>379</v>
      </c>
      <c r="B237" s="448">
        <v>14441.6</v>
      </c>
      <c r="C237" s="448" t="s">
        <v>5638</v>
      </c>
      <c r="D237" s="442">
        <f t="shared" ref="D237:E237" si="172">+I237</f>
        <v>379</v>
      </c>
      <c r="E237" s="442">
        <f t="shared" si="172"/>
        <v>14232.5</v>
      </c>
      <c r="F237" s="442" t="s">
        <v>5639</v>
      </c>
      <c r="G237" s="442">
        <v>102501</v>
      </c>
      <c r="H237" s="40"/>
      <c r="I237" s="448">
        <v>379</v>
      </c>
      <c r="J237" s="41">
        <v>14232.5</v>
      </c>
      <c r="K237" s="54">
        <f t="shared" ref="K237:K238" si="173">+A237-D237</f>
        <v>0</v>
      </c>
      <c r="L237" s="31">
        <f t="shared" ref="L237:L238" si="174">((+B237/A237)-(E237/D237))/(B237/A237)</f>
        <v>1.4479005096388197E-2</v>
      </c>
    </row>
    <row r="238" spans="1:12" x14ac:dyDescent="0.3">
      <c r="A238" s="871">
        <v>880</v>
      </c>
      <c r="B238" s="873">
        <v>32724.6</v>
      </c>
      <c r="C238" s="873" t="s">
        <v>5640</v>
      </c>
      <c r="D238" s="873">
        <v>880</v>
      </c>
      <c r="E238" s="873">
        <v>32223</v>
      </c>
      <c r="F238" s="442" t="s">
        <v>5641</v>
      </c>
      <c r="G238" s="442">
        <v>102641</v>
      </c>
      <c r="H238" s="40"/>
      <c r="I238" s="448">
        <v>600</v>
      </c>
      <c r="J238" s="41">
        <v>22034.9</v>
      </c>
      <c r="K238" s="882">
        <f t="shared" si="173"/>
        <v>0</v>
      </c>
      <c r="L238" s="879">
        <f t="shared" si="174"/>
        <v>1.5327918446673153E-2</v>
      </c>
    </row>
    <row r="239" spans="1:12" ht="15" thickBot="1" x14ac:dyDescent="0.35">
      <c r="A239" s="872"/>
      <c r="B239" s="874"/>
      <c r="C239" s="874"/>
      <c r="D239" s="874"/>
      <c r="E239" s="874"/>
      <c r="F239" s="444" t="s">
        <v>5641</v>
      </c>
      <c r="G239" s="444">
        <v>102641</v>
      </c>
      <c r="H239" s="450"/>
      <c r="I239" s="449">
        <v>220</v>
      </c>
      <c r="J239" s="44">
        <v>7982.2</v>
      </c>
      <c r="K239" s="884"/>
      <c r="L239" s="880"/>
    </row>
    <row r="240" spans="1:12" ht="15" thickBot="1" x14ac:dyDescent="0.35">
      <c r="A240" s="178">
        <v>340</v>
      </c>
      <c r="B240" s="45">
        <v>13307.7</v>
      </c>
      <c r="C240" s="45" t="s">
        <v>5774</v>
      </c>
      <c r="D240" s="8">
        <f t="shared" ref="D240:E240" si="175">+I240</f>
        <v>340</v>
      </c>
      <c r="E240" s="8">
        <f t="shared" si="175"/>
        <v>13165.199999999999</v>
      </c>
      <c r="F240" s="8" t="s">
        <v>5775</v>
      </c>
      <c r="G240" s="8">
        <v>102801</v>
      </c>
      <c r="H240" s="14"/>
      <c r="I240" s="45">
        <v>340</v>
      </c>
      <c r="J240" s="46">
        <v>13165.199999999999</v>
      </c>
      <c r="K240" s="54">
        <f t="shared" ref="K240:K241" si="176">+A240-D240</f>
        <v>0</v>
      </c>
      <c r="L240" s="31">
        <f t="shared" ref="L240:L241" si="177">((+B240/A240)-(E240/D240))/(B240/A240)</f>
        <v>1.0708086295903939E-2</v>
      </c>
    </row>
    <row r="241" spans="1:12" ht="15" thickBot="1" x14ac:dyDescent="0.35">
      <c r="A241" s="178">
        <v>233</v>
      </c>
      <c r="B241" s="45">
        <v>9972.5</v>
      </c>
      <c r="C241" s="45" t="s">
        <v>5776</v>
      </c>
      <c r="D241" s="8">
        <f>+I241+153</f>
        <v>233</v>
      </c>
      <c r="E241" s="8">
        <f>+J241+6437.2</f>
        <v>9868.2000000000007</v>
      </c>
      <c r="F241" s="8" t="s">
        <v>5777</v>
      </c>
      <c r="G241" s="8">
        <v>103191</v>
      </c>
      <c r="H241" s="14"/>
      <c r="I241" s="45">
        <v>80</v>
      </c>
      <c r="J241" s="46">
        <v>3431</v>
      </c>
      <c r="K241" s="54">
        <f t="shared" si="176"/>
        <v>0</v>
      </c>
      <c r="L241" s="31">
        <f t="shared" si="177"/>
        <v>1.045876159438449E-2</v>
      </c>
    </row>
    <row r="242" spans="1:12" ht="15" thickBot="1" x14ac:dyDescent="0.35">
      <c r="A242" s="178">
        <v>426</v>
      </c>
      <c r="B242" s="45">
        <v>17918.75</v>
      </c>
      <c r="C242" s="45" t="s">
        <v>5832</v>
      </c>
      <c r="D242" s="8">
        <f>252+107+67</f>
        <v>426</v>
      </c>
      <c r="E242" s="8">
        <f>10564.4+4467.4+2824.4</f>
        <v>17856.2</v>
      </c>
      <c r="F242" s="8" t="s">
        <v>5831</v>
      </c>
      <c r="G242" s="9">
        <v>103371</v>
      </c>
      <c r="H242" s="363"/>
      <c r="I242" s="364"/>
      <c r="J242" s="364"/>
      <c r="K242" s="54">
        <f t="shared" ref="K242" si="178">+A242-D242</f>
        <v>0</v>
      </c>
      <c r="L242" s="31">
        <f t="shared" ref="L242" si="179">((+B242/A242)-(E242/D242))/(B242/A242)</f>
        <v>3.490756888733865E-3</v>
      </c>
    </row>
    <row r="243" spans="1:12" ht="15" thickBot="1" x14ac:dyDescent="0.35">
      <c r="A243" s="175">
        <v>102</v>
      </c>
      <c r="B243" s="8">
        <v>4243.84</v>
      </c>
      <c r="C243" s="8" t="s">
        <v>5897</v>
      </c>
      <c r="D243" s="8">
        <f>+I243</f>
        <v>102</v>
      </c>
      <c r="E243" s="8">
        <f>+J243</f>
        <v>4078.2</v>
      </c>
      <c r="F243" s="8" t="s">
        <v>5898</v>
      </c>
      <c r="G243" s="8">
        <v>103461</v>
      </c>
      <c r="H243" s="80"/>
      <c r="I243" s="8">
        <v>102</v>
      </c>
      <c r="J243" s="9">
        <v>4078.2</v>
      </c>
      <c r="K243" s="54">
        <f t="shared" ref="K243:K247" si="180">+A243-D243</f>
        <v>0</v>
      </c>
      <c r="L243" s="31">
        <f t="shared" ref="L243:L247" si="181">((+B243/A243)-(E243/D243))/(B243/A243)</f>
        <v>3.9030689187151454E-2</v>
      </c>
    </row>
    <row r="244" spans="1:12" ht="15" thickBot="1" x14ac:dyDescent="0.35">
      <c r="A244" s="178">
        <v>440</v>
      </c>
      <c r="B244" s="45">
        <v>16783.3</v>
      </c>
      <c r="C244" s="8" t="s">
        <v>5899</v>
      </c>
      <c r="D244" s="8">
        <f>+I244</f>
        <v>441</v>
      </c>
      <c r="E244" s="8">
        <f>+J244</f>
        <v>16163.900000000001</v>
      </c>
      <c r="F244" s="8" t="s">
        <v>5900</v>
      </c>
      <c r="G244" s="8">
        <v>103471</v>
      </c>
      <c r="H244" s="14"/>
      <c r="I244" s="45">
        <v>441</v>
      </c>
      <c r="J244" s="46">
        <v>16163.900000000001</v>
      </c>
      <c r="K244" s="54">
        <f t="shared" si="180"/>
        <v>-1</v>
      </c>
      <c r="L244" s="31">
        <f t="shared" si="181"/>
        <v>3.9089620900962067E-2</v>
      </c>
    </row>
    <row r="245" spans="1:12" ht="15" thickBot="1" x14ac:dyDescent="0.35">
      <c r="A245" s="178">
        <v>483</v>
      </c>
      <c r="B245" s="45">
        <v>18262.099999999999</v>
      </c>
      <c r="C245" s="8" t="s">
        <v>5901</v>
      </c>
      <c r="D245" s="8">
        <v>483</v>
      </c>
      <c r="E245" s="8">
        <v>17679.3</v>
      </c>
      <c r="F245" s="8" t="s">
        <v>5902</v>
      </c>
      <c r="G245" s="8">
        <v>103531</v>
      </c>
      <c r="H245" s="14"/>
      <c r="I245" s="45">
        <v>483</v>
      </c>
      <c r="J245" s="46">
        <v>17679.3</v>
      </c>
      <c r="K245" s="54">
        <f t="shared" si="180"/>
        <v>0</v>
      </c>
      <c r="L245" s="31">
        <f t="shared" si="181"/>
        <v>3.1913087760991332E-2</v>
      </c>
    </row>
    <row r="246" spans="1:12" ht="15" thickBot="1" x14ac:dyDescent="0.35">
      <c r="A246" s="485">
        <v>260</v>
      </c>
      <c r="B246" s="488">
        <v>10172</v>
      </c>
      <c r="C246" s="488" t="s">
        <v>5903</v>
      </c>
      <c r="D246" s="481">
        <v>260</v>
      </c>
      <c r="E246" s="481">
        <v>9734.2000000000007</v>
      </c>
      <c r="F246" s="481" t="s">
        <v>5904</v>
      </c>
      <c r="G246" s="481">
        <v>103601</v>
      </c>
      <c r="H246" s="491"/>
      <c r="I246" s="488">
        <v>260</v>
      </c>
      <c r="J246" s="44">
        <v>9734.2000000000007</v>
      </c>
      <c r="K246" s="54">
        <f t="shared" si="180"/>
        <v>0</v>
      </c>
      <c r="L246" s="31">
        <f t="shared" si="181"/>
        <v>4.303971686983861E-2</v>
      </c>
    </row>
    <row r="247" spans="1:12" ht="15" thickBot="1" x14ac:dyDescent="0.35">
      <c r="A247" s="178">
        <v>660</v>
      </c>
      <c r="B247" s="45">
        <v>27299.599999999999</v>
      </c>
      <c r="C247" s="45" t="s">
        <v>5905</v>
      </c>
      <c r="D247" s="8">
        <v>661</v>
      </c>
      <c r="E247" s="8">
        <v>27133.7</v>
      </c>
      <c r="F247" s="8" t="s">
        <v>5906</v>
      </c>
      <c r="G247" s="9">
        <v>103671</v>
      </c>
      <c r="I247" s="50">
        <v>340</v>
      </c>
      <c r="J247" s="50">
        <v>13762.3</v>
      </c>
      <c r="K247" s="54">
        <f t="shared" si="180"/>
        <v>-1</v>
      </c>
      <c r="L247" s="31">
        <f t="shared" si="181"/>
        <v>7.5806777571555094E-3</v>
      </c>
    </row>
    <row r="248" spans="1:12" ht="15" thickBot="1" x14ac:dyDescent="0.35">
      <c r="A248" s="178">
        <v>660</v>
      </c>
      <c r="B248" s="45">
        <v>26791.9</v>
      </c>
      <c r="C248" s="45" t="s">
        <v>6031</v>
      </c>
      <c r="D248" s="8">
        <f>+I248+152</f>
        <v>660</v>
      </c>
      <c r="E248" s="8">
        <f>+J248+5987.6</f>
        <v>26448</v>
      </c>
      <c r="F248" s="8" t="s">
        <v>6130</v>
      </c>
      <c r="G248" s="8">
        <v>10374</v>
      </c>
      <c r="H248" s="14"/>
      <c r="I248" s="45">
        <v>508</v>
      </c>
      <c r="J248" s="46">
        <v>20460.400000000001</v>
      </c>
      <c r="K248" s="54">
        <f t="shared" ref="K248:K249" si="182">+A248-D248</f>
        <v>0</v>
      </c>
      <c r="L248" s="31">
        <f t="shared" ref="L248:L249" si="183">((+B248/A248)-(E248/D248))/(B248/A248)</f>
        <v>1.283596908020713E-2</v>
      </c>
    </row>
    <row r="249" spans="1:12" x14ac:dyDescent="0.3">
      <c r="A249" s="871">
        <v>986</v>
      </c>
      <c r="B249" s="873">
        <v>46251.75</v>
      </c>
      <c r="C249" s="873" t="s">
        <v>6131</v>
      </c>
      <c r="D249" s="873">
        <f>+I249+I250</f>
        <v>985</v>
      </c>
      <c r="E249" s="873">
        <f>+J249+J250</f>
        <v>46187.3</v>
      </c>
      <c r="F249" s="510" t="s">
        <v>6132</v>
      </c>
      <c r="G249" s="510">
        <v>103981</v>
      </c>
      <c r="H249" s="40"/>
      <c r="I249" s="516">
        <v>586</v>
      </c>
      <c r="J249" s="41">
        <v>27221.300000000003</v>
      </c>
      <c r="K249" s="882">
        <f t="shared" si="182"/>
        <v>1</v>
      </c>
      <c r="L249" s="879">
        <f t="shared" si="183"/>
        <v>3.7964704257721312E-4</v>
      </c>
    </row>
    <row r="250" spans="1:12" ht="15" thickBot="1" x14ac:dyDescent="0.35">
      <c r="A250" s="872"/>
      <c r="B250" s="874"/>
      <c r="C250" s="874"/>
      <c r="D250" s="874"/>
      <c r="E250" s="874"/>
      <c r="F250" s="511" t="s">
        <v>6132</v>
      </c>
      <c r="G250" s="511">
        <v>103981</v>
      </c>
      <c r="H250" s="519"/>
      <c r="I250" s="517">
        <v>399</v>
      </c>
      <c r="J250" s="44">
        <v>18966</v>
      </c>
      <c r="K250" s="884"/>
      <c r="L250" s="880"/>
    </row>
    <row r="251" spans="1:12" ht="15" thickBot="1" x14ac:dyDescent="0.35">
      <c r="A251" s="178">
        <v>440</v>
      </c>
      <c r="B251" s="45">
        <v>17539.400000000001</v>
      </c>
      <c r="C251" s="45" t="s">
        <v>6133</v>
      </c>
      <c r="D251" s="8">
        <f>+I251+270</f>
        <v>440</v>
      </c>
      <c r="E251" s="8">
        <f>+J251+10713.9</f>
        <v>17239.400000000001</v>
      </c>
      <c r="F251" s="8" t="s">
        <v>6134</v>
      </c>
      <c r="G251" s="8">
        <v>104091</v>
      </c>
      <c r="H251" s="14"/>
      <c r="I251" s="45">
        <v>170</v>
      </c>
      <c r="J251" s="46">
        <v>6525.5</v>
      </c>
      <c r="K251" s="54">
        <f t="shared" ref="K251:K252" si="184">+A251-D251</f>
        <v>0</v>
      </c>
      <c r="L251" s="31">
        <f t="shared" ref="L251:L252" si="185">((+B251/A251)-(E251/D251))/(B251/A251)</f>
        <v>1.7104347925242545E-2</v>
      </c>
    </row>
    <row r="252" spans="1:12" x14ac:dyDescent="0.3">
      <c r="A252" s="960">
        <v>113</v>
      </c>
      <c r="B252" s="962">
        <v>4850.5</v>
      </c>
      <c r="C252" s="962" t="s">
        <v>6281</v>
      </c>
      <c r="D252" s="873">
        <f>+I252+I253</f>
        <v>113</v>
      </c>
      <c r="E252" s="873">
        <f>+J252+J253</f>
        <v>4826.7</v>
      </c>
      <c r="F252" s="524" t="s">
        <v>6282</v>
      </c>
      <c r="G252" s="524">
        <v>104191</v>
      </c>
      <c r="H252" s="40"/>
      <c r="I252" s="571">
        <v>28</v>
      </c>
      <c r="J252" s="572">
        <v>1200.3</v>
      </c>
      <c r="K252" s="882">
        <f t="shared" si="184"/>
        <v>0</v>
      </c>
      <c r="L252" s="879">
        <f t="shared" si="185"/>
        <v>4.9067106483867218E-3</v>
      </c>
    </row>
    <row r="253" spans="1:12" ht="15" thickBot="1" x14ac:dyDescent="0.35">
      <c r="A253" s="961"/>
      <c r="B253" s="963"/>
      <c r="C253" s="963"/>
      <c r="D253" s="874"/>
      <c r="E253" s="874"/>
      <c r="F253" s="525" t="s">
        <v>6282</v>
      </c>
      <c r="G253" s="525">
        <v>104191</v>
      </c>
      <c r="H253" s="539"/>
      <c r="I253" s="573">
        <v>85</v>
      </c>
      <c r="J253" s="574">
        <v>3626.4</v>
      </c>
      <c r="K253" s="884"/>
      <c r="L253" s="880"/>
    </row>
    <row r="254" spans="1:12" ht="15" thickBot="1" x14ac:dyDescent="0.35">
      <c r="A254" s="531">
        <v>440</v>
      </c>
      <c r="B254" s="535">
        <v>17223.599999999999</v>
      </c>
      <c r="C254" s="535" t="s">
        <v>6283</v>
      </c>
      <c r="D254" s="525">
        <f t="shared" ref="D254:E254" si="186">+I254</f>
        <v>440</v>
      </c>
      <c r="E254" s="525">
        <f t="shared" si="186"/>
        <v>16715.900000000001</v>
      </c>
      <c r="F254" s="525" t="s">
        <v>6284</v>
      </c>
      <c r="G254" s="525">
        <v>10441</v>
      </c>
      <c r="H254" s="539"/>
      <c r="I254" s="573">
        <v>440</v>
      </c>
      <c r="J254" s="574">
        <v>16715.900000000001</v>
      </c>
      <c r="K254" s="54">
        <f t="shared" ref="K254" si="187">+A254-D254</f>
        <v>0</v>
      </c>
      <c r="L254" s="31">
        <f t="shared" ref="L254" si="188">((+B254/A254)-(E254/D254))/(B254/A254)</f>
        <v>2.9476996678975236E-2</v>
      </c>
    </row>
    <row r="255" spans="1:12" ht="15" thickBot="1" x14ac:dyDescent="0.35">
      <c r="A255" s="531">
        <v>402</v>
      </c>
      <c r="B255" s="535">
        <v>16405.3</v>
      </c>
      <c r="C255" s="535" t="s">
        <v>6285</v>
      </c>
      <c r="D255" s="8">
        <v>404</v>
      </c>
      <c r="E255" s="8">
        <v>15984.7</v>
      </c>
      <c r="F255" s="525" t="s">
        <v>6286</v>
      </c>
      <c r="G255" s="525">
        <v>10456</v>
      </c>
      <c r="H255" s="539"/>
      <c r="I255" s="573">
        <v>62</v>
      </c>
      <c r="J255" s="574">
        <v>2467.5</v>
      </c>
      <c r="K255" s="54">
        <f t="shared" ref="K255:K256" si="189">+A255-D255</f>
        <v>-2</v>
      </c>
      <c r="L255" s="31">
        <f t="shared" ref="L255:L256" si="190">((+B255/A255)-(E255/D255))/(B255/A255)</f>
        <v>3.0461629974326651E-2</v>
      </c>
    </row>
    <row r="256" spans="1:12" x14ac:dyDescent="0.3">
      <c r="A256" s="871">
        <v>455</v>
      </c>
      <c r="B256" s="873">
        <v>21656.75</v>
      </c>
      <c r="C256" s="873" t="s">
        <v>6342</v>
      </c>
      <c r="D256" s="873">
        <f>+I256+I257</f>
        <v>455</v>
      </c>
      <c r="E256" s="873">
        <f>+J256+J257</f>
        <v>21666.7</v>
      </c>
      <c r="F256" s="592" t="s">
        <v>6343</v>
      </c>
      <c r="G256" s="592">
        <v>104601</v>
      </c>
      <c r="H256" s="40"/>
      <c r="I256" s="559">
        <v>300</v>
      </c>
      <c r="J256" s="559">
        <v>14560.2</v>
      </c>
      <c r="K256" s="882">
        <f t="shared" si="189"/>
        <v>0</v>
      </c>
      <c r="L256" s="879">
        <f t="shared" si="190"/>
        <v>-4.5944105186604851E-4</v>
      </c>
    </row>
    <row r="257" spans="1:12" ht="15" thickBot="1" x14ac:dyDescent="0.35">
      <c r="A257" s="872"/>
      <c r="B257" s="874"/>
      <c r="C257" s="874"/>
      <c r="D257" s="874"/>
      <c r="E257" s="874"/>
      <c r="F257" s="594" t="s">
        <v>6343</v>
      </c>
      <c r="G257" s="594">
        <v>104601</v>
      </c>
      <c r="H257" s="600"/>
      <c r="I257" s="561">
        <v>155</v>
      </c>
      <c r="J257" s="561">
        <v>7106.5</v>
      </c>
      <c r="K257" s="884"/>
      <c r="L257" s="880"/>
    </row>
    <row r="258" spans="1:12" x14ac:dyDescent="0.3">
      <c r="A258" s="871">
        <v>195</v>
      </c>
      <c r="B258" s="873">
        <v>7649.4</v>
      </c>
      <c r="C258" s="873" t="s">
        <v>6344</v>
      </c>
      <c r="D258" s="873">
        <f>+I258+I259</f>
        <v>195</v>
      </c>
      <c r="E258" s="873">
        <f>+J258+J259</f>
        <v>7306.2999999999993</v>
      </c>
      <c r="F258" s="592" t="s">
        <v>6345</v>
      </c>
      <c r="G258" s="592">
        <v>104691</v>
      </c>
      <c r="H258" s="40"/>
      <c r="I258" s="559">
        <v>145</v>
      </c>
      <c r="J258" s="559">
        <v>5409.4</v>
      </c>
      <c r="K258" s="882">
        <f t="shared" ref="K258" si="191">+A258-D258</f>
        <v>0</v>
      </c>
      <c r="L258" s="879">
        <f t="shared" ref="L258" si="192">((+B258/A258)-(E258/D258))/(B258/A258)</f>
        <v>4.4853191099955579E-2</v>
      </c>
    </row>
    <row r="259" spans="1:12" ht="15" thickBot="1" x14ac:dyDescent="0.35">
      <c r="A259" s="872"/>
      <c r="B259" s="874"/>
      <c r="C259" s="874"/>
      <c r="D259" s="874"/>
      <c r="E259" s="874"/>
      <c r="F259" s="594" t="s">
        <v>6345</v>
      </c>
      <c r="G259" s="594">
        <v>104691</v>
      </c>
      <c r="H259" s="600"/>
      <c r="I259" s="561">
        <v>50</v>
      </c>
      <c r="J259" s="561">
        <v>1896.9</v>
      </c>
      <c r="K259" s="884"/>
      <c r="L259" s="880"/>
    </row>
    <row r="260" spans="1:12" x14ac:dyDescent="0.3">
      <c r="A260" s="871">
        <v>842</v>
      </c>
      <c r="B260" s="873">
        <v>43212.5</v>
      </c>
      <c r="C260" s="873" t="s">
        <v>6346</v>
      </c>
      <c r="D260" s="873">
        <f>+I260+I261</f>
        <v>843</v>
      </c>
      <c r="E260" s="873">
        <f>+J260+J261</f>
        <v>43282.5</v>
      </c>
      <c r="F260" s="592" t="s">
        <v>6347</v>
      </c>
      <c r="G260" s="592">
        <v>104751</v>
      </c>
      <c r="H260" s="40"/>
      <c r="I260" s="559">
        <v>455</v>
      </c>
      <c r="J260" s="559">
        <v>23456.5</v>
      </c>
      <c r="K260" s="882">
        <f t="shared" ref="K260" si="193">+A260-D260</f>
        <v>-1</v>
      </c>
      <c r="L260" s="879">
        <f t="shared" ref="L260" si="194">((+B260/A260)-(E260/D260))/(B260/A260)</f>
        <v>-4.3174043690806415E-4</v>
      </c>
    </row>
    <row r="261" spans="1:12" ht="15" thickBot="1" x14ac:dyDescent="0.35">
      <c r="A261" s="872"/>
      <c r="B261" s="874"/>
      <c r="C261" s="874"/>
      <c r="D261" s="874"/>
      <c r="E261" s="874"/>
      <c r="F261" s="594" t="s">
        <v>6347</v>
      </c>
      <c r="G261" s="594">
        <v>104751</v>
      </c>
      <c r="H261" s="600"/>
      <c r="I261" s="561">
        <v>388</v>
      </c>
      <c r="J261" s="623">
        <v>19826</v>
      </c>
      <c r="K261" s="884"/>
      <c r="L261" s="880"/>
    </row>
    <row r="262" spans="1:12" x14ac:dyDescent="0.3">
      <c r="A262" s="871">
        <v>696</v>
      </c>
      <c r="B262" s="873">
        <v>34076.25</v>
      </c>
      <c r="C262" s="873" t="s">
        <v>6509</v>
      </c>
      <c r="D262" s="873">
        <f>+I262+I263</f>
        <v>696</v>
      </c>
      <c r="E262" s="873">
        <f>+J262+J263</f>
        <v>34016.6</v>
      </c>
      <c r="F262" s="602" t="s">
        <v>6510</v>
      </c>
      <c r="G262" s="602">
        <v>104851</v>
      </c>
      <c r="H262" s="40"/>
      <c r="I262" s="614">
        <v>503</v>
      </c>
      <c r="J262" s="614">
        <v>24510.1</v>
      </c>
      <c r="K262" s="882">
        <f t="shared" ref="K262" si="195">+A262-D262</f>
        <v>0</v>
      </c>
      <c r="L262" s="879">
        <f t="shared" ref="L262" si="196">((+B262/A262)-(E262/D262))/(B262/A262)</f>
        <v>1.7504860423315954E-3</v>
      </c>
    </row>
    <row r="263" spans="1:12" ht="15" thickBot="1" x14ac:dyDescent="0.35">
      <c r="A263" s="872"/>
      <c r="B263" s="874"/>
      <c r="C263" s="874"/>
      <c r="D263" s="874"/>
      <c r="E263" s="874"/>
      <c r="F263" s="603" t="s">
        <v>6510</v>
      </c>
      <c r="G263" s="603">
        <v>104851</v>
      </c>
      <c r="H263" s="620"/>
      <c r="I263" s="615">
        <v>193</v>
      </c>
      <c r="J263" s="615">
        <v>9506.5</v>
      </c>
      <c r="K263" s="884"/>
      <c r="L263" s="880"/>
    </row>
    <row r="264" spans="1:12" ht="15" thickBot="1" x14ac:dyDescent="0.35">
      <c r="A264" s="178">
        <v>400</v>
      </c>
      <c r="B264" s="45">
        <v>18649.75</v>
      </c>
      <c r="C264" s="45" t="s">
        <v>6511</v>
      </c>
      <c r="D264" s="8">
        <f>+I264</f>
        <v>400</v>
      </c>
      <c r="E264" s="8">
        <f>+J264</f>
        <v>18653.2</v>
      </c>
      <c r="F264" s="8" t="s">
        <v>6512</v>
      </c>
      <c r="G264" s="8">
        <v>104891</v>
      </c>
      <c r="H264" s="14"/>
      <c r="I264" s="45">
        <v>400</v>
      </c>
      <c r="J264" s="45">
        <v>18653.2</v>
      </c>
      <c r="K264" s="54">
        <f t="shared" ref="K264" si="197">+A264-D264</f>
        <v>0</v>
      </c>
      <c r="L264" s="31">
        <f t="shared" ref="L264" si="198">((+B264/A264)-(E264/D264))/(B264/A264)</f>
        <v>-1.8498907492062045E-4</v>
      </c>
    </row>
    <row r="265" spans="1:12" ht="15" thickBot="1" x14ac:dyDescent="0.35">
      <c r="A265" s="178">
        <v>452</v>
      </c>
      <c r="B265" s="45">
        <v>22189.25</v>
      </c>
      <c r="C265" s="45" t="s">
        <v>6592</v>
      </c>
      <c r="D265" s="8">
        <f t="shared" ref="D265:E266" si="199">+I265</f>
        <v>452</v>
      </c>
      <c r="E265" s="8">
        <f t="shared" si="199"/>
        <v>22103.8</v>
      </c>
      <c r="F265" s="8" t="s">
        <v>6593</v>
      </c>
      <c r="G265" s="8">
        <v>105151</v>
      </c>
      <c r="H265" s="14"/>
      <c r="I265" s="45">
        <v>452</v>
      </c>
      <c r="J265" s="45">
        <v>22103.8</v>
      </c>
      <c r="K265" s="54">
        <f t="shared" ref="K265:K267" si="200">+A265-D265</f>
        <v>0</v>
      </c>
      <c r="L265" s="31">
        <f t="shared" ref="L265:L267" si="201">((+B265/A265)-(E265/D265))/(B265/A265)</f>
        <v>3.8509638676386161E-3</v>
      </c>
    </row>
    <row r="266" spans="1:12" ht="15" thickBot="1" x14ac:dyDescent="0.35">
      <c r="A266" s="178">
        <v>95</v>
      </c>
      <c r="B266" s="45">
        <v>4181</v>
      </c>
      <c r="C266" s="45" t="s">
        <v>6594</v>
      </c>
      <c r="D266" s="8">
        <f t="shared" si="199"/>
        <v>95</v>
      </c>
      <c r="E266" s="8">
        <f t="shared" si="199"/>
        <v>4136.2</v>
      </c>
      <c r="F266" s="8" t="s">
        <v>6595</v>
      </c>
      <c r="G266" s="8">
        <v>105161</v>
      </c>
      <c r="H266" s="14"/>
      <c r="I266" s="45">
        <v>95</v>
      </c>
      <c r="J266" s="45">
        <v>4136.2</v>
      </c>
      <c r="K266" s="54">
        <f t="shared" si="200"/>
        <v>0</v>
      </c>
      <c r="L266" s="31">
        <f t="shared" si="201"/>
        <v>1.0715139918679903E-2</v>
      </c>
    </row>
    <row r="267" spans="1:12" x14ac:dyDescent="0.3">
      <c r="A267" s="871">
        <v>729</v>
      </c>
      <c r="B267" s="873">
        <v>33035</v>
      </c>
      <c r="C267" s="873" t="s">
        <v>6596</v>
      </c>
      <c r="D267" s="873">
        <f>+I267+I268</f>
        <v>729</v>
      </c>
      <c r="E267" s="873">
        <f>+J267+J268</f>
        <v>32773.1</v>
      </c>
      <c r="F267" s="649" t="s">
        <v>6597</v>
      </c>
      <c r="G267" s="649">
        <v>105221</v>
      </c>
      <c r="H267" s="40"/>
      <c r="I267" s="652">
        <v>400</v>
      </c>
      <c r="J267" s="652">
        <v>17871.599999999999</v>
      </c>
      <c r="K267" s="882">
        <f t="shared" si="200"/>
        <v>0</v>
      </c>
      <c r="L267" s="879">
        <f t="shared" si="201"/>
        <v>7.9279551990313665E-3</v>
      </c>
    </row>
    <row r="268" spans="1:12" ht="15" thickBot="1" x14ac:dyDescent="0.35">
      <c r="A268" s="875"/>
      <c r="B268" s="881"/>
      <c r="C268" s="881"/>
      <c r="D268" s="881"/>
      <c r="E268" s="881"/>
      <c r="F268" s="650" t="s">
        <v>6597</v>
      </c>
      <c r="G268" s="650">
        <v>105221</v>
      </c>
      <c r="I268" s="50">
        <v>329</v>
      </c>
      <c r="J268" s="50">
        <v>14901.5</v>
      </c>
      <c r="K268" s="884"/>
      <c r="L268" s="880"/>
    </row>
    <row r="269" spans="1:12" x14ac:dyDescent="0.3">
      <c r="A269" s="871">
        <v>391</v>
      </c>
      <c r="B269" s="873">
        <v>16813.25</v>
      </c>
      <c r="C269" s="873" t="s">
        <v>6598</v>
      </c>
      <c r="D269" s="873">
        <f>+I269+I270+191</f>
        <v>391</v>
      </c>
      <c r="E269" s="873">
        <f>+J269+J270+8193.1</f>
        <v>16705.5</v>
      </c>
      <c r="F269" s="649" t="s">
        <v>6599</v>
      </c>
      <c r="G269" s="649">
        <v>105241</v>
      </c>
      <c r="H269" s="40"/>
      <c r="I269" s="649">
        <v>71</v>
      </c>
      <c r="J269" s="649">
        <v>3009.3</v>
      </c>
      <c r="K269" s="882">
        <f t="shared" ref="K269" si="202">+A269-D269</f>
        <v>0</v>
      </c>
      <c r="L269" s="879">
        <f t="shared" ref="L269" si="203">((+B269/A269)-(E269/D269))/(B269/A269)</f>
        <v>6.4086360459756492E-3</v>
      </c>
    </row>
    <row r="270" spans="1:12" ht="15" thickBot="1" x14ac:dyDescent="0.35">
      <c r="A270" s="872"/>
      <c r="B270" s="874"/>
      <c r="C270" s="874"/>
      <c r="D270" s="874"/>
      <c r="E270" s="874"/>
      <c r="F270" s="651" t="s">
        <v>6599</v>
      </c>
      <c r="G270" s="651">
        <v>105241</v>
      </c>
      <c r="H270" s="654"/>
      <c r="I270" s="653">
        <v>129</v>
      </c>
      <c r="J270" s="653">
        <v>5503.1</v>
      </c>
      <c r="K270" s="884"/>
      <c r="L270" s="880"/>
    </row>
    <row r="271" spans="1:12" ht="15" thickBot="1" x14ac:dyDescent="0.35">
      <c r="A271" s="178">
        <v>564</v>
      </c>
      <c r="B271" s="45">
        <v>26256.75</v>
      </c>
      <c r="C271" s="45" t="s">
        <v>6598</v>
      </c>
      <c r="D271" s="45">
        <v>565</v>
      </c>
      <c r="E271" s="45">
        <v>26185.599999999999</v>
      </c>
      <c r="F271" s="45" t="s">
        <v>6630</v>
      </c>
      <c r="G271" s="46">
        <v>105281</v>
      </c>
      <c r="I271" s="50"/>
      <c r="J271" s="50"/>
      <c r="K271" s="54">
        <f t="shared" ref="K271:K272" si="204">+A271-D271</f>
        <v>-1</v>
      </c>
      <c r="L271" s="31">
        <f t="shared" ref="L271:L272" si="205">((+B271/A271)-(E271/D271))/(B271/A271)</f>
        <v>4.4748948247694724E-3</v>
      </c>
    </row>
    <row r="272" spans="1:12" x14ac:dyDescent="0.3">
      <c r="A272" s="871">
        <v>508</v>
      </c>
      <c r="B272" s="873">
        <v>23868.25</v>
      </c>
      <c r="C272" s="873" t="s">
        <v>6690</v>
      </c>
      <c r="D272" s="873">
        <f>+I272+I273</f>
        <v>508</v>
      </c>
      <c r="E272" s="873">
        <f>+J272+J273</f>
        <v>24063.8</v>
      </c>
      <c r="F272" s="666" t="s">
        <v>6691</v>
      </c>
      <c r="G272" s="666">
        <v>105391</v>
      </c>
      <c r="H272" s="40"/>
      <c r="I272" s="671">
        <v>318</v>
      </c>
      <c r="J272" s="671">
        <v>14940.4</v>
      </c>
      <c r="K272" s="882">
        <f t="shared" si="204"/>
        <v>0</v>
      </c>
      <c r="L272" s="879">
        <f t="shared" si="205"/>
        <v>-8.1928922313113314E-3</v>
      </c>
    </row>
    <row r="273" spans="1:12" ht="15" thickBot="1" x14ac:dyDescent="0.35">
      <c r="A273" s="875"/>
      <c r="B273" s="881"/>
      <c r="C273" s="881"/>
      <c r="D273" s="881"/>
      <c r="E273" s="881"/>
      <c r="F273" s="664" t="s">
        <v>6691</v>
      </c>
      <c r="G273" s="664">
        <v>105391</v>
      </c>
      <c r="I273" s="50">
        <v>190</v>
      </c>
      <c r="J273" s="50">
        <v>9123.4</v>
      </c>
      <c r="K273" s="884"/>
      <c r="L273" s="880"/>
    </row>
    <row r="274" spans="1:12" x14ac:dyDescent="0.3">
      <c r="A274" s="871">
        <v>926</v>
      </c>
      <c r="B274" s="873">
        <v>45485.75</v>
      </c>
      <c r="C274" s="873" t="s">
        <v>6692</v>
      </c>
      <c r="D274" s="873">
        <f>+I274+I275+I276+I277+I278</f>
        <v>926</v>
      </c>
      <c r="E274" s="873">
        <f>+J274+J275+J276+J277+J278</f>
        <v>45959.399999999994</v>
      </c>
      <c r="F274" s="666" t="s">
        <v>6693</v>
      </c>
      <c r="G274" s="666">
        <v>105451</v>
      </c>
      <c r="H274" s="40"/>
      <c r="I274" s="671">
        <v>193</v>
      </c>
      <c r="J274" s="671">
        <v>9247.2999999999993</v>
      </c>
      <c r="K274" s="877">
        <f t="shared" ref="K274" si="206">+A274-D274</f>
        <v>0</v>
      </c>
      <c r="L274" s="879">
        <f t="shared" ref="L274" si="207">((+B274/A274)-(E274/D274))/(B274/A274)</f>
        <v>-1.041315137158327E-2</v>
      </c>
    </row>
    <row r="275" spans="1:12" x14ac:dyDescent="0.3">
      <c r="A275" s="875"/>
      <c r="B275" s="881"/>
      <c r="C275" s="881"/>
      <c r="D275" s="881"/>
      <c r="E275" s="881"/>
      <c r="F275" s="664" t="s">
        <v>6693</v>
      </c>
      <c r="G275" s="664">
        <v>105451</v>
      </c>
      <c r="I275" s="50">
        <v>186</v>
      </c>
      <c r="J275" s="50">
        <v>9178.2999999999993</v>
      </c>
      <c r="K275" s="886"/>
      <c r="L275" s="885"/>
    </row>
    <row r="276" spans="1:12" x14ac:dyDescent="0.3">
      <c r="A276" s="875"/>
      <c r="B276" s="881"/>
      <c r="C276" s="881"/>
      <c r="D276" s="881"/>
      <c r="E276" s="881"/>
      <c r="F276" s="664" t="s">
        <v>6693</v>
      </c>
      <c r="G276" s="664">
        <v>105451</v>
      </c>
      <c r="I276" s="680">
        <v>185</v>
      </c>
      <c r="J276" s="50">
        <v>9315.7999999999993</v>
      </c>
      <c r="K276" s="886"/>
      <c r="L276" s="885"/>
    </row>
    <row r="277" spans="1:12" x14ac:dyDescent="0.3">
      <c r="A277" s="875"/>
      <c r="B277" s="881"/>
      <c r="C277" s="881"/>
      <c r="D277" s="881"/>
      <c r="E277" s="881"/>
      <c r="F277" s="664" t="s">
        <v>6693</v>
      </c>
      <c r="G277" s="664">
        <v>105451</v>
      </c>
      <c r="I277" s="680">
        <v>180</v>
      </c>
      <c r="J277" s="50">
        <v>9248.7000000000007</v>
      </c>
      <c r="K277" s="886"/>
      <c r="L277" s="885"/>
    </row>
    <row r="278" spans="1:12" ht="15" thickBot="1" x14ac:dyDescent="0.35">
      <c r="A278" s="872"/>
      <c r="B278" s="874"/>
      <c r="C278" s="874"/>
      <c r="D278" s="874"/>
      <c r="E278" s="874"/>
      <c r="F278" s="668" t="s">
        <v>6693</v>
      </c>
      <c r="G278" s="668">
        <v>105451</v>
      </c>
      <c r="H278" s="674"/>
      <c r="I278" s="681">
        <v>182</v>
      </c>
      <c r="J278" s="672">
        <v>8969.2999999999993</v>
      </c>
      <c r="K278" s="878"/>
      <c r="L278" s="880"/>
    </row>
    <row r="279" spans="1:12" x14ac:dyDescent="0.3">
      <c r="A279" s="871">
        <v>565</v>
      </c>
      <c r="B279" s="873">
        <v>28368.5</v>
      </c>
      <c r="C279" s="873" t="s">
        <v>6694</v>
      </c>
      <c r="D279" s="873">
        <f>+I279+I280</f>
        <v>565</v>
      </c>
      <c r="E279" s="873">
        <f>+J279+J280</f>
        <v>28335.7</v>
      </c>
      <c r="F279" s="666" t="s">
        <v>6695</v>
      </c>
      <c r="G279" s="666">
        <v>105591</v>
      </c>
      <c r="H279" s="40"/>
      <c r="I279" s="682">
        <v>374</v>
      </c>
      <c r="J279" s="671">
        <v>18789.7</v>
      </c>
      <c r="K279" s="882">
        <f t="shared" ref="K279" si="208">+A279-D279</f>
        <v>0</v>
      </c>
      <c r="L279" s="879">
        <f t="shared" ref="L279" si="209">((+B279/A279)-(E279/D279))/(B279/A279)</f>
        <v>1.1562119956994069E-3</v>
      </c>
    </row>
    <row r="280" spans="1:12" ht="15" thickBot="1" x14ac:dyDescent="0.35">
      <c r="A280" s="872"/>
      <c r="B280" s="874"/>
      <c r="C280" s="874"/>
      <c r="D280" s="874"/>
      <c r="E280" s="874"/>
      <c r="F280" s="668" t="s">
        <v>6695</v>
      </c>
      <c r="G280" s="668">
        <v>105591</v>
      </c>
      <c r="H280" s="674"/>
      <c r="I280" s="681">
        <v>191</v>
      </c>
      <c r="J280" s="672">
        <v>9546</v>
      </c>
      <c r="K280" s="884"/>
      <c r="L280" s="880"/>
    </row>
    <row r="281" spans="1:12" ht="15" thickBot="1" x14ac:dyDescent="0.35">
      <c r="A281" s="175">
        <v>123</v>
      </c>
      <c r="B281" s="8">
        <v>5289</v>
      </c>
      <c r="C281" s="8" t="s">
        <v>6696</v>
      </c>
      <c r="D281" s="8">
        <f t="shared" ref="D281:E284" si="210">+I281</f>
        <v>123</v>
      </c>
      <c r="E281" s="8">
        <f t="shared" si="210"/>
        <v>5432.1</v>
      </c>
      <c r="F281" s="8" t="s">
        <v>6697</v>
      </c>
      <c r="G281" s="8">
        <v>105661</v>
      </c>
      <c r="H281" s="14"/>
      <c r="I281" s="683">
        <v>123</v>
      </c>
      <c r="J281" s="45">
        <v>5432.1</v>
      </c>
      <c r="K281" s="54">
        <f t="shared" ref="K281:K285" si="211">+A281-D281</f>
        <v>0</v>
      </c>
      <c r="L281" s="31">
        <f t="shared" ref="L281:L285" si="212">((+B281/A281)-(E281/D281))/(B281/A281)</f>
        <v>-2.7056154282473072E-2</v>
      </c>
    </row>
    <row r="282" spans="1:12" ht="15" thickBot="1" x14ac:dyDescent="0.35">
      <c r="A282" s="670">
        <v>219</v>
      </c>
      <c r="B282" s="672">
        <v>11644.08</v>
      </c>
      <c r="C282" s="672" t="s">
        <v>6698</v>
      </c>
      <c r="D282" s="668">
        <f t="shared" si="210"/>
        <v>219</v>
      </c>
      <c r="E282" s="668">
        <f t="shared" si="210"/>
        <v>11788.6</v>
      </c>
      <c r="F282" s="668" t="s">
        <v>6699</v>
      </c>
      <c r="G282" s="668">
        <v>105671</v>
      </c>
      <c r="H282" s="674"/>
      <c r="I282" s="681">
        <v>219</v>
      </c>
      <c r="J282" s="672">
        <v>11788.6</v>
      </c>
      <c r="K282" s="54">
        <f t="shared" si="211"/>
        <v>0</v>
      </c>
      <c r="L282" s="31">
        <f t="shared" si="212"/>
        <v>-1.2411457152475779E-2</v>
      </c>
    </row>
    <row r="283" spans="1:12" ht="15" thickBot="1" x14ac:dyDescent="0.35">
      <c r="A283" s="178">
        <v>102</v>
      </c>
      <c r="B283" s="45">
        <v>5456.75</v>
      </c>
      <c r="C283" s="45" t="s">
        <v>6700</v>
      </c>
      <c r="D283" s="8">
        <f t="shared" si="210"/>
        <v>102</v>
      </c>
      <c r="E283" s="8">
        <f t="shared" si="210"/>
        <v>5485.2</v>
      </c>
      <c r="F283" s="8" t="s">
        <v>6701</v>
      </c>
      <c r="G283" s="8">
        <v>105681</v>
      </c>
      <c r="H283" s="14"/>
      <c r="I283" s="683">
        <v>102</v>
      </c>
      <c r="J283" s="45">
        <v>5485.2</v>
      </c>
      <c r="K283" s="54">
        <f t="shared" si="211"/>
        <v>0</v>
      </c>
      <c r="L283" s="31">
        <f t="shared" si="212"/>
        <v>-5.2137261190267998E-3</v>
      </c>
    </row>
    <row r="284" spans="1:12" ht="15" thickBot="1" x14ac:dyDescent="0.35">
      <c r="A284" s="178">
        <v>11</v>
      </c>
      <c r="B284" s="45">
        <v>508.25</v>
      </c>
      <c r="C284" s="45" t="s">
        <v>6702</v>
      </c>
      <c r="D284" s="8">
        <f t="shared" si="210"/>
        <v>11</v>
      </c>
      <c r="E284" s="8">
        <f t="shared" si="210"/>
        <v>502.7</v>
      </c>
      <c r="F284" s="8" t="s">
        <v>6703</v>
      </c>
      <c r="G284" s="8">
        <v>105751</v>
      </c>
      <c r="H284" s="14"/>
      <c r="I284" s="683">
        <v>11</v>
      </c>
      <c r="J284" s="45">
        <v>502.7</v>
      </c>
      <c r="K284" s="54">
        <f t="shared" si="211"/>
        <v>0</v>
      </c>
      <c r="L284" s="31">
        <f t="shared" si="212"/>
        <v>1.0919822921790522E-2</v>
      </c>
    </row>
    <row r="285" spans="1:12" x14ac:dyDescent="0.3">
      <c r="A285" s="871">
        <v>1197</v>
      </c>
      <c r="B285" s="873">
        <v>53725.5</v>
      </c>
      <c r="C285" s="873" t="s">
        <v>6854</v>
      </c>
      <c r="D285" s="873">
        <v>1197</v>
      </c>
      <c r="E285" s="873">
        <v>54135.1</v>
      </c>
      <c r="F285" s="691" t="s">
        <v>6855</v>
      </c>
      <c r="G285" s="691">
        <v>105781</v>
      </c>
      <c r="H285" s="40"/>
      <c r="I285" s="552">
        <v>423</v>
      </c>
      <c r="J285" s="697">
        <v>18209.400000000001</v>
      </c>
      <c r="K285" s="882">
        <f t="shared" si="211"/>
        <v>0</v>
      </c>
      <c r="L285" s="879">
        <f t="shared" si="212"/>
        <v>-7.6239402146094813E-3</v>
      </c>
    </row>
    <row r="286" spans="1:12" x14ac:dyDescent="0.3">
      <c r="A286" s="875"/>
      <c r="B286" s="881"/>
      <c r="C286" s="881"/>
      <c r="D286" s="881"/>
      <c r="E286" s="881"/>
      <c r="F286" s="692" t="s">
        <v>6855</v>
      </c>
      <c r="G286" s="692">
        <v>105781</v>
      </c>
      <c r="I286" s="551">
        <v>404</v>
      </c>
      <c r="J286" s="50">
        <v>18045.7</v>
      </c>
      <c r="K286" s="883"/>
      <c r="L286" s="885"/>
    </row>
    <row r="287" spans="1:12" ht="15" thickBot="1" x14ac:dyDescent="0.35">
      <c r="A287" s="872"/>
      <c r="B287" s="874"/>
      <c r="C287" s="874"/>
      <c r="D287" s="874"/>
      <c r="E287" s="874"/>
      <c r="F287" s="693" t="s">
        <v>6855</v>
      </c>
      <c r="G287" s="693">
        <v>105781</v>
      </c>
      <c r="H287" s="700"/>
      <c r="I287" s="553">
        <v>220</v>
      </c>
      <c r="J287" s="698">
        <v>10007.9</v>
      </c>
      <c r="K287" s="884"/>
      <c r="L287" s="880"/>
    </row>
    <row r="288" spans="1:12" x14ac:dyDescent="0.3">
      <c r="A288" s="871">
        <v>410</v>
      </c>
      <c r="B288" s="873">
        <v>18260</v>
      </c>
      <c r="C288" s="873" t="s">
        <v>7010</v>
      </c>
      <c r="D288" s="873">
        <f>+I288+I289+I290</f>
        <v>410</v>
      </c>
      <c r="E288" s="873">
        <f>+J288+J289+J290</f>
        <v>18394.400000000001</v>
      </c>
      <c r="F288" s="734" t="s">
        <v>7011</v>
      </c>
      <c r="G288" s="734">
        <v>105901</v>
      </c>
      <c r="H288" s="40"/>
      <c r="I288" s="758">
        <v>100</v>
      </c>
      <c r="J288" s="748">
        <v>4637.2</v>
      </c>
      <c r="K288" s="882">
        <f t="shared" ref="K288" si="213">+A288-D288</f>
        <v>0</v>
      </c>
      <c r="L288" s="879">
        <f t="shared" ref="L288" si="214">((+B288/A288)-(E288/D288))/(B288/A288)</f>
        <v>-7.3603504928806199E-3</v>
      </c>
    </row>
    <row r="289" spans="1:12" x14ac:dyDescent="0.3">
      <c r="A289" s="875"/>
      <c r="B289" s="881"/>
      <c r="C289" s="881"/>
      <c r="D289" s="881"/>
      <c r="E289" s="881"/>
      <c r="F289" s="735" t="s">
        <v>7011</v>
      </c>
      <c r="G289" s="735">
        <v>105901</v>
      </c>
      <c r="I289" s="761">
        <v>210</v>
      </c>
      <c r="J289" s="50">
        <v>9528.2000000000007</v>
      </c>
      <c r="K289" s="883"/>
      <c r="L289" s="885"/>
    </row>
    <row r="290" spans="1:12" ht="15" thickBot="1" x14ac:dyDescent="0.35">
      <c r="A290" s="872"/>
      <c r="B290" s="874"/>
      <c r="C290" s="874"/>
      <c r="D290" s="874"/>
      <c r="E290" s="874"/>
      <c r="F290" s="736" t="s">
        <v>7011</v>
      </c>
      <c r="G290" s="736">
        <v>105901</v>
      </c>
      <c r="H290" s="754"/>
      <c r="I290" s="759">
        <v>100</v>
      </c>
      <c r="J290" s="749">
        <v>4229</v>
      </c>
      <c r="K290" s="884"/>
      <c r="L290" s="880"/>
    </row>
    <row r="291" spans="1:12" ht="15" thickBot="1" x14ac:dyDescent="0.35">
      <c r="A291" s="178">
        <v>150</v>
      </c>
      <c r="B291" s="45">
        <v>6602.5</v>
      </c>
      <c r="C291" s="45" t="s">
        <v>7012</v>
      </c>
      <c r="D291" s="8">
        <f>+I291</f>
        <v>150</v>
      </c>
      <c r="E291" s="8">
        <f>+J291</f>
        <v>6577</v>
      </c>
      <c r="F291" s="8" t="s">
        <v>7013</v>
      </c>
      <c r="G291" s="8">
        <v>106151</v>
      </c>
      <c r="H291" s="14"/>
      <c r="I291" s="760">
        <v>150</v>
      </c>
      <c r="J291" s="45">
        <v>6577</v>
      </c>
      <c r="K291" s="54">
        <f t="shared" ref="K291" si="215">+A291-D291</f>
        <v>0</v>
      </c>
      <c r="L291" s="31">
        <f t="shared" ref="L291" si="216">((+B291/A291)-(E291/D291))/(B291/A291)</f>
        <v>3.862173419159448E-3</v>
      </c>
    </row>
    <row r="292" spans="1:12" x14ac:dyDescent="0.3">
      <c r="A292" s="871">
        <v>619</v>
      </c>
      <c r="B292" s="873">
        <v>29772.25</v>
      </c>
      <c r="C292" s="873" t="s">
        <v>7014</v>
      </c>
      <c r="D292" s="873">
        <f>+I292+I293</f>
        <v>619</v>
      </c>
      <c r="E292" s="873">
        <f>+J292+J293</f>
        <v>29713.3</v>
      </c>
      <c r="F292" s="734" t="s">
        <v>7015</v>
      </c>
      <c r="G292" s="734">
        <v>106161</v>
      </c>
      <c r="H292" s="40"/>
      <c r="I292" s="758">
        <v>408</v>
      </c>
      <c r="J292" s="748">
        <v>19731.599999999999</v>
      </c>
      <c r="K292" s="882">
        <f t="shared" ref="K292" si="217">+A292-D292</f>
        <v>0</v>
      </c>
      <c r="L292" s="879">
        <f t="shared" ref="L292" si="218">((+B292/A292)-(E292/D292))/(B292/A292)</f>
        <v>1.9800317409669286E-3</v>
      </c>
    </row>
    <row r="293" spans="1:12" ht="15" thickBot="1" x14ac:dyDescent="0.35">
      <c r="A293" s="875"/>
      <c r="B293" s="881"/>
      <c r="C293" s="881"/>
      <c r="D293" s="881"/>
      <c r="E293" s="881"/>
      <c r="F293" s="735" t="s">
        <v>7015</v>
      </c>
      <c r="G293" s="735">
        <v>106161</v>
      </c>
      <c r="I293" s="761">
        <v>211</v>
      </c>
      <c r="J293" s="50">
        <v>9981.7000000000007</v>
      </c>
      <c r="K293" s="884"/>
      <c r="L293" s="880"/>
    </row>
    <row r="294" spans="1:12" x14ac:dyDescent="0.3">
      <c r="A294" s="938">
        <v>443</v>
      </c>
      <c r="B294" s="955">
        <v>17430.3</v>
      </c>
      <c r="C294" s="873" t="s">
        <v>7016</v>
      </c>
      <c r="D294" s="873">
        <v>443</v>
      </c>
      <c r="E294" s="873">
        <v>17016.400000000001</v>
      </c>
      <c r="F294" s="734" t="s">
        <v>7017</v>
      </c>
      <c r="G294" s="734">
        <v>106341</v>
      </c>
      <c r="H294" s="40"/>
      <c r="I294" s="758">
        <v>110</v>
      </c>
      <c r="J294" s="748">
        <v>4266</v>
      </c>
      <c r="K294" s="882">
        <f t="shared" ref="K294" si="219">+A294-D294</f>
        <v>0</v>
      </c>
      <c r="L294" s="879">
        <f t="shared" ref="L294" si="220">((+B294/A294)-(E294/D294))/(B294/A294)</f>
        <v>2.3746005519124709E-2</v>
      </c>
    </row>
    <row r="295" spans="1:12" ht="15" thickBot="1" x14ac:dyDescent="0.35">
      <c r="A295" s="939"/>
      <c r="B295" s="956"/>
      <c r="C295" s="874"/>
      <c r="D295" s="874"/>
      <c r="E295" s="874"/>
      <c r="F295" s="736" t="s">
        <v>7017</v>
      </c>
      <c r="G295" s="736">
        <v>106341</v>
      </c>
      <c r="H295" s="754"/>
      <c r="I295" s="772">
        <v>110</v>
      </c>
      <c r="J295" s="749">
        <v>4094.8</v>
      </c>
      <c r="K295" s="884"/>
      <c r="L295" s="880"/>
    </row>
    <row r="296" spans="1:12" x14ac:dyDescent="0.3">
      <c r="A296" s="871">
        <v>660</v>
      </c>
      <c r="B296" s="873">
        <v>26826.400000000001</v>
      </c>
      <c r="C296" s="873" t="s">
        <v>7018</v>
      </c>
      <c r="D296" s="873">
        <v>655</v>
      </c>
      <c r="E296" s="873">
        <v>25631.200000000001</v>
      </c>
      <c r="F296" s="734" t="s">
        <v>6693</v>
      </c>
      <c r="G296" s="734">
        <v>106451</v>
      </c>
      <c r="H296" s="40"/>
      <c r="I296" s="770">
        <v>136</v>
      </c>
      <c r="J296" s="748">
        <v>5459.2</v>
      </c>
      <c r="K296" s="882">
        <f t="shared" ref="K296" si="221">+A296-D296</f>
        <v>5</v>
      </c>
      <c r="L296" s="879">
        <f t="shared" ref="L296" si="222">((+B296/A296)-(E296/D296))/(B296/A296)</f>
        <v>3.7259639188740416E-2</v>
      </c>
    </row>
    <row r="297" spans="1:12" ht="15" thickBot="1" x14ac:dyDescent="0.35">
      <c r="A297" s="872"/>
      <c r="B297" s="874"/>
      <c r="C297" s="874"/>
      <c r="D297" s="874"/>
      <c r="E297" s="874"/>
      <c r="F297" s="736" t="s">
        <v>6693</v>
      </c>
      <c r="G297" s="736">
        <v>106451</v>
      </c>
      <c r="H297" s="754"/>
      <c r="I297" s="772">
        <v>79</v>
      </c>
      <c r="J297" s="749">
        <v>3196.4</v>
      </c>
      <c r="K297" s="884"/>
      <c r="L297" s="880"/>
    </row>
    <row r="298" spans="1:12" ht="15" thickBot="1" x14ac:dyDescent="0.35">
      <c r="A298" s="178">
        <v>220</v>
      </c>
      <c r="B298" s="45">
        <v>8876</v>
      </c>
      <c r="C298" s="45" t="s">
        <v>7229</v>
      </c>
      <c r="D298" s="8">
        <f>+I298</f>
        <v>220</v>
      </c>
      <c r="E298" s="8">
        <f>+J298</f>
        <v>8671.5</v>
      </c>
      <c r="F298" s="8" t="s">
        <v>7230</v>
      </c>
      <c r="G298" s="8">
        <v>106701</v>
      </c>
      <c r="H298" s="14"/>
      <c r="I298" s="45">
        <v>220</v>
      </c>
      <c r="J298" s="45">
        <v>8671.5</v>
      </c>
      <c r="K298" s="54">
        <f t="shared" ref="K298:K299" si="223">+A298-D298</f>
        <v>0</v>
      </c>
      <c r="L298" s="31">
        <f t="shared" ref="L298:L299" si="224">((+B298/A298)-(E298/D298))/(B298/A298)</f>
        <v>2.3039657503379905E-2</v>
      </c>
    </row>
    <row r="299" spans="1:12" x14ac:dyDescent="0.3">
      <c r="A299" s="871">
        <v>120</v>
      </c>
      <c r="B299" s="873">
        <v>4890.2</v>
      </c>
      <c r="C299" s="873" t="s">
        <v>7231</v>
      </c>
      <c r="D299" s="873">
        <f>+I299+I300</f>
        <v>120</v>
      </c>
      <c r="E299" s="873">
        <f>+J299+J300</f>
        <v>4727.8999999999996</v>
      </c>
      <c r="F299" s="809" t="s">
        <v>7232</v>
      </c>
      <c r="G299" s="809">
        <v>106851</v>
      </c>
      <c r="H299" s="40"/>
      <c r="I299" s="815">
        <v>20</v>
      </c>
      <c r="J299" s="815">
        <v>769.2</v>
      </c>
      <c r="K299" s="882">
        <f t="shared" si="223"/>
        <v>0</v>
      </c>
      <c r="L299" s="879">
        <f t="shared" si="224"/>
        <v>3.3188826632857535E-2</v>
      </c>
    </row>
    <row r="300" spans="1:12" ht="15" thickBot="1" x14ac:dyDescent="0.35">
      <c r="A300" s="872"/>
      <c r="B300" s="874"/>
      <c r="C300" s="874"/>
      <c r="D300" s="874"/>
      <c r="E300" s="874"/>
      <c r="F300" s="812" t="s">
        <v>7232</v>
      </c>
      <c r="G300" s="812">
        <v>106851</v>
      </c>
      <c r="H300" s="817"/>
      <c r="I300" s="816">
        <v>100</v>
      </c>
      <c r="J300" s="816">
        <v>3958.7</v>
      </c>
      <c r="K300" s="884"/>
      <c r="L300" s="880"/>
    </row>
    <row r="301" spans="1:12" ht="15" thickBot="1" x14ac:dyDescent="0.35">
      <c r="A301" s="178">
        <v>220</v>
      </c>
      <c r="B301" s="45">
        <v>9118.7999999999993</v>
      </c>
      <c r="C301" s="45" t="s">
        <v>7351</v>
      </c>
      <c r="D301" s="8">
        <f>+I301</f>
        <v>220</v>
      </c>
      <c r="E301" s="8">
        <f>+J301</f>
        <v>8893</v>
      </c>
      <c r="F301" s="8" t="s">
        <v>7352</v>
      </c>
      <c r="G301" s="8">
        <v>106951</v>
      </c>
      <c r="H301" s="14"/>
      <c r="I301" s="45">
        <v>220</v>
      </c>
      <c r="J301" s="45">
        <v>8893</v>
      </c>
      <c r="K301" s="54">
        <f t="shared" ref="K301" si="225">+A301-D301</f>
        <v>0</v>
      </c>
      <c r="L301" s="31">
        <f t="shared" ref="L301" si="226">((+B301/A301)-(E301/D301))/(B301/A301)</f>
        <v>2.4762030091678669E-2</v>
      </c>
    </row>
    <row r="302" spans="1:12" ht="15" thickBot="1" x14ac:dyDescent="0.35">
      <c r="A302" s="178">
        <v>440</v>
      </c>
      <c r="B302" s="45">
        <v>17787.5</v>
      </c>
      <c r="C302" s="45" t="s">
        <v>7446</v>
      </c>
      <c r="D302" s="8">
        <f>+I302</f>
        <v>440</v>
      </c>
      <c r="E302" s="8">
        <f>+J302</f>
        <v>17501.599999999999</v>
      </c>
      <c r="F302" s="8" t="s">
        <v>7447</v>
      </c>
      <c r="G302" s="9">
        <v>107081</v>
      </c>
      <c r="I302" s="50">
        <v>440</v>
      </c>
      <c r="J302" s="50">
        <v>17501.599999999999</v>
      </c>
      <c r="K302" s="54">
        <f t="shared" ref="K302" si="227">+A302-D302</f>
        <v>0</v>
      </c>
      <c r="L302" s="31">
        <f t="shared" ref="L302" si="228">((+B302/A302)-(E302/D302))/(B302/A302)</f>
        <v>1.6073085031623476E-2</v>
      </c>
    </row>
    <row r="303" spans="1:12" x14ac:dyDescent="0.3">
      <c r="A303" s="836"/>
      <c r="B303" s="836"/>
      <c r="C303" s="836"/>
      <c r="D303" s="836"/>
      <c r="E303" s="836"/>
      <c r="F303" s="836"/>
      <c r="G303" s="836"/>
      <c r="H303" s="363"/>
      <c r="I303" s="364"/>
      <c r="J303" s="364"/>
      <c r="K303" s="556"/>
      <c r="L303" s="395"/>
    </row>
    <row r="304" spans="1:12" x14ac:dyDescent="0.3">
      <c r="A304" s="50"/>
      <c r="B304" s="50"/>
      <c r="C304" s="50"/>
      <c r="D304" s="50"/>
      <c r="E304" s="50"/>
      <c r="F304" s="50"/>
      <c r="G304" s="50"/>
      <c r="I304" s="50"/>
      <c r="J304" s="50"/>
    </row>
    <row r="305" spans="1:5" x14ac:dyDescent="0.3">
      <c r="A305" s="155">
        <f>SUM(A5:A271)</f>
        <v>98360</v>
      </c>
      <c r="B305" s="155">
        <f>SUM(B5:B271)</f>
        <v>4543752.4810000015</v>
      </c>
      <c r="C305" s="156"/>
      <c r="D305" s="155">
        <f>SUM(D5:D271)</f>
        <v>98425</v>
      </c>
      <c r="E305" s="155">
        <f>SUM(E5:E271)</f>
        <v>4399925.1999999993</v>
      </c>
    </row>
  </sheetData>
  <mergeCells count="473">
    <mergeCell ref="K285:K287"/>
    <mergeCell ref="L285:L287"/>
    <mergeCell ref="A279:A280"/>
    <mergeCell ref="B279:B280"/>
    <mergeCell ref="C279:C280"/>
    <mergeCell ref="D279:D280"/>
    <mergeCell ref="E279:E280"/>
    <mergeCell ref="K272:K273"/>
    <mergeCell ref="L272:L273"/>
    <mergeCell ref="K279:K280"/>
    <mergeCell ref="L279:L280"/>
    <mergeCell ref="K274:K278"/>
    <mergeCell ref="L274:L278"/>
    <mergeCell ref="A272:A273"/>
    <mergeCell ref="B272:B273"/>
    <mergeCell ref="C272:C273"/>
    <mergeCell ref="D272:D273"/>
    <mergeCell ref="E272:E273"/>
    <mergeCell ref="A274:A278"/>
    <mergeCell ref="B274:B278"/>
    <mergeCell ref="C274:C278"/>
    <mergeCell ref="D274:D278"/>
    <mergeCell ref="E274:E278"/>
    <mergeCell ref="A285:A287"/>
    <mergeCell ref="K267:K268"/>
    <mergeCell ref="L267:L268"/>
    <mergeCell ref="K269:K270"/>
    <mergeCell ref="L269:L270"/>
    <mergeCell ref="A267:A268"/>
    <mergeCell ref="B267:B268"/>
    <mergeCell ref="C267:C268"/>
    <mergeCell ref="D267:D268"/>
    <mergeCell ref="E267:E268"/>
    <mergeCell ref="A269:A270"/>
    <mergeCell ref="B269:B270"/>
    <mergeCell ref="C269:C270"/>
    <mergeCell ref="D269:D270"/>
    <mergeCell ref="E269:E270"/>
    <mergeCell ref="K262:K263"/>
    <mergeCell ref="L262:L263"/>
    <mergeCell ref="K224:K225"/>
    <mergeCell ref="A216:A217"/>
    <mergeCell ref="B216:B217"/>
    <mergeCell ref="C216:C217"/>
    <mergeCell ref="D216:D217"/>
    <mergeCell ref="E216:E217"/>
    <mergeCell ref="A224:A225"/>
    <mergeCell ref="B224:B225"/>
    <mergeCell ref="C224:C225"/>
    <mergeCell ref="D224:D225"/>
    <mergeCell ref="E224:E225"/>
    <mergeCell ref="L224:L225"/>
    <mergeCell ref="A235:A236"/>
    <mergeCell ref="B235:B236"/>
    <mergeCell ref="C235:C236"/>
    <mergeCell ref="D235:D236"/>
    <mergeCell ref="E235:E236"/>
    <mergeCell ref="K235:K236"/>
    <mergeCell ref="L235:L236"/>
    <mergeCell ref="A228:A229"/>
    <mergeCell ref="B228:B229"/>
    <mergeCell ref="C228:C229"/>
    <mergeCell ref="K175:K177"/>
    <mergeCell ref="L175:L177"/>
    <mergeCell ref="A151:A152"/>
    <mergeCell ref="B151:B152"/>
    <mergeCell ref="C151:C152"/>
    <mergeCell ref="D151:D152"/>
    <mergeCell ref="E151:E152"/>
    <mergeCell ref="A160:A161"/>
    <mergeCell ref="B160:B161"/>
    <mergeCell ref="C160:C161"/>
    <mergeCell ref="D160:D161"/>
    <mergeCell ref="E160:E161"/>
    <mergeCell ref="K156:K157"/>
    <mergeCell ref="L156:L157"/>
    <mergeCell ref="K158:K159"/>
    <mergeCell ref="L158:L159"/>
    <mergeCell ref="K160:K161"/>
    <mergeCell ref="L160:L161"/>
    <mergeCell ref="A156:A157"/>
    <mergeCell ref="K146:K148"/>
    <mergeCell ref="L146:L148"/>
    <mergeCell ref="K149:K150"/>
    <mergeCell ref="L149:L150"/>
    <mergeCell ref="K151:K152"/>
    <mergeCell ref="L151:L152"/>
    <mergeCell ref="A146:A148"/>
    <mergeCell ref="B146:B148"/>
    <mergeCell ref="C146:C148"/>
    <mergeCell ref="D146:D148"/>
    <mergeCell ref="E146:E148"/>
    <mergeCell ref="A149:A150"/>
    <mergeCell ref="B149:B150"/>
    <mergeCell ref="C149:C150"/>
    <mergeCell ref="D149:D150"/>
    <mergeCell ref="E149:E150"/>
    <mergeCell ref="L117:L118"/>
    <mergeCell ref="A125:A127"/>
    <mergeCell ref="B125:B127"/>
    <mergeCell ref="C125:C127"/>
    <mergeCell ref="D125:D127"/>
    <mergeCell ref="C115:C116"/>
    <mergeCell ref="D115:D116"/>
    <mergeCell ref="E115:E116"/>
    <mergeCell ref="K115:K116"/>
    <mergeCell ref="A117:A118"/>
    <mergeCell ref="B117:B118"/>
    <mergeCell ref="C117:C118"/>
    <mergeCell ref="D117:D118"/>
    <mergeCell ref="E117:E118"/>
    <mergeCell ref="K117:K118"/>
    <mergeCell ref="K120:K122"/>
    <mergeCell ref="L120:L122"/>
    <mergeCell ref="K125:K127"/>
    <mergeCell ref="L125:L127"/>
    <mergeCell ref="A120:A122"/>
    <mergeCell ref="B120:B122"/>
    <mergeCell ref="C120:C122"/>
    <mergeCell ref="D120:D122"/>
    <mergeCell ref="E120:E122"/>
    <mergeCell ref="L110:L111"/>
    <mergeCell ref="A110:A111"/>
    <mergeCell ref="B110:B111"/>
    <mergeCell ref="C110:C111"/>
    <mergeCell ref="D110:D111"/>
    <mergeCell ref="E110:E111"/>
    <mergeCell ref="K110:K111"/>
    <mergeCell ref="L115:L116"/>
    <mergeCell ref="K105:K106"/>
    <mergeCell ref="L105:L106"/>
    <mergeCell ref="K107:K109"/>
    <mergeCell ref="L107:L109"/>
    <mergeCell ref="A105:A106"/>
    <mergeCell ref="B105:B106"/>
    <mergeCell ref="C105:C106"/>
    <mergeCell ref="D105:D106"/>
    <mergeCell ref="E105:E106"/>
    <mergeCell ref="A107:A109"/>
    <mergeCell ref="B107:B109"/>
    <mergeCell ref="C107:C109"/>
    <mergeCell ref="D107:D109"/>
    <mergeCell ref="E107:E109"/>
    <mergeCell ref="A115:A116"/>
    <mergeCell ref="B115:B116"/>
    <mergeCell ref="D97:D98"/>
    <mergeCell ref="E97:E98"/>
    <mergeCell ref="K97:K98"/>
    <mergeCell ref="L97:L98"/>
    <mergeCell ref="A91:A93"/>
    <mergeCell ref="B91:B93"/>
    <mergeCell ref="C91:C93"/>
    <mergeCell ref="D91:D93"/>
    <mergeCell ref="E91:E93"/>
    <mergeCell ref="K91:K93"/>
    <mergeCell ref="L91:L93"/>
    <mergeCell ref="A97:A98"/>
    <mergeCell ref="B97:B98"/>
    <mergeCell ref="C97:C98"/>
    <mergeCell ref="A13:A15"/>
    <mergeCell ref="B13:B15"/>
    <mergeCell ref="C13:C15"/>
    <mergeCell ref="D13:D15"/>
    <mergeCell ref="L43:L44"/>
    <mergeCell ref="B68:B69"/>
    <mergeCell ref="C68:C69"/>
    <mergeCell ref="D68:D69"/>
    <mergeCell ref="E68:E69"/>
    <mergeCell ref="K56:K58"/>
    <mergeCell ref="L56:L58"/>
    <mergeCell ref="A56:A58"/>
    <mergeCell ref="B56:B58"/>
    <mergeCell ref="C56:C58"/>
    <mergeCell ref="D56:D58"/>
    <mergeCell ref="E56:E58"/>
    <mergeCell ref="C21:C22"/>
    <mergeCell ref="D21:D22"/>
    <mergeCell ref="E21:E22"/>
    <mergeCell ref="D26:D27"/>
    <mergeCell ref="E26:E27"/>
    <mergeCell ref="K19:K20"/>
    <mergeCell ref="L19:L20"/>
    <mergeCell ref="C16:C17"/>
    <mergeCell ref="L3:L4"/>
    <mergeCell ref="K5:K6"/>
    <mergeCell ref="L5:L6"/>
    <mergeCell ref="K11:K12"/>
    <mergeCell ref="L11:L12"/>
    <mergeCell ref="K13:K15"/>
    <mergeCell ref="L13:L15"/>
    <mergeCell ref="K3:K4"/>
    <mergeCell ref="K16:K17"/>
    <mergeCell ref="L16:L17"/>
    <mergeCell ref="D16:D17"/>
    <mergeCell ref="E16:E17"/>
    <mergeCell ref="L31:L32"/>
    <mergeCell ref="A31:A32"/>
    <mergeCell ref="B31:B32"/>
    <mergeCell ref="C31:C32"/>
    <mergeCell ref="K26:K27"/>
    <mergeCell ref="L26:L27"/>
    <mergeCell ref="A29:A30"/>
    <mergeCell ref="B29:B30"/>
    <mergeCell ref="C29:C30"/>
    <mergeCell ref="L29:L30"/>
    <mergeCell ref="A26:A27"/>
    <mergeCell ref="B26:B27"/>
    <mergeCell ref="C26:C27"/>
    <mergeCell ref="A3:C3"/>
    <mergeCell ref="D3:E3"/>
    <mergeCell ref="G3:G4"/>
    <mergeCell ref="A5:A6"/>
    <mergeCell ref="B5:B6"/>
    <mergeCell ref="C5:C6"/>
    <mergeCell ref="D5:D6"/>
    <mergeCell ref="E5:E6"/>
    <mergeCell ref="F5:F6"/>
    <mergeCell ref="G5:G6"/>
    <mergeCell ref="A11:A12"/>
    <mergeCell ref="B11:B12"/>
    <mergeCell ref="C11:C12"/>
    <mergeCell ref="D11:D12"/>
    <mergeCell ref="E11:E12"/>
    <mergeCell ref="A16:A17"/>
    <mergeCell ref="B16:B17"/>
    <mergeCell ref="L24:L25"/>
    <mergeCell ref="K24:K25"/>
    <mergeCell ref="A24:A25"/>
    <mergeCell ref="B24:B25"/>
    <mergeCell ref="C24:C25"/>
    <mergeCell ref="D24:D25"/>
    <mergeCell ref="E24:E25"/>
    <mergeCell ref="E13:E15"/>
    <mergeCell ref="A19:A20"/>
    <mergeCell ref="B19:B20"/>
    <mergeCell ref="C19:C20"/>
    <mergeCell ref="D19:D20"/>
    <mergeCell ref="E19:E20"/>
    <mergeCell ref="K21:K22"/>
    <mergeCell ref="L21:L22"/>
    <mergeCell ref="A21:A22"/>
    <mergeCell ref="B21:B22"/>
    <mergeCell ref="D78:D79"/>
    <mergeCell ref="E78:E79"/>
    <mergeCell ref="K64:K65"/>
    <mergeCell ref="L64:L65"/>
    <mergeCell ref="A64:A65"/>
    <mergeCell ref="B64:B65"/>
    <mergeCell ref="C64:C65"/>
    <mergeCell ref="D64:D65"/>
    <mergeCell ref="E64:E65"/>
    <mergeCell ref="K70:K71"/>
    <mergeCell ref="L70:L71"/>
    <mergeCell ref="A70:A71"/>
    <mergeCell ref="B70:B71"/>
    <mergeCell ref="C70:C71"/>
    <mergeCell ref="D70:D71"/>
    <mergeCell ref="E70:E71"/>
    <mergeCell ref="K68:K69"/>
    <mergeCell ref="L68:L69"/>
    <mergeCell ref="A68:A69"/>
    <mergeCell ref="K78:K79"/>
    <mergeCell ref="L78:L79"/>
    <mergeCell ref="A78:A79"/>
    <mergeCell ref="B78:B79"/>
    <mergeCell ref="C78:C79"/>
    <mergeCell ref="K82:K83"/>
    <mergeCell ref="L82:L83"/>
    <mergeCell ref="K85:K86"/>
    <mergeCell ref="L85:L86"/>
    <mergeCell ref="A82:A83"/>
    <mergeCell ref="B82:B83"/>
    <mergeCell ref="C82:C83"/>
    <mergeCell ref="D82:D83"/>
    <mergeCell ref="E82:E83"/>
    <mergeCell ref="A85:A86"/>
    <mergeCell ref="B85:B86"/>
    <mergeCell ref="C85:C86"/>
    <mergeCell ref="D85:D86"/>
    <mergeCell ref="E85:E86"/>
    <mergeCell ref="K142:K143"/>
    <mergeCell ref="L142:L143"/>
    <mergeCell ref="E125:E127"/>
    <mergeCell ref="K123:K124"/>
    <mergeCell ref="L123:L124"/>
    <mergeCell ref="A129:A130"/>
    <mergeCell ref="B129:B130"/>
    <mergeCell ref="C129:C130"/>
    <mergeCell ref="D129:D130"/>
    <mergeCell ref="E129:E130"/>
    <mergeCell ref="K129:K130"/>
    <mergeCell ref="L129:L130"/>
    <mergeCell ref="A123:A124"/>
    <mergeCell ref="B123:B124"/>
    <mergeCell ref="C123:C124"/>
    <mergeCell ref="D123:D124"/>
    <mergeCell ref="E123:E124"/>
    <mergeCell ref="A142:A143"/>
    <mergeCell ref="B142:B143"/>
    <mergeCell ref="C142:C143"/>
    <mergeCell ref="D142:D143"/>
    <mergeCell ref="E142:E143"/>
    <mergeCell ref="B184:B185"/>
    <mergeCell ref="C184:C185"/>
    <mergeCell ref="D184:D185"/>
    <mergeCell ref="E184:E185"/>
    <mergeCell ref="B156:B157"/>
    <mergeCell ref="C156:C157"/>
    <mergeCell ref="D156:D157"/>
    <mergeCell ref="E156:E157"/>
    <mergeCell ref="A158:A159"/>
    <mergeCell ref="B158:B159"/>
    <mergeCell ref="C158:C159"/>
    <mergeCell ref="D158:D159"/>
    <mergeCell ref="E158:E159"/>
    <mergeCell ref="A175:A177"/>
    <mergeCell ref="B175:B177"/>
    <mergeCell ref="C175:C177"/>
    <mergeCell ref="D175:D177"/>
    <mergeCell ref="E175:E177"/>
    <mergeCell ref="K190:K192"/>
    <mergeCell ref="L190:L192"/>
    <mergeCell ref="K180:K181"/>
    <mergeCell ref="L180:L181"/>
    <mergeCell ref="K184:K185"/>
    <mergeCell ref="L184:L185"/>
    <mergeCell ref="K193:K194"/>
    <mergeCell ref="L193:L194"/>
    <mergeCell ref="A190:A192"/>
    <mergeCell ref="B190:B192"/>
    <mergeCell ref="C190:C192"/>
    <mergeCell ref="D190:D192"/>
    <mergeCell ref="E190:E192"/>
    <mergeCell ref="A193:A194"/>
    <mergeCell ref="B193:B194"/>
    <mergeCell ref="C193:C194"/>
    <mergeCell ref="D193:D194"/>
    <mergeCell ref="E193:E194"/>
    <mergeCell ref="A180:A181"/>
    <mergeCell ref="B180:B181"/>
    <mergeCell ref="C180:C181"/>
    <mergeCell ref="D180:D181"/>
    <mergeCell ref="E180:E181"/>
    <mergeCell ref="A184:A185"/>
    <mergeCell ref="K197:K198"/>
    <mergeCell ref="L197:L198"/>
    <mergeCell ref="K199:K201"/>
    <mergeCell ref="L199:L201"/>
    <mergeCell ref="A197:A198"/>
    <mergeCell ref="B197:B198"/>
    <mergeCell ref="C197:C198"/>
    <mergeCell ref="D197:D198"/>
    <mergeCell ref="E197:E198"/>
    <mergeCell ref="A199:A201"/>
    <mergeCell ref="B199:B201"/>
    <mergeCell ref="C199:C201"/>
    <mergeCell ref="D199:D201"/>
    <mergeCell ref="E199:E201"/>
    <mergeCell ref="A207:A208"/>
    <mergeCell ref="B207:B208"/>
    <mergeCell ref="C207:C208"/>
    <mergeCell ref="D207:D208"/>
    <mergeCell ref="E207:E208"/>
    <mergeCell ref="K207:K208"/>
    <mergeCell ref="L207:L208"/>
    <mergeCell ref="A221:A222"/>
    <mergeCell ref="B221:B222"/>
    <mergeCell ref="C221:C222"/>
    <mergeCell ref="D221:D222"/>
    <mergeCell ref="E221:E222"/>
    <mergeCell ref="K221:K222"/>
    <mergeCell ref="L221:L222"/>
    <mergeCell ref="K213:K214"/>
    <mergeCell ref="L213:L214"/>
    <mergeCell ref="K216:K217"/>
    <mergeCell ref="L216:L217"/>
    <mergeCell ref="A213:A214"/>
    <mergeCell ref="B213:B214"/>
    <mergeCell ref="C213:C214"/>
    <mergeCell ref="D213:D214"/>
    <mergeCell ref="E213:E214"/>
    <mergeCell ref="D228:D229"/>
    <mergeCell ref="E228:E229"/>
    <mergeCell ref="K228:K229"/>
    <mergeCell ref="L228:L229"/>
    <mergeCell ref="K231:K232"/>
    <mergeCell ref="L231:L232"/>
    <mergeCell ref="A252:A253"/>
    <mergeCell ref="B252:B253"/>
    <mergeCell ref="C252:C253"/>
    <mergeCell ref="D252:D253"/>
    <mergeCell ref="E252:E253"/>
    <mergeCell ref="K252:K253"/>
    <mergeCell ref="L252:L253"/>
    <mergeCell ref="A238:A239"/>
    <mergeCell ref="B238:B239"/>
    <mergeCell ref="C238:C239"/>
    <mergeCell ref="D238:D239"/>
    <mergeCell ref="E238:E239"/>
    <mergeCell ref="K238:K239"/>
    <mergeCell ref="L238:L239"/>
    <mergeCell ref="A249:A250"/>
    <mergeCell ref="B249:B250"/>
    <mergeCell ref="C249:C250"/>
    <mergeCell ref="D249:D250"/>
    <mergeCell ref="E249:E250"/>
    <mergeCell ref="K249:K250"/>
    <mergeCell ref="L249:L250"/>
    <mergeCell ref="K256:K257"/>
    <mergeCell ref="L256:L257"/>
    <mergeCell ref="K258:K259"/>
    <mergeCell ref="L258:L259"/>
    <mergeCell ref="K260:K261"/>
    <mergeCell ref="L260:L261"/>
    <mergeCell ref="B285:B287"/>
    <mergeCell ref="C285:C287"/>
    <mergeCell ref="D285:D287"/>
    <mergeCell ref="E285:E287"/>
    <mergeCell ref="A256:A257"/>
    <mergeCell ref="B256:B257"/>
    <mergeCell ref="C256:C257"/>
    <mergeCell ref="D256:D257"/>
    <mergeCell ref="E256:E257"/>
    <mergeCell ref="A258:A259"/>
    <mergeCell ref="B258:B259"/>
    <mergeCell ref="C258:C259"/>
    <mergeCell ref="D258:D259"/>
    <mergeCell ref="E258:E259"/>
    <mergeCell ref="A260:A261"/>
    <mergeCell ref="B260:B261"/>
    <mergeCell ref="C260:C261"/>
    <mergeCell ref="D260:D261"/>
    <mergeCell ref="E260:E261"/>
    <mergeCell ref="A262:A263"/>
    <mergeCell ref="B262:B263"/>
    <mergeCell ref="C262:C263"/>
    <mergeCell ref="D262:D263"/>
    <mergeCell ref="E262:E263"/>
    <mergeCell ref="E296:E297"/>
    <mergeCell ref="A288:A290"/>
    <mergeCell ref="B288:B290"/>
    <mergeCell ref="C288:C290"/>
    <mergeCell ref="D288:D290"/>
    <mergeCell ref="E288:E290"/>
    <mergeCell ref="A292:A293"/>
    <mergeCell ref="B292:B293"/>
    <mergeCell ref="C292:C293"/>
    <mergeCell ref="D292:D293"/>
    <mergeCell ref="E292:E293"/>
    <mergeCell ref="A299:A300"/>
    <mergeCell ref="B299:B300"/>
    <mergeCell ref="C299:C300"/>
    <mergeCell ref="D299:D300"/>
    <mergeCell ref="E299:E300"/>
    <mergeCell ref="K299:K300"/>
    <mergeCell ref="L299:L300"/>
    <mergeCell ref="K288:K290"/>
    <mergeCell ref="L288:L290"/>
    <mergeCell ref="K292:K293"/>
    <mergeCell ref="L292:L293"/>
    <mergeCell ref="K294:K295"/>
    <mergeCell ref="L294:L295"/>
    <mergeCell ref="K296:K297"/>
    <mergeCell ref="L296:L297"/>
    <mergeCell ref="A294:A295"/>
    <mergeCell ref="B294:B295"/>
    <mergeCell ref="C294:C295"/>
    <mergeCell ref="D294:D295"/>
    <mergeCell ref="E294:E295"/>
    <mergeCell ref="A296:A297"/>
    <mergeCell ref="B296:B297"/>
    <mergeCell ref="C296:C297"/>
    <mergeCell ref="D296:D297"/>
  </mergeCells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09E5E-9BBB-49EE-AA10-314307B93923}">
  <dimension ref="A1:L69"/>
  <sheetViews>
    <sheetView topLeftCell="A34" zoomScale="80" zoomScaleNormal="80" workbookViewId="0">
      <selection activeCell="D66" sqref="D66:D67"/>
    </sheetView>
  </sheetViews>
  <sheetFormatPr baseColWidth="10" defaultColWidth="8.88671875" defaultRowHeight="14.4" x14ac:dyDescent="0.3"/>
  <cols>
    <col min="2" max="2" width="12.33203125" bestFit="1" customWidth="1"/>
    <col min="4" max="4" width="11.33203125" customWidth="1"/>
    <col min="5" max="5" width="12.33203125" bestFit="1" customWidth="1"/>
    <col min="7" max="7" width="11.109375" customWidth="1"/>
    <col min="8" max="8" width="13.109375" hidden="1" customWidth="1"/>
    <col min="9" max="9" width="0" hidden="1" customWidth="1"/>
    <col min="10" max="10" width="8.6640625" bestFit="1" customWidth="1"/>
    <col min="11" max="11" width="10.33203125" customWidth="1"/>
    <col min="12" max="12" width="12" bestFit="1" customWidth="1"/>
  </cols>
  <sheetData>
    <row r="1" spans="1:12" ht="23.4" x14ac:dyDescent="0.3">
      <c r="A1" s="1" t="s">
        <v>4599</v>
      </c>
      <c r="B1" s="1"/>
      <c r="C1" s="1"/>
      <c r="D1" s="1"/>
      <c r="E1" s="1"/>
      <c r="F1" s="1"/>
      <c r="G1" s="1"/>
      <c r="H1" s="1"/>
      <c r="I1" s="1"/>
      <c r="J1" s="2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2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72" t="s">
        <v>8</v>
      </c>
      <c r="G4" s="923"/>
      <c r="H4" s="7" t="s">
        <v>9</v>
      </c>
      <c r="I4" s="6" t="s">
        <v>5</v>
      </c>
      <c r="J4" s="6" t="s">
        <v>10</v>
      </c>
      <c r="K4" s="916"/>
      <c r="L4" s="1010"/>
    </row>
    <row r="5" spans="1:12" x14ac:dyDescent="0.3">
      <c r="A5" s="871">
        <v>184</v>
      </c>
      <c r="B5" s="1006">
        <v>7168.25</v>
      </c>
      <c r="C5" s="873" t="s">
        <v>4968</v>
      </c>
      <c r="D5" s="873">
        <f>+I5+I6+20</f>
        <v>184</v>
      </c>
      <c r="E5" s="873">
        <f>+J5+J6+756.2</f>
        <v>7250.9</v>
      </c>
      <c r="F5" s="39" t="s">
        <v>4600</v>
      </c>
      <c r="G5" s="39">
        <v>31061</v>
      </c>
      <c r="H5" s="40"/>
      <c r="I5" s="39">
        <v>124</v>
      </c>
      <c r="J5" s="39">
        <v>4891.8999999999996</v>
      </c>
      <c r="K5" s="1081">
        <f t="shared" ref="K5" si="0">+A5-D5</f>
        <v>0</v>
      </c>
      <c r="L5" s="879">
        <f>((+B5/A5)-(E5/D5))/(B5/A5)</f>
        <v>-1.1530010811564732E-2</v>
      </c>
    </row>
    <row r="6" spans="1:12" ht="15" thickBot="1" x14ac:dyDescent="0.35">
      <c r="A6" s="872"/>
      <c r="B6" s="1007"/>
      <c r="C6" s="874"/>
      <c r="D6" s="874"/>
      <c r="E6" s="874"/>
      <c r="F6" s="42" t="s">
        <v>4600</v>
      </c>
      <c r="G6" s="42">
        <v>31061</v>
      </c>
      <c r="H6" s="43"/>
      <c r="I6" s="42">
        <v>40</v>
      </c>
      <c r="J6" s="42">
        <v>1602.8</v>
      </c>
      <c r="K6" s="1082"/>
      <c r="L6" s="880"/>
    </row>
    <row r="7" spans="1:12" ht="15" thickBot="1" x14ac:dyDescent="0.35">
      <c r="A7" s="163">
        <v>121</v>
      </c>
      <c r="B7" s="357">
        <v>5241.5</v>
      </c>
      <c r="C7" s="126" t="s">
        <v>4969</v>
      </c>
      <c r="D7" s="10">
        <f t="shared" ref="D7:E7" si="1">+I7</f>
        <v>121</v>
      </c>
      <c r="E7" s="10">
        <f t="shared" si="1"/>
        <v>5227.3999999999996</v>
      </c>
      <c r="F7" s="42" t="s">
        <v>4970</v>
      </c>
      <c r="G7" s="42">
        <v>31461</v>
      </c>
      <c r="H7" s="42"/>
      <c r="I7" s="10">
        <v>121</v>
      </c>
      <c r="J7" s="42">
        <v>5227.3999999999996</v>
      </c>
      <c r="K7" s="120">
        <f t="shared" ref="K7" si="2">+A7-D7</f>
        <v>0</v>
      </c>
      <c r="L7" s="31">
        <f t="shared" ref="L7" si="3">((+B7/A7)-(E7/D7))/(B7/A7)</f>
        <v>2.6900696365545246E-3</v>
      </c>
    </row>
    <row r="8" spans="1:12" ht="15" thickBot="1" x14ac:dyDescent="0.35">
      <c r="A8" s="178">
        <v>315</v>
      </c>
      <c r="B8" s="45">
        <v>13871.5</v>
      </c>
      <c r="C8" s="45" t="s">
        <v>4971</v>
      </c>
      <c r="D8" s="10">
        <f>+I8+20</f>
        <v>313</v>
      </c>
      <c r="E8" s="10">
        <f>+J8+847.8</f>
        <v>13530</v>
      </c>
      <c r="F8" s="45" t="s">
        <v>4972</v>
      </c>
      <c r="G8" s="45">
        <v>31531</v>
      </c>
      <c r="H8" s="45"/>
      <c r="I8" s="45">
        <v>293</v>
      </c>
      <c r="J8" s="45">
        <v>12682.2</v>
      </c>
      <c r="K8" s="120">
        <f t="shared" ref="K8" si="4">+A8-D8</f>
        <v>2</v>
      </c>
      <c r="L8" s="31">
        <f t="shared" ref="L8" si="5">((+B8/A8)-(E8/D8))/(B8/A8)</f>
        <v>1.8386355179944074E-2</v>
      </c>
    </row>
    <row r="9" spans="1:12" ht="15" thickBot="1" x14ac:dyDescent="0.35">
      <c r="A9" s="178">
        <v>600</v>
      </c>
      <c r="B9" s="45">
        <v>27530.75</v>
      </c>
      <c r="C9" s="45" t="s">
        <v>5050</v>
      </c>
      <c r="D9" s="45">
        <v>600</v>
      </c>
      <c r="E9" s="45">
        <v>27417.7</v>
      </c>
      <c r="F9" s="45" t="s">
        <v>5051</v>
      </c>
      <c r="G9" s="45">
        <v>31571</v>
      </c>
      <c r="H9" s="14"/>
      <c r="I9" s="45">
        <v>293</v>
      </c>
      <c r="J9" s="45">
        <v>13532</v>
      </c>
      <c r="K9" s="120">
        <f t="shared" ref="K9:K10" si="6">+A9-D9</f>
        <v>0</v>
      </c>
      <c r="L9" s="31">
        <f t="shared" ref="L9" si="7">((+B9/A9)-(E9/D9))/(B9/A9)</f>
        <v>4.1063174813616389E-3</v>
      </c>
    </row>
    <row r="10" spans="1:12" x14ac:dyDescent="0.3">
      <c r="A10" s="871">
        <v>1231</v>
      </c>
      <c r="B10" s="873">
        <v>54525.75</v>
      </c>
      <c r="C10" s="873" t="s">
        <v>5148</v>
      </c>
      <c r="D10" s="873">
        <v>1217</v>
      </c>
      <c r="E10" s="873">
        <v>54915.5</v>
      </c>
      <c r="F10" s="39" t="s">
        <v>5149</v>
      </c>
      <c r="G10" s="39">
        <v>31581</v>
      </c>
      <c r="H10" s="39"/>
      <c r="I10" s="39">
        <v>57</v>
      </c>
      <c r="J10" s="39">
        <v>2574</v>
      </c>
      <c r="K10" s="1081">
        <f t="shared" si="6"/>
        <v>14</v>
      </c>
      <c r="L10" s="879">
        <f>((+B10/A10)-(E10/D10))/(B10/A10)</f>
        <v>-1.8733924916051047E-2</v>
      </c>
    </row>
    <row r="11" spans="1:12" x14ac:dyDescent="0.3">
      <c r="A11" s="875"/>
      <c r="B11" s="881"/>
      <c r="C11" s="881"/>
      <c r="D11" s="881"/>
      <c r="E11" s="881"/>
      <c r="F11" s="50" t="s">
        <v>5149</v>
      </c>
      <c r="G11" s="50">
        <v>31581</v>
      </c>
      <c r="H11" s="50"/>
      <c r="I11" s="50">
        <v>104</v>
      </c>
      <c r="J11" s="50">
        <v>4653.2</v>
      </c>
      <c r="K11" s="1083"/>
      <c r="L11" s="885"/>
    </row>
    <row r="12" spans="1:12" ht="15" thickBot="1" x14ac:dyDescent="0.35">
      <c r="A12" s="872"/>
      <c r="B12" s="874"/>
      <c r="C12" s="874"/>
      <c r="D12" s="874"/>
      <c r="E12" s="874"/>
      <c r="F12" s="42" t="s">
        <v>5149</v>
      </c>
      <c r="G12" s="42">
        <v>31581</v>
      </c>
      <c r="H12" s="42"/>
      <c r="I12" s="42">
        <v>200</v>
      </c>
      <c r="J12" s="42">
        <v>9007.9</v>
      </c>
      <c r="K12" s="1082"/>
      <c r="L12" s="880"/>
    </row>
    <row r="13" spans="1:12" ht="15" thickBot="1" x14ac:dyDescent="0.35">
      <c r="A13" s="175">
        <v>61</v>
      </c>
      <c r="B13" s="8">
        <v>2747</v>
      </c>
      <c r="C13" s="8" t="s">
        <v>5374</v>
      </c>
      <c r="D13" s="8">
        <f>+I13</f>
        <v>61</v>
      </c>
      <c r="E13" s="8">
        <f>+J13</f>
        <v>2798.2</v>
      </c>
      <c r="F13" s="45" t="s">
        <v>5375</v>
      </c>
      <c r="G13" s="45">
        <v>31681</v>
      </c>
      <c r="H13" s="45"/>
      <c r="I13" s="45">
        <v>61</v>
      </c>
      <c r="J13" s="45">
        <v>2798.2</v>
      </c>
      <c r="K13" s="120">
        <f t="shared" ref="K13" si="8">+A13-D13</f>
        <v>0</v>
      </c>
      <c r="L13" s="31">
        <f t="shared" ref="L13" si="9">((+B13/A13)-(E13/D13))/(B13/A13)</f>
        <v>-1.8638514743356312E-2</v>
      </c>
    </row>
    <row r="14" spans="1:12" x14ac:dyDescent="0.3">
      <c r="A14" s="871">
        <v>1599</v>
      </c>
      <c r="B14" s="873">
        <v>63460.1</v>
      </c>
      <c r="C14" s="873" t="s">
        <v>5376</v>
      </c>
      <c r="D14" s="873">
        <v>1599</v>
      </c>
      <c r="E14" s="873">
        <v>64370.9</v>
      </c>
      <c r="F14" s="392" t="s">
        <v>5377</v>
      </c>
      <c r="G14" s="392">
        <v>31751</v>
      </c>
      <c r="H14" s="392"/>
      <c r="I14" s="392">
        <v>220</v>
      </c>
      <c r="J14" s="392">
        <v>9057.7999999999993</v>
      </c>
      <c r="K14" s="1081">
        <f t="shared" ref="K14" si="10">+A14-D14</f>
        <v>0</v>
      </c>
      <c r="L14" s="879">
        <f>((+B14/A14)-(E14/D14))/(B14/A14)</f>
        <v>-1.4352325319373797E-2</v>
      </c>
    </row>
    <row r="15" spans="1:12" ht="15" thickBot="1" x14ac:dyDescent="0.35">
      <c r="A15" s="872"/>
      <c r="B15" s="874"/>
      <c r="C15" s="874"/>
      <c r="D15" s="874"/>
      <c r="E15" s="874"/>
      <c r="F15" s="393" t="s">
        <v>5377</v>
      </c>
      <c r="G15" s="393">
        <v>31751</v>
      </c>
      <c r="H15" s="393"/>
      <c r="I15" s="393">
        <v>220</v>
      </c>
      <c r="J15" s="393">
        <v>9186.1</v>
      </c>
      <c r="K15" s="1082"/>
      <c r="L15" s="880"/>
    </row>
    <row r="16" spans="1:12" ht="15" thickBot="1" x14ac:dyDescent="0.35">
      <c r="A16" s="175">
        <v>199</v>
      </c>
      <c r="B16" s="8">
        <v>7974.5</v>
      </c>
      <c r="C16" s="8" t="s">
        <v>5512</v>
      </c>
      <c r="D16" s="8">
        <f t="shared" ref="D16:E19" si="11">+I16</f>
        <v>199</v>
      </c>
      <c r="E16" s="8">
        <f t="shared" si="11"/>
        <v>8009</v>
      </c>
      <c r="F16" s="45" t="s">
        <v>5513</v>
      </c>
      <c r="G16" s="45">
        <v>31801</v>
      </c>
      <c r="H16" s="45"/>
      <c r="I16" s="45">
        <v>199</v>
      </c>
      <c r="J16" s="45">
        <v>8009</v>
      </c>
      <c r="K16" s="120">
        <f t="shared" ref="K16:K19" si="12">+A16-D16</f>
        <v>0</v>
      </c>
      <c r="L16" s="31">
        <f t="shared" ref="L16:L19" si="13">((+B16/A16)-(E16/D16))/(B16/A16)</f>
        <v>-4.3262900495329428E-3</v>
      </c>
    </row>
    <row r="17" spans="1:12" ht="15" thickBot="1" x14ac:dyDescent="0.35">
      <c r="A17" s="178">
        <v>532</v>
      </c>
      <c r="B17" s="326">
        <v>29721</v>
      </c>
      <c r="C17" s="45" t="s">
        <v>5713</v>
      </c>
      <c r="D17" s="8">
        <f t="shared" si="11"/>
        <v>532</v>
      </c>
      <c r="E17" s="8">
        <f t="shared" si="11"/>
        <v>27087.1</v>
      </c>
      <c r="F17" s="45" t="s">
        <v>5714</v>
      </c>
      <c r="G17" s="45">
        <v>31991</v>
      </c>
      <c r="H17" s="45"/>
      <c r="I17" s="45">
        <v>532</v>
      </c>
      <c r="J17" s="45">
        <v>27087.1</v>
      </c>
      <c r="K17" s="120">
        <f t="shared" ref="K17" si="14">+A17-D17</f>
        <v>0</v>
      </c>
      <c r="L17" s="31">
        <f t="shared" ref="L17" si="15">((+B17/A17)-(E17/D17))/(B17/A17)</f>
        <v>8.8620840483160115E-2</v>
      </c>
    </row>
    <row r="18" spans="1:12" ht="15" thickBot="1" x14ac:dyDescent="0.35">
      <c r="A18" s="178">
        <v>862</v>
      </c>
      <c r="B18" s="45">
        <v>35345.1</v>
      </c>
      <c r="C18" s="45" t="s">
        <v>5514</v>
      </c>
      <c r="D18" s="8">
        <f t="shared" si="11"/>
        <v>862</v>
      </c>
      <c r="E18" s="8">
        <f t="shared" si="11"/>
        <v>35161</v>
      </c>
      <c r="F18" s="45" t="s">
        <v>5515</v>
      </c>
      <c r="G18" s="45">
        <v>32031</v>
      </c>
      <c r="H18" s="45"/>
      <c r="I18" s="45">
        <v>862</v>
      </c>
      <c r="J18" s="45">
        <v>35161</v>
      </c>
      <c r="K18" s="120">
        <f t="shared" si="12"/>
        <v>0</v>
      </c>
      <c r="L18" s="31">
        <f t="shared" si="13"/>
        <v>5.2086427821676495E-3</v>
      </c>
    </row>
    <row r="19" spans="1:12" ht="15" thickBot="1" x14ac:dyDescent="0.35">
      <c r="A19" s="178">
        <v>298</v>
      </c>
      <c r="B19" s="45">
        <v>11857.5</v>
      </c>
      <c r="C19" s="45" t="s">
        <v>5516</v>
      </c>
      <c r="D19" s="8">
        <f t="shared" si="11"/>
        <v>298</v>
      </c>
      <c r="E19" s="8">
        <f t="shared" si="11"/>
        <v>11640.1</v>
      </c>
      <c r="F19" s="45" t="s">
        <v>5517</v>
      </c>
      <c r="G19" s="45">
        <v>32041</v>
      </c>
      <c r="H19" s="45"/>
      <c r="I19" s="45">
        <v>298</v>
      </c>
      <c r="J19" s="45">
        <v>11640.1</v>
      </c>
      <c r="K19" s="120">
        <f t="shared" si="12"/>
        <v>0</v>
      </c>
      <c r="L19" s="31">
        <f t="shared" si="13"/>
        <v>1.833438751844833E-2</v>
      </c>
    </row>
    <row r="20" spans="1:12" ht="15" thickBot="1" x14ac:dyDescent="0.35">
      <c r="A20" s="178">
        <v>487</v>
      </c>
      <c r="B20" s="45">
        <v>19628</v>
      </c>
      <c r="C20" s="45" t="s">
        <v>5598</v>
      </c>
      <c r="D20" s="8">
        <v>487</v>
      </c>
      <c r="E20" s="8">
        <v>19606.7</v>
      </c>
      <c r="F20" s="45" t="s">
        <v>5599</v>
      </c>
      <c r="G20" s="45">
        <v>32061</v>
      </c>
      <c r="H20" s="45"/>
      <c r="I20" s="45">
        <v>287</v>
      </c>
      <c r="J20" s="45">
        <v>11437.900000000001</v>
      </c>
      <c r="K20" s="120">
        <f t="shared" ref="K20" si="16">+A20-D20</f>
        <v>0</v>
      </c>
      <c r="L20" s="31">
        <f t="shared" ref="L20" si="17">((+B20/A20)-(E20/D20))/(B20/A20)</f>
        <v>1.0851844304054974E-3</v>
      </c>
    </row>
    <row r="21" spans="1:12" ht="15" thickBot="1" x14ac:dyDescent="0.35">
      <c r="A21" s="178">
        <v>767</v>
      </c>
      <c r="B21" s="45">
        <v>33969.5</v>
      </c>
      <c r="C21" s="45" t="s">
        <v>5829</v>
      </c>
      <c r="D21" s="8">
        <f>+I21</f>
        <v>181</v>
      </c>
      <c r="E21" s="8">
        <f>+J21</f>
        <v>8041</v>
      </c>
      <c r="F21" s="45" t="s">
        <v>5830</v>
      </c>
      <c r="G21" s="45">
        <v>32101</v>
      </c>
      <c r="H21" s="45"/>
      <c r="I21" s="45">
        <v>181</v>
      </c>
      <c r="J21" s="45">
        <v>8041</v>
      </c>
      <c r="K21" s="120">
        <f t="shared" ref="K21" si="18">+A21-D21</f>
        <v>586</v>
      </c>
      <c r="L21" s="31">
        <f t="shared" ref="L21" si="19">((+B21/A21)-(E21/D21))/(B21/A21)</f>
        <v>-3.0849090413328836E-3</v>
      </c>
    </row>
    <row r="22" spans="1:12" ht="15" thickBot="1" x14ac:dyDescent="0.35">
      <c r="A22" s="178">
        <v>856</v>
      </c>
      <c r="B22" s="45">
        <v>38709.25</v>
      </c>
      <c r="C22" s="45" t="s">
        <v>5989</v>
      </c>
      <c r="D22" s="8">
        <f t="shared" ref="D22:E24" si="20">+I22</f>
        <v>856</v>
      </c>
      <c r="E22" s="8">
        <f t="shared" si="20"/>
        <v>39378.6</v>
      </c>
      <c r="F22" s="45" t="s">
        <v>5990</v>
      </c>
      <c r="G22" s="45">
        <v>32161</v>
      </c>
      <c r="H22" s="45"/>
      <c r="I22" s="45">
        <v>856</v>
      </c>
      <c r="J22" s="45">
        <v>39378.6</v>
      </c>
      <c r="K22" s="120">
        <f t="shared" ref="K22:K23" si="21">+A22-D22</f>
        <v>0</v>
      </c>
      <c r="L22" s="31">
        <f t="shared" ref="L22:L23" si="22">((+B22/A22)-(E22/D22))/(B22/A22)</f>
        <v>-1.7291732596214134E-2</v>
      </c>
    </row>
    <row r="23" spans="1:12" ht="15" thickBot="1" x14ac:dyDescent="0.35">
      <c r="A23" s="178">
        <v>997</v>
      </c>
      <c r="B23" s="45">
        <v>43000.75</v>
      </c>
      <c r="C23" s="45" t="s">
        <v>5991</v>
      </c>
      <c r="D23" s="8">
        <f t="shared" si="20"/>
        <v>997</v>
      </c>
      <c r="E23" s="8">
        <f t="shared" si="20"/>
        <v>43451.400000000009</v>
      </c>
      <c r="F23" s="45" t="s">
        <v>5992</v>
      </c>
      <c r="G23" s="45">
        <v>32171</v>
      </c>
      <c r="H23" s="45"/>
      <c r="I23" s="45">
        <v>997</v>
      </c>
      <c r="J23" s="45">
        <v>43451.400000000009</v>
      </c>
      <c r="K23" s="120">
        <f t="shared" si="21"/>
        <v>0</v>
      </c>
      <c r="L23" s="31">
        <f t="shared" si="22"/>
        <v>-1.0480049766574025E-2</v>
      </c>
    </row>
    <row r="24" spans="1:12" ht="15" thickBot="1" x14ac:dyDescent="0.35">
      <c r="A24" s="499">
        <v>90</v>
      </c>
      <c r="B24" s="502">
        <v>3570.5</v>
      </c>
      <c r="C24" s="502" t="s">
        <v>6091</v>
      </c>
      <c r="D24" s="8">
        <f t="shared" si="20"/>
        <v>90</v>
      </c>
      <c r="E24" s="8">
        <f t="shared" si="20"/>
        <v>3599.6</v>
      </c>
      <c r="F24" s="502" t="s">
        <v>6092</v>
      </c>
      <c r="G24" s="502">
        <v>32421</v>
      </c>
      <c r="H24" s="40"/>
      <c r="I24" s="502">
        <v>90</v>
      </c>
      <c r="J24" s="502">
        <v>3599.6</v>
      </c>
      <c r="K24" s="120">
        <f t="shared" ref="K24:K25" si="23">+A24-D24</f>
        <v>0</v>
      </c>
      <c r="L24" s="31">
        <f t="shared" ref="L24:L25" si="24">((+B24/A24)-(E24/D24))/(B24/A24)</f>
        <v>-8.1501190309479776E-3</v>
      </c>
    </row>
    <row r="25" spans="1:12" ht="15" thickBot="1" x14ac:dyDescent="0.35">
      <c r="A25" s="178">
        <v>754</v>
      </c>
      <c r="B25" s="45">
        <v>30042.3</v>
      </c>
      <c r="C25" s="45" t="s">
        <v>6093</v>
      </c>
      <c r="D25" s="8">
        <v>755</v>
      </c>
      <c r="E25" s="8">
        <v>30227.1</v>
      </c>
      <c r="F25" s="45" t="s">
        <v>6094</v>
      </c>
      <c r="G25" s="45">
        <v>32551</v>
      </c>
      <c r="H25" s="14"/>
      <c r="I25" s="45">
        <v>522</v>
      </c>
      <c r="J25" s="45">
        <v>20968.800000000003</v>
      </c>
      <c r="K25" s="120">
        <f t="shared" si="23"/>
        <v>-1</v>
      </c>
      <c r="L25" s="31">
        <f t="shared" si="24"/>
        <v>-4.8186758657048122E-3</v>
      </c>
    </row>
    <row r="26" spans="1:12" ht="15" thickBot="1" x14ac:dyDescent="0.35">
      <c r="A26" s="175">
        <v>220</v>
      </c>
      <c r="B26" s="8">
        <v>9070.25</v>
      </c>
      <c r="C26" s="555" t="s">
        <v>6218</v>
      </c>
      <c r="D26" s="8">
        <f t="shared" ref="D26:E27" si="25">+I26</f>
        <v>220</v>
      </c>
      <c r="E26" s="8">
        <f t="shared" si="25"/>
        <v>8819.9</v>
      </c>
      <c r="F26" s="8" t="s">
        <v>6219</v>
      </c>
      <c r="G26" s="8">
        <v>32661</v>
      </c>
      <c r="H26" s="14"/>
      <c r="I26" s="45">
        <v>220</v>
      </c>
      <c r="J26" s="45">
        <v>8819.9</v>
      </c>
      <c r="K26" s="120">
        <f t="shared" ref="K26:K29" si="26">+A26-D26</f>
        <v>0</v>
      </c>
      <c r="L26" s="31">
        <f t="shared" ref="L26:L28" si="27">((+B26/A26)-(E26/D26))/(B26/A26)</f>
        <v>2.7601223781042478E-2</v>
      </c>
    </row>
    <row r="27" spans="1:12" ht="15" thickBot="1" x14ac:dyDescent="0.35">
      <c r="A27" s="175">
        <v>558</v>
      </c>
      <c r="B27" s="8">
        <v>22051.25</v>
      </c>
      <c r="C27" s="555" t="s">
        <v>6220</v>
      </c>
      <c r="D27" s="8">
        <f t="shared" si="25"/>
        <v>558</v>
      </c>
      <c r="E27" s="8">
        <f t="shared" si="25"/>
        <v>21657.8</v>
      </c>
      <c r="F27" s="8" t="s">
        <v>6221</v>
      </c>
      <c r="G27" s="8">
        <v>32671</v>
      </c>
      <c r="H27" s="14"/>
      <c r="I27" s="45">
        <v>558</v>
      </c>
      <c r="J27" s="45">
        <v>21657.8</v>
      </c>
      <c r="K27" s="120">
        <f t="shared" si="26"/>
        <v>0</v>
      </c>
      <c r="L27" s="31">
        <f t="shared" si="27"/>
        <v>1.7842525933904108E-2</v>
      </c>
    </row>
    <row r="28" spans="1:12" ht="15" thickBot="1" x14ac:dyDescent="0.35">
      <c r="A28" s="175">
        <v>1030</v>
      </c>
      <c r="B28" s="8">
        <v>41446.699999999997</v>
      </c>
      <c r="C28" s="45" t="s">
        <v>6222</v>
      </c>
      <c r="D28" s="8">
        <f>+I28+585</f>
        <v>1030</v>
      </c>
      <c r="E28" s="8">
        <f>+J28+23443.3</f>
        <v>41386.800000000003</v>
      </c>
      <c r="F28" s="8" t="s">
        <v>6223</v>
      </c>
      <c r="G28" s="8">
        <v>32731</v>
      </c>
      <c r="H28" s="14"/>
      <c r="I28" s="554">
        <v>445</v>
      </c>
      <c r="J28" s="45">
        <v>17943.5</v>
      </c>
      <c r="K28" s="120">
        <f t="shared" si="26"/>
        <v>0</v>
      </c>
      <c r="L28" s="31">
        <f t="shared" si="27"/>
        <v>1.4452296564019943E-3</v>
      </c>
    </row>
    <row r="29" spans="1:12" x14ac:dyDescent="0.3">
      <c r="A29" s="871">
        <v>500</v>
      </c>
      <c r="B29" s="873">
        <v>20151.599999999999</v>
      </c>
      <c r="C29" s="873" t="s">
        <v>6236</v>
      </c>
      <c r="D29" s="873">
        <f>+I29+I30</f>
        <v>500</v>
      </c>
      <c r="E29" s="873">
        <f>+J29+J30</f>
        <v>19600.400000000001</v>
      </c>
      <c r="F29" s="524" t="s">
        <v>6237</v>
      </c>
      <c r="G29" s="524">
        <v>32771</v>
      </c>
      <c r="H29" s="40"/>
      <c r="I29" s="552">
        <v>250</v>
      </c>
      <c r="J29" s="534">
        <v>9759.1</v>
      </c>
      <c r="K29" s="1081">
        <f t="shared" si="26"/>
        <v>0</v>
      </c>
      <c r="L29" s="879">
        <f>((+B29/A29)-(E29/D29))/(B29/A29)</f>
        <v>2.7352666785763809E-2</v>
      </c>
    </row>
    <row r="30" spans="1:12" ht="15" thickBot="1" x14ac:dyDescent="0.35">
      <c r="A30" s="872"/>
      <c r="B30" s="874"/>
      <c r="C30" s="874"/>
      <c r="D30" s="874"/>
      <c r="E30" s="874"/>
      <c r="F30" s="525" t="s">
        <v>6237</v>
      </c>
      <c r="G30" s="525">
        <v>32772</v>
      </c>
      <c r="H30" s="539"/>
      <c r="I30" s="553">
        <v>250</v>
      </c>
      <c r="J30" s="535">
        <v>9841.2999999999993</v>
      </c>
      <c r="K30" s="1082"/>
      <c r="L30" s="880"/>
    </row>
    <row r="31" spans="1:12" x14ac:dyDescent="0.3">
      <c r="A31" s="871">
        <v>178</v>
      </c>
      <c r="B31" s="873">
        <v>7821.5</v>
      </c>
      <c r="C31" s="873" t="s">
        <v>6238</v>
      </c>
      <c r="D31" s="873">
        <f>+I31+I32</f>
        <v>178</v>
      </c>
      <c r="E31" s="873">
        <f>+J31+J32</f>
        <v>6671.8</v>
      </c>
      <c r="F31" s="524" t="s">
        <v>6412</v>
      </c>
      <c r="G31" s="524">
        <v>32871</v>
      </c>
      <c r="H31" s="40"/>
      <c r="I31" s="552">
        <v>132</v>
      </c>
      <c r="J31" s="534">
        <v>5723.3</v>
      </c>
      <c r="K31" s="1081">
        <f t="shared" ref="K31" si="28">+A31-D31</f>
        <v>0</v>
      </c>
      <c r="L31" s="879">
        <f>((+B31/A31)-(E31/D31))/(B31/A31)</f>
        <v>0.14699226491082276</v>
      </c>
    </row>
    <row r="32" spans="1:12" ht="15" thickBot="1" x14ac:dyDescent="0.35">
      <c r="A32" s="872"/>
      <c r="B32" s="874"/>
      <c r="C32" s="874"/>
      <c r="D32" s="874"/>
      <c r="E32" s="874"/>
      <c r="F32" s="525" t="s">
        <v>6412</v>
      </c>
      <c r="G32" s="525">
        <v>32871</v>
      </c>
      <c r="H32" s="539"/>
      <c r="I32" s="553">
        <v>46</v>
      </c>
      <c r="J32" s="535">
        <v>948.5</v>
      </c>
      <c r="K32" s="1082"/>
      <c r="L32" s="880"/>
    </row>
    <row r="33" spans="1:12" ht="15" thickBot="1" x14ac:dyDescent="0.35">
      <c r="A33" s="175">
        <v>141</v>
      </c>
      <c r="B33" s="8">
        <v>5794</v>
      </c>
      <c r="C33" s="45" t="s">
        <v>6413</v>
      </c>
      <c r="D33" s="8">
        <f t="shared" ref="D33:E33" si="29">+I33</f>
        <v>141</v>
      </c>
      <c r="E33" s="8">
        <f t="shared" si="29"/>
        <v>5696.5</v>
      </c>
      <c r="F33" s="8" t="s">
        <v>6414</v>
      </c>
      <c r="G33" s="8">
        <v>32921</v>
      </c>
      <c r="H33" s="14"/>
      <c r="I33" s="629">
        <v>141</v>
      </c>
      <c r="J33" s="629">
        <v>5696.5</v>
      </c>
      <c r="K33" s="120">
        <f t="shared" ref="K33" si="30">+A33-D33</f>
        <v>0</v>
      </c>
      <c r="L33" s="31">
        <f t="shared" ref="L33" si="31">((+B33/A33)-(E33/D33))/(B33/A33)</f>
        <v>1.6827752847773492E-2</v>
      </c>
    </row>
    <row r="34" spans="1:12" ht="15" thickBot="1" x14ac:dyDescent="0.35">
      <c r="A34" s="175">
        <v>288</v>
      </c>
      <c r="B34" s="8">
        <v>14268.75</v>
      </c>
      <c r="C34" s="45" t="s">
        <v>6239</v>
      </c>
      <c r="D34" s="8">
        <f>+I34</f>
        <v>288</v>
      </c>
      <c r="E34" s="8">
        <f>+J34</f>
        <v>14222.2</v>
      </c>
      <c r="F34" s="8" t="s">
        <v>6240</v>
      </c>
      <c r="G34" s="8">
        <v>32951</v>
      </c>
      <c r="H34" s="14"/>
      <c r="I34" s="554">
        <v>288</v>
      </c>
      <c r="J34" s="45">
        <v>14222.2</v>
      </c>
      <c r="K34" s="120">
        <f t="shared" ref="K34:K36" si="32">+A34-D34</f>
        <v>0</v>
      </c>
      <c r="L34" s="31">
        <f t="shared" ref="L34:L36" si="33">((+B34/A34)-(E34/D34))/(B34/A34)</f>
        <v>3.2623740692071801E-3</v>
      </c>
    </row>
    <row r="35" spans="1:12" ht="15" thickBot="1" x14ac:dyDescent="0.35">
      <c r="A35" s="175">
        <v>104</v>
      </c>
      <c r="B35" s="8">
        <v>4673.5</v>
      </c>
      <c r="C35" s="45" t="s">
        <v>6415</v>
      </c>
      <c r="D35" s="8">
        <f t="shared" ref="D35:E35" si="34">+I35</f>
        <v>104</v>
      </c>
      <c r="E35" s="8">
        <f t="shared" si="34"/>
        <v>4609</v>
      </c>
      <c r="F35" s="8" t="s">
        <v>6416</v>
      </c>
      <c r="G35" s="8">
        <v>32961</v>
      </c>
      <c r="H35" s="14"/>
      <c r="I35" s="629">
        <v>104</v>
      </c>
      <c r="J35" s="629">
        <v>4609</v>
      </c>
      <c r="K35" s="120">
        <f t="shared" ref="K35" si="35">+A35-D35</f>
        <v>0</v>
      </c>
      <c r="L35" s="31">
        <f t="shared" ref="L35" si="36">((+B35/A35)-(E35/D35))/(B35/A35)</f>
        <v>1.3801219642666071E-2</v>
      </c>
    </row>
    <row r="36" spans="1:12" ht="15" thickBot="1" x14ac:dyDescent="0.35">
      <c r="A36" s="175">
        <v>78</v>
      </c>
      <c r="B36" s="8">
        <v>3466.75</v>
      </c>
      <c r="C36" s="45" t="s">
        <v>6241</v>
      </c>
      <c r="D36" s="8">
        <f>+I36</f>
        <v>78</v>
      </c>
      <c r="E36" s="8">
        <f>+J36</f>
        <v>3438.4</v>
      </c>
      <c r="F36" s="8" t="s">
        <v>6242</v>
      </c>
      <c r="G36" s="8">
        <v>32971</v>
      </c>
      <c r="H36" s="14"/>
      <c r="I36" s="554">
        <v>78</v>
      </c>
      <c r="J36" s="45">
        <v>3438.4</v>
      </c>
      <c r="K36" s="120">
        <f t="shared" si="32"/>
        <v>0</v>
      </c>
      <c r="L36" s="31">
        <f t="shared" si="33"/>
        <v>8.1776880363452209E-3</v>
      </c>
    </row>
    <row r="37" spans="1:12" ht="15" thickBot="1" x14ac:dyDescent="0.35">
      <c r="A37" s="175">
        <v>500</v>
      </c>
      <c r="B37" s="8">
        <v>20198.8</v>
      </c>
      <c r="C37" s="45" t="s">
        <v>6417</v>
      </c>
      <c r="D37" s="8">
        <v>500</v>
      </c>
      <c r="E37" s="8">
        <v>19776.099999999999</v>
      </c>
      <c r="F37" s="8" t="s">
        <v>6418</v>
      </c>
      <c r="G37" s="8">
        <v>33051</v>
      </c>
      <c r="H37" s="14"/>
      <c r="I37" s="629">
        <v>100</v>
      </c>
      <c r="J37" s="629">
        <v>4021.1</v>
      </c>
      <c r="K37" s="120">
        <f t="shared" ref="K37:K38" si="37">+A37-D37</f>
        <v>0</v>
      </c>
      <c r="L37" s="31">
        <f t="shared" ref="L37" si="38">((+B37/A37)-(E37/D37))/(B37/A37)</f>
        <v>2.0926985761530337E-2</v>
      </c>
    </row>
    <row r="38" spans="1:12" x14ac:dyDescent="0.3">
      <c r="A38" s="871">
        <v>588</v>
      </c>
      <c r="B38" s="873">
        <v>25775.8</v>
      </c>
      <c r="C38" s="873" t="s">
        <v>6554</v>
      </c>
      <c r="D38" s="873">
        <f>+I38+I39</f>
        <v>588</v>
      </c>
      <c r="E38" s="873">
        <f>+J38+J39</f>
        <v>25888.6</v>
      </c>
      <c r="F38" s="602" t="s">
        <v>6555</v>
      </c>
      <c r="G38" s="602">
        <v>33121</v>
      </c>
      <c r="H38" s="40"/>
      <c r="I38" s="641">
        <v>374</v>
      </c>
      <c r="J38" s="614">
        <v>15977.5</v>
      </c>
      <c r="K38" s="1081">
        <f t="shared" si="37"/>
        <v>0</v>
      </c>
      <c r="L38" s="879">
        <f>((+B38/A38)-(E38/D38))/(B38/A38)</f>
        <v>-4.3761978289714037E-3</v>
      </c>
    </row>
    <row r="39" spans="1:12" ht="15" thickBot="1" x14ac:dyDescent="0.35">
      <c r="A39" s="872"/>
      <c r="B39" s="874"/>
      <c r="C39" s="874"/>
      <c r="D39" s="874"/>
      <c r="E39" s="874"/>
      <c r="F39" s="603" t="s">
        <v>6555</v>
      </c>
      <c r="G39" s="603">
        <v>33121</v>
      </c>
      <c r="H39" s="620"/>
      <c r="I39" s="642">
        <v>214</v>
      </c>
      <c r="J39" s="615">
        <v>9911.1</v>
      </c>
      <c r="K39" s="1082"/>
      <c r="L39" s="880"/>
    </row>
    <row r="40" spans="1:12" ht="15" thickBot="1" x14ac:dyDescent="0.35">
      <c r="A40" s="175">
        <v>250</v>
      </c>
      <c r="B40" s="8">
        <v>10498.9</v>
      </c>
      <c r="C40" s="45" t="s">
        <v>6637</v>
      </c>
      <c r="D40" s="8">
        <f>+I40</f>
        <v>250</v>
      </c>
      <c r="E40" s="8">
        <f>+J40</f>
        <v>10315.6</v>
      </c>
      <c r="F40" s="8" t="s">
        <v>6638</v>
      </c>
      <c r="G40" s="8">
        <v>33171</v>
      </c>
      <c r="H40" s="14"/>
      <c r="I40" s="644">
        <v>250</v>
      </c>
      <c r="J40" s="45">
        <v>10315.6</v>
      </c>
      <c r="K40" s="120">
        <f t="shared" ref="K40:K42" si="39">+A40-D40</f>
        <v>0</v>
      </c>
      <c r="L40" s="31">
        <f t="shared" ref="L40:L41" si="40">((+B40/A40)-(E40/D40))/(B40/A40)</f>
        <v>1.7458971892293396E-2</v>
      </c>
    </row>
    <row r="41" spans="1:12" ht="15" thickBot="1" x14ac:dyDescent="0.35">
      <c r="A41" s="655">
        <v>415</v>
      </c>
      <c r="B41" s="656">
        <v>17029</v>
      </c>
      <c r="C41" s="658" t="s">
        <v>6639</v>
      </c>
      <c r="D41" s="8">
        <f>+I41+265</f>
        <v>415</v>
      </c>
      <c r="E41" s="8">
        <f>+J41+10993.1</f>
        <v>16923.3</v>
      </c>
      <c r="F41" s="656" t="s">
        <v>6640</v>
      </c>
      <c r="G41" s="656">
        <v>33201</v>
      </c>
      <c r="H41" s="659"/>
      <c r="I41" s="642">
        <v>150</v>
      </c>
      <c r="J41" s="658">
        <v>5930.2</v>
      </c>
      <c r="K41" s="120">
        <f t="shared" si="39"/>
        <v>0</v>
      </c>
      <c r="L41" s="31">
        <f t="shared" si="40"/>
        <v>6.2070585471842047E-3</v>
      </c>
    </row>
    <row r="42" spans="1:12" x14ac:dyDescent="0.3">
      <c r="A42" s="871">
        <v>675</v>
      </c>
      <c r="B42" s="873">
        <v>27595</v>
      </c>
      <c r="C42" s="873" t="s">
        <v>6793</v>
      </c>
      <c r="D42" s="873">
        <f>+I42+I43</f>
        <v>675</v>
      </c>
      <c r="E42" s="873">
        <f>+J42+J43</f>
        <v>27014.400000000001</v>
      </c>
      <c r="F42" s="666" t="s">
        <v>6794</v>
      </c>
      <c r="G42" s="666">
        <v>33261</v>
      </c>
      <c r="H42" s="40"/>
      <c r="I42" s="671">
        <v>300</v>
      </c>
      <c r="J42" s="244">
        <v>11898.5</v>
      </c>
      <c r="K42" s="1081">
        <f t="shared" si="39"/>
        <v>0</v>
      </c>
      <c r="L42" s="879">
        <f>((+B42/A42)-(E42/D42))/(B42/A42)</f>
        <v>2.1040043486138631E-2</v>
      </c>
    </row>
    <row r="43" spans="1:12" ht="15" thickBot="1" x14ac:dyDescent="0.35">
      <c r="A43" s="875"/>
      <c r="B43" s="881"/>
      <c r="C43" s="881"/>
      <c r="D43" s="881"/>
      <c r="E43" s="881"/>
      <c r="F43" s="664" t="s">
        <v>6794</v>
      </c>
      <c r="G43" s="664">
        <v>33261</v>
      </c>
      <c r="I43" s="50">
        <v>375</v>
      </c>
      <c r="J43" s="176">
        <v>15115.900000000001</v>
      </c>
      <c r="K43" s="1082"/>
      <c r="L43" s="880"/>
    </row>
    <row r="44" spans="1:12" x14ac:dyDescent="0.3">
      <c r="A44" s="871">
        <v>1064</v>
      </c>
      <c r="B44" s="873">
        <v>43378.1</v>
      </c>
      <c r="C44" s="873" t="s">
        <v>6795</v>
      </c>
      <c r="D44" s="873">
        <f>+I44+I45+I46+I47+I48</f>
        <v>1064</v>
      </c>
      <c r="E44" s="873">
        <f>+J44+J45+J46+J47+J48</f>
        <v>43526.9</v>
      </c>
      <c r="F44" s="666" t="s">
        <v>6796</v>
      </c>
      <c r="G44" s="666">
        <v>33341</v>
      </c>
      <c r="H44" s="40"/>
      <c r="I44" s="671">
        <v>200</v>
      </c>
      <c r="J44" s="244">
        <v>8370.1999999999989</v>
      </c>
      <c r="K44" s="1081">
        <f t="shared" ref="K44" si="41">+A44-D44</f>
        <v>0</v>
      </c>
      <c r="L44" s="879">
        <f t="shared" ref="L44" si="42">((+B44/A44)-(E44/D44))/(B44/A44)</f>
        <v>-3.4303023876104408E-3</v>
      </c>
    </row>
    <row r="45" spans="1:12" x14ac:dyDescent="0.3">
      <c r="A45" s="875"/>
      <c r="B45" s="881"/>
      <c r="C45" s="881"/>
      <c r="D45" s="881"/>
      <c r="E45" s="881"/>
      <c r="F45" s="664" t="s">
        <v>6796</v>
      </c>
      <c r="G45" s="664">
        <v>33341</v>
      </c>
      <c r="I45" s="50">
        <v>204</v>
      </c>
      <c r="J45" s="176">
        <v>8279.7000000000007</v>
      </c>
      <c r="K45" s="1083"/>
      <c r="L45" s="885"/>
    </row>
    <row r="46" spans="1:12" x14ac:dyDescent="0.3">
      <c r="A46" s="875"/>
      <c r="B46" s="881"/>
      <c r="C46" s="881"/>
      <c r="D46" s="881"/>
      <c r="E46" s="881"/>
      <c r="F46" s="664" t="s">
        <v>6796</v>
      </c>
      <c r="G46" s="664">
        <v>33341</v>
      </c>
      <c r="I46" s="50">
        <v>220</v>
      </c>
      <c r="J46" s="176">
        <v>8899.2000000000007</v>
      </c>
      <c r="K46" s="1083"/>
      <c r="L46" s="885"/>
    </row>
    <row r="47" spans="1:12" x14ac:dyDescent="0.3">
      <c r="A47" s="875"/>
      <c r="B47" s="881"/>
      <c r="C47" s="881"/>
      <c r="D47" s="881"/>
      <c r="E47" s="881"/>
      <c r="F47" s="664" t="s">
        <v>6796</v>
      </c>
      <c r="G47" s="664">
        <v>33341</v>
      </c>
      <c r="I47" s="50">
        <v>220</v>
      </c>
      <c r="J47" s="50">
        <v>9004.7999999999993</v>
      </c>
      <c r="K47" s="1083"/>
      <c r="L47" s="885"/>
    </row>
    <row r="48" spans="1:12" ht="15" thickBot="1" x14ac:dyDescent="0.35">
      <c r="A48" s="872"/>
      <c r="B48" s="874"/>
      <c r="C48" s="874"/>
      <c r="D48" s="874"/>
      <c r="E48" s="874"/>
      <c r="F48" s="668" t="s">
        <v>6796</v>
      </c>
      <c r="G48" s="668">
        <v>33341</v>
      </c>
      <c r="H48" s="674"/>
      <c r="I48" s="678">
        <v>220</v>
      </c>
      <c r="J48" s="672">
        <v>8973</v>
      </c>
      <c r="K48" s="1082"/>
      <c r="L48" s="880"/>
    </row>
    <row r="49" spans="1:12" x14ac:dyDescent="0.3">
      <c r="A49" s="871">
        <v>880</v>
      </c>
      <c r="B49" s="873">
        <v>36488.9</v>
      </c>
      <c r="C49" s="873" t="s">
        <v>6797</v>
      </c>
      <c r="D49" s="873">
        <v>880</v>
      </c>
      <c r="E49" s="873">
        <v>36150.300000000003</v>
      </c>
      <c r="F49" s="666" t="s">
        <v>6798</v>
      </c>
      <c r="G49" s="666">
        <v>33381</v>
      </c>
      <c r="H49" s="40"/>
      <c r="I49" s="677">
        <v>100</v>
      </c>
      <c r="J49" s="671">
        <v>4024.1</v>
      </c>
      <c r="K49" s="1081">
        <f t="shared" ref="K49" si="43">+A49-D49</f>
        <v>0</v>
      </c>
      <c r="L49" s="879">
        <f t="shared" ref="L49" si="44">((+B49/A49)-(E49/D49))/(B49/A49)</f>
        <v>9.2795343241368847E-3</v>
      </c>
    </row>
    <row r="50" spans="1:12" x14ac:dyDescent="0.3">
      <c r="A50" s="875"/>
      <c r="B50" s="881"/>
      <c r="C50" s="881"/>
      <c r="D50" s="881"/>
      <c r="E50" s="881"/>
      <c r="F50" s="664" t="s">
        <v>6798</v>
      </c>
      <c r="G50" s="664">
        <v>33381</v>
      </c>
      <c r="I50" s="676">
        <v>120</v>
      </c>
      <c r="J50" s="50">
        <v>5305.1</v>
      </c>
      <c r="K50" s="1083"/>
      <c r="L50" s="885"/>
    </row>
    <row r="51" spans="1:12" x14ac:dyDescent="0.3">
      <c r="A51" s="875"/>
      <c r="B51" s="881"/>
      <c r="C51" s="881"/>
      <c r="D51" s="881"/>
      <c r="E51" s="881"/>
      <c r="F51" s="664" t="s">
        <v>6798</v>
      </c>
      <c r="G51" s="664">
        <v>33381</v>
      </c>
      <c r="I51" s="676">
        <v>163</v>
      </c>
      <c r="J51" s="50">
        <v>6424.5</v>
      </c>
      <c r="K51" s="1083"/>
      <c r="L51" s="885"/>
    </row>
    <row r="52" spans="1:12" ht="15" thickBot="1" x14ac:dyDescent="0.35">
      <c r="A52" s="872"/>
      <c r="B52" s="874"/>
      <c r="C52" s="874"/>
      <c r="D52" s="874"/>
      <c r="E52" s="874"/>
      <c r="F52" s="668" t="s">
        <v>6798</v>
      </c>
      <c r="G52" s="668">
        <v>33381</v>
      </c>
      <c r="H52" s="674"/>
      <c r="I52" s="678">
        <v>200</v>
      </c>
      <c r="J52" s="672">
        <v>8210.4</v>
      </c>
      <c r="K52" s="1082"/>
      <c r="L52" s="880"/>
    </row>
    <row r="53" spans="1:12" ht="15" thickBot="1" x14ac:dyDescent="0.35">
      <c r="A53" s="175">
        <v>446</v>
      </c>
      <c r="B53" s="8">
        <v>18659.3</v>
      </c>
      <c r="C53" s="8" t="s">
        <v>6913</v>
      </c>
      <c r="D53" s="8">
        <v>446</v>
      </c>
      <c r="E53" s="8">
        <v>18255.5</v>
      </c>
      <c r="F53" s="8" t="s">
        <v>6914</v>
      </c>
      <c r="G53" s="8">
        <v>33411</v>
      </c>
      <c r="H53" s="14"/>
      <c r="I53" s="45">
        <v>220</v>
      </c>
      <c r="J53" s="46">
        <v>9270.7000000000007</v>
      </c>
      <c r="K53" s="120">
        <f t="shared" ref="K53:K54" si="45">+A53-D53</f>
        <v>0</v>
      </c>
      <c r="L53" s="31">
        <f t="shared" ref="L53" si="46">((+B53/A53)-(E53/D53))/(B53/A53)</f>
        <v>2.1640683198190663E-2</v>
      </c>
    </row>
    <row r="54" spans="1:12" x14ac:dyDescent="0.3">
      <c r="A54" s="871">
        <v>640</v>
      </c>
      <c r="B54" s="873">
        <v>27582</v>
      </c>
      <c r="C54" s="873" t="s">
        <v>7084</v>
      </c>
      <c r="D54" s="873">
        <f>+I54+I55</f>
        <v>640</v>
      </c>
      <c r="E54" s="873">
        <f>+J54+J55</f>
        <v>27476.300000000003</v>
      </c>
      <c r="F54" s="734" t="s">
        <v>7085</v>
      </c>
      <c r="G54" s="734">
        <v>33651</v>
      </c>
      <c r="H54" s="40"/>
      <c r="I54" s="748">
        <v>220</v>
      </c>
      <c r="J54" s="748">
        <v>8788.4</v>
      </c>
      <c r="K54" s="1081">
        <f t="shared" si="45"/>
        <v>0</v>
      </c>
      <c r="L54" s="879">
        <f>((+B54/A54)-(E54/D54))/(B54/A54)</f>
        <v>3.8322094119352147E-3</v>
      </c>
    </row>
    <row r="55" spans="1:12" ht="15" thickBot="1" x14ac:dyDescent="0.35">
      <c r="A55" s="872"/>
      <c r="B55" s="874"/>
      <c r="C55" s="874"/>
      <c r="D55" s="874"/>
      <c r="E55" s="874"/>
      <c r="F55" s="736" t="s">
        <v>7085</v>
      </c>
      <c r="G55" s="736">
        <v>33651</v>
      </c>
      <c r="H55" s="754"/>
      <c r="I55" s="749">
        <v>420</v>
      </c>
      <c r="J55" s="749">
        <v>18687.900000000001</v>
      </c>
      <c r="K55" s="1082"/>
      <c r="L55" s="880"/>
    </row>
    <row r="56" spans="1:12" x14ac:dyDescent="0.3">
      <c r="A56" s="871">
        <v>660</v>
      </c>
      <c r="B56" s="873">
        <v>26805.8</v>
      </c>
      <c r="C56" s="873" t="s">
        <v>7086</v>
      </c>
      <c r="D56" s="873">
        <f>+I56+I57+I58</f>
        <v>660</v>
      </c>
      <c r="E56" s="873">
        <f>+J56+J57+J58</f>
        <v>26942.400000000001</v>
      </c>
      <c r="F56" s="734" t="s">
        <v>7087</v>
      </c>
      <c r="G56" s="734">
        <v>33791</v>
      </c>
      <c r="H56" s="40"/>
      <c r="I56" s="748">
        <v>180</v>
      </c>
      <c r="J56" s="748">
        <v>7450.2</v>
      </c>
      <c r="K56" s="1081">
        <f t="shared" ref="K56" si="47">+A56-D56</f>
        <v>0</v>
      </c>
      <c r="L56" s="879">
        <f>((+B56/A56)-(E56/D56))/(B56/A56)</f>
        <v>-5.0959120787293193E-3</v>
      </c>
    </row>
    <row r="57" spans="1:12" x14ac:dyDescent="0.3">
      <c r="A57" s="875"/>
      <c r="B57" s="881"/>
      <c r="C57" s="881"/>
      <c r="D57" s="881"/>
      <c r="E57" s="881"/>
      <c r="F57" s="735" t="s">
        <v>7087</v>
      </c>
      <c r="G57" s="735">
        <v>33791</v>
      </c>
      <c r="I57" s="50">
        <v>200</v>
      </c>
      <c r="J57" s="50">
        <v>8202.5999999999985</v>
      </c>
      <c r="K57" s="1083"/>
      <c r="L57" s="885"/>
    </row>
    <row r="58" spans="1:12" ht="15" thickBot="1" x14ac:dyDescent="0.35">
      <c r="A58" s="875"/>
      <c r="B58" s="881"/>
      <c r="C58" s="881"/>
      <c r="D58" s="881"/>
      <c r="E58" s="881"/>
      <c r="F58" s="735" t="s">
        <v>7087</v>
      </c>
      <c r="G58" s="735">
        <v>33791</v>
      </c>
      <c r="I58" s="50">
        <v>280</v>
      </c>
      <c r="J58" s="50">
        <v>11289.6</v>
      </c>
      <c r="K58" s="1082"/>
      <c r="L58" s="880"/>
    </row>
    <row r="59" spans="1:12" ht="15" thickBot="1" x14ac:dyDescent="0.35">
      <c r="A59" s="175">
        <v>440</v>
      </c>
      <c r="B59" s="8">
        <v>16748.5</v>
      </c>
      <c r="C59" s="45" t="s">
        <v>7088</v>
      </c>
      <c r="D59" s="8">
        <v>440</v>
      </c>
      <c r="E59" s="8">
        <v>16186.6</v>
      </c>
      <c r="F59" s="8" t="s">
        <v>7089</v>
      </c>
      <c r="G59" s="8">
        <v>33801</v>
      </c>
      <c r="H59" s="14"/>
      <c r="I59" s="45">
        <v>135</v>
      </c>
      <c r="J59" s="46">
        <v>4966.1000000000004</v>
      </c>
      <c r="K59" s="120">
        <f t="shared" ref="K59" si="48">+A59-D59</f>
        <v>0</v>
      </c>
      <c r="L59" s="31">
        <f t="shared" ref="L59" si="49">((+B59/A59)-(E59/D59))/(B59/A59)</f>
        <v>3.3549273069229994E-2</v>
      </c>
    </row>
    <row r="60" spans="1:12" ht="15" thickBot="1" x14ac:dyDescent="0.35">
      <c r="A60" s="175">
        <v>139</v>
      </c>
      <c r="B60" s="8">
        <v>6480.75</v>
      </c>
      <c r="C60" s="45" t="s">
        <v>7310</v>
      </c>
      <c r="D60" s="8">
        <f>+I60</f>
        <v>139</v>
      </c>
      <c r="E60" s="8">
        <f>+J60</f>
        <v>6450.2</v>
      </c>
      <c r="F60" s="8" t="s">
        <v>7311</v>
      </c>
      <c r="G60" s="8">
        <v>33811</v>
      </c>
      <c r="H60" s="14"/>
      <c r="I60" s="45">
        <v>139</v>
      </c>
      <c r="J60" s="45">
        <v>6450.2</v>
      </c>
      <c r="K60" s="120">
        <f t="shared" ref="K60:K61" si="50">+A60-D60</f>
        <v>0</v>
      </c>
      <c r="L60" s="31">
        <f t="shared" ref="L60" si="51">((+B60/A60)-(E60/D60))/(B60/A60)</f>
        <v>4.7139605755507612E-3</v>
      </c>
    </row>
    <row r="61" spans="1:12" x14ac:dyDescent="0.3">
      <c r="A61" s="871">
        <v>1100</v>
      </c>
      <c r="B61" s="873">
        <v>42983.1</v>
      </c>
      <c r="C61" s="873" t="s">
        <v>7312</v>
      </c>
      <c r="D61" s="873">
        <f>+I61+I62</f>
        <v>1101</v>
      </c>
      <c r="E61" s="873">
        <f>+J61+J62</f>
        <v>42291</v>
      </c>
      <c r="F61" s="809" t="s">
        <v>7313</v>
      </c>
      <c r="G61" s="809">
        <v>33881</v>
      </c>
      <c r="H61" s="40"/>
      <c r="I61" s="815">
        <v>440</v>
      </c>
      <c r="J61" s="815">
        <v>16607.5</v>
      </c>
      <c r="K61" s="1081">
        <f t="shared" si="50"/>
        <v>-1</v>
      </c>
      <c r="L61" s="879">
        <f>((+B61/A61)-(E61/D61))/(B61/A61)</f>
        <v>1.6995317790985089E-2</v>
      </c>
    </row>
    <row r="62" spans="1:12" ht="15" thickBot="1" x14ac:dyDescent="0.35">
      <c r="A62" s="872"/>
      <c r="B62" s="874"/>
      <c r="C62" s="874"/>
      <c r="D62" s="874"/>
      <c r="E62" s="874"/>
      <c r="F62" s="812" t="s">
        <v>7313</v>
      </c>
      <c r="G62" s="812">
        <v>33881</v>
      </c>
      <c r="H62" s="817"/>
      <c r="I62" s="816">
        <v>661</v>
      </c>
      <c r="J62" s="816">
        <v>25683.5</v>
      </c>
      <c r="K62" s="1082"/>
      <c r="L62" s="880"/>
    </row>
    <row r="63" spans="1:12" ht="15" thickBot="1" x14ac:dyDescent="0.35">
      <c r="A63" s="175">
        <v>1123</v>
      </c>
      <c r="B63" s="8">
        <v>42042.9</v>
      </c>
      <c r="C63" s="45" t="s">
        <v>7314</v>
      </c>
      <c r="D63" s="8">
        <v>1123</v>
      </c>
      <c r="E63" s="8">
        <v>41227.199999999997</v>
      </c>
      <c r="F63" s="8" t="s">
        <v>7315</v>
      </c>
      <c r="G63" s="8">
        <v>33961</v>
      </c>
      <c r="H63" s="14"/>
      <c r="I63" s="45">
        <v>219</v>
      </c>
      <c r="J63" s="45">
        <v>8193.2000000000007</v>
      </c>
      <c r="K63" s="120">
        <f t="shared" ref="K63:K64" si="52">+A63-D63</f>
        <v>0</v>
      </c>
      <c r="L63" s="31">
        <f t="shared" ref="L63" si="53">((+B63/A63)-(E63/D63))/(B63/A63)</f>
        <v>1.9401611211405566E-2</v>
      </c>
    </row>
    <row r="64" spans="1:12" x14ac:dyDescent="0.3">
      <c r="A64" s="871">
        <v>597</v>
      </c>
      <c r="B64" s="873">
        <v>29904</v>
      </c>
      <c r="C64" s="873" t="s">
        <v>7316</v>
      </c>
      <c r="D64" s="873">
        <f>+I64+I65</f>
        <v>597</v>
      </c>
      <c r="E64" s="873">
        <f>+J64+J65</f>
        <v>29823</v>
      </c>
      <c r="F64" s="810" t="s">
        <v>7317</v>
      </c>
      <c r="G64" s="810">
        <v>34001</v>
      </c>
      <c r="I64" s="50">
        <v>196</v>
      </c>
      <c r="J64" s="50">
        <v>9962</v>
      </c>
      <c r="K64" s="1081">
        <f t="shared" si="52"/>
        <v>0</v>
      </c>
      <c r="L64" s="879">
        <f>((+B64/A64)-(E64/D64))/(B64/A64)</f>
        <v>2.7086677367576472E-3</v>
      </c>
    </row>
    <row r="65" spans="1:12" ht="15" thickBot="1" x14ac:dyDescent="0.35">
      <c r="A65" s="872"/>
      <c r="B65" s="874"/>
      <c r="C65" s="874"/>
      <c r="D65" s="874"/>
      <c r="E65" s="874"/>
      <c r="F65" s="812" t="s">
        <v>7317</v>
      </c>
      <c r="G65" s="812">
        <v>34001</v>
      </c>
      <c r="H65" s="817"/>
      <c r="I65" s="816">
        <v>401</v>
      </c>
      <c r="J65" s="816">
        <v>19861</v>
      </c>
      <c r="K65" s="1082"/>
      <c r="L65" s="880"/>
    </row>
    <row r="66" spans="1:12" x14ac:dyDescent="0.3">
      <c r="A66" s="871">
        <v>773</v>
      </c>
      <c r="B66" s="873">
        <v>29877.3</v>
      </c>
      <c r="C66" s="873" t="s">
        <v>7377</v>
      </c>
      <c r="D66" s="873">
        <f>+I66+I67</f>
        <v>774</v>
      </c>
      <c r="E66" s="873">
        <f>+J66+J67</f>
        <v>29319.200000000001</v>
      </c>
      <c r="F66" s="835" t="s">
        <v>7378</v>
      </c>
      <c r="G66" s="835">
        <v>34111</v>
      </c>
      <c r="H66" s="38"/>
      <c r="I66" s="838">
        <v>140</v>
      </c>
      <c r="J66" s="838">
        <v>5457.3</v>
      </c>
      <c r="K66" s="1081">
        <f t="shared" ref="K66" si="54">+A66-D66</f>
        <v>-1</v>
      </c>
      <c r="L66" s="879">
        <f>((+B66/A66)-(E66/D66))/(B66/A66)</f>
        <v>1.9947589084661939E-2</v>
      </c>
    </row>
    <row r="67" spans="1:12" ht="15" thickBot="1" x14ac:dyDescent="0.35">
      <c r="A67" s="872"/>
      <c r="B67" s="874"/>
      <c r="C67" s="874"/>
      <c r="D67" s="874"/>
      <c r="E67" s="874"/>
      <c r="F67" s="834" t="s">
        <v>7378</v>
      </c>
      <c r="G67" s="834" t="s">
        <v>7379</v>
      </c>
      <c r="H67" s="82"/>
      <c r="I67" s="839">
        <v>634</v>
      </c>
      <c r="J67" s="839">
        <v>23861.9</v>
      </c>
      <c r="K67" s="1082"/>
      <c r="L67" s="880"/>
    </row>
    <row r="68" spans="1:12" x14ac:dyDescent="0.3">
      <c r="A68" s="669"/>
      <c r="B68" s="669"/>
      <c r="C68" s="364"/>
      <c r="D68" s="669"/>
      <c r="E68" s="669"/>
      <c r="F68" s="669"/>
      <c r="G68" s="669"/>
      <c r="H68" s="363"/>
      <c r="I68" s="675"/>
      <c r="J68" s="364"/>
      <c r="K68" s="440"/>
      <c r="L68" s="369"/>
    </row>
    <row r="69" spans="1:12" x14ac:dyDescent="0.3">
      <c r="A69" s="156">
        <f>SUM(A5:A40)</f>
        <v>14388</v>
      </c>
      <c r="B69" s="156">
        <f t="shared" ref="B69:E69" si="55">SUM(B5:B40)</f>
        <v>613581.05000000016</v>
      </c>
      <c r="C69" s="156"/>
      <c r="D69" s="156">
        <f t="shared" si="55"/>
        <v>13787</v>
      </c>
      <c r="E69" s="156">
        <f t="shared" si="55"/>
        <v>583795.29999999993</v>
      </c>
      <c r="F69" s="156"/>
    </row>
  </sheetData>
  <mergeCells count="103">
    <mergeCell ref="K44:K48"/>
    <mergeCell ref="L44:L48"/>
    <mergeCell ref="K49:K52"/>
    <mergeCell ref="L49:L52"/>
    <mergeCell ref="A44:A48"/>
    <mergeCell ref="B44:B48"/>
    <mergeCell ref="C44:C48"/>
    <mergeCell ref="D44:D48"/>
    <mergeCell ref="E44:E48"/>
    <mergeCell ref="A49:A52"/>
    <mergeCell ref="B49:B52"/>
    <mergeCell ref="C49:C52"/>
    <mergeCell ref="D49:D52"/>
    <mergeCell ref="E49:E52"/>
    <mergeCell ref="K38:K39"/>
    <mergeCell ref="L38:L39"/>
    <mergeCell ref="A38:A39"/>
    <mergeCell ref="B38:B39"/>
    <mergeCell ref="C38:C39"/>
    <mergeCell ref="D38:D39"/>
    <mergeCell ref="E38:E39"/>
    <mergeCell ref="A42:A43"/>
    <mergeCell ref="B42:B43"/>
    <mergeCell ref="C42:C43"/>
    <mergeCell ref="D42:D43"/>
    <mergeCell ref="E42:E43"/>
    <mergeCell ref="K42:K43"/>
    <mergeCell ref="L42:L43"/>
    <mergeCell ref="K5:K6"/>
    <mergeCell ref="L5:L6"/>
    <mergeCell ref="A3:C3"/>
    <mergeCell ref="D3:E3"/>
    <mergeCell ref="G3:G4"/>
    <mergeCell ref="K3:K4"/>
    <mergeCell ref="L3:L4"/>
    <mergeCell ref="A5:A6"/>
    <mergeCell ref="B5:B6"/>
    <mergeCell ref="C5:C6"/>
    <mergeCell ref="D5:D6"/>
    <mergeCell ref="E5:E6"/>
    <mergeCell ref="K14:K15"/>
    <mergeCell ref="L14:L15"/>
    <mergeCell ref="A14:A15"/>
    <mergeCell ref="B14:B15"/>
    <mergeCell ref="C14:C15"/>
    <mergeCell ref="D14:D15"/>
    <mergeCell ref="E14:E15"/>
    <mergeCell ref="K10:K12"/>
    <mergeCell ref="L10:L12"/>
    <mergeCell ref="A10:A12"/>
    <mergeCell ref="B10:B12"/>
    <mergeCell ref="C10:C12"/>
    <mergeCell ref="D10:D12"/>
    <mergeCell ref="E10:E12"/>
    <mergeCell ref="K29:K30"/>
    <mergeCell ref="L29:L30"/>
    <mergeCell ref="K31:K32"/>
    <mergeCell ref="L31:L32"/>
    <mergeCell ref="A31:A32"/>
    <mergeCell ref="B31:B32"/>
    <mergeCell ref="C31:C32"/>
    <mergeCell ref="D31:D32"/>
    <mergeCell ref="E31:E32"/>
    <mergeCell ref="A29:A30"/>
    <mergeCell ref="B29:B30"/>
    <mergeCell ref="C29:C30"/>
    <mergeCell ref="D29:D30"/>
    <mergeCell ref="E29:E30"/>
    <mergeCell ref="K54:K55"/>
    <mergeCell ref="L54:L55"/>
    <mergeCell ref="K56:K58"/>
    <mergeCell ref="L56:L58"/>
    <mergeCell ref="A56:A58"/>
    <mergeCell ref="B56:B58"/>
    <mergeCell ref="C56:C58"/>
    <mergeCell ref="D56:D58"/>
    <mergeCell ref="E56:E58"/>
    <mergeCell ref="A54:A55"/>
    <mergeCell ref="B54:B55"/>
    <mergeCell ref="C54:C55"/>
    <mergeCell ref="D54:D55"/>
    <mergeCell ref="E54:E55"/>
    <mergeCell ref="K66:K67"/>
    <mergeCell ref="L66:L67"/>
    <mergeCell ref="A66:A67"/>
    <mergeCell ref="B66:B67"/>
    <mergeCell ref="C66:C67"/>
    <mergeCell ref="D66:D67"/>
    <mergeCell ref="E66:E67"/>
    <mergeCell ref="K61:K62"/>
    <mergeCell ref="L61:L62"/>
    <mergeCell ref="K64:K65"/>
    <mergeCell ref="L64:L65"/>
    <mergeCell ref="A64:A65"/>
    <mergeCell ref="B64:B65"/>
    <mergeCell ref="C64:C65"/>
    <mergeCell ref="D64:D65"/>
    <mergeCell ref="E64:E65"/>
    <mergeCell ref="A61:A62"/>
    <mergeCell ref="B61:B62"/>
    <mergeCell ref="C61:C62"/>
    <mergeCell ref="D61:D62"/>
    <mergeCell ref="E61:E62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73C3A-229A-4BE4-89D1-DE46A97FE9EB}">
  <dimension ref="A1:L50"/>
  <sheetViews>
    <sheetView topLeftCell="A22" zoomScale="80" zoomScaleNormal="80" workbookViewId="0">
      <selection activeCell="O10" sqref="O10"/>
    </sheetView>
  </sheetViews>
  <sheetFormatPr baseColWidth="10" defaultColWidth="8.88671875" defaultRowHeight="14.4" x14ac:dyDescent="0.3"/>
  <cols>
    <col min="1" max="1" width="13.44140625" customWidth="1"/>
    <col min="2" max="2" width="12.33203125" bestFit="1" customWidth="1"/>
    <col min="3" max="3" width="10.6640625" customWidth="1"/>
    <col min="4" max="4" width="11.33203125" bestFit="1" customWidth="1"/>
    <col min="5" max="5" width="12.33203125" bestFit="1" customWidth="1"/>
    <col min="8" max="9" width="0" hidden="1" customWidth="1"/>
    <col min="10" max="10" width="8.6640625" hidden="1" customWidth="1"/>
  </cols>
  <sheetData>
    <row r="1" spans="1:12" ht="23.4" x14ac:dyDescent="0.3">
      <c r="A1" s="1" t="s">
        <v>6556</v>
      </c>
      <c r="B1" s="1"/>
      <c r="C1" s="1"/>
      <c r="D1" s="1"/>
      <c r="E1" s="1"/>
      <c r="F1" s="1"/>
      <c r="G1" s="1"/>
      <c r="H1" s="1"/>
      <c r="I1" s="1"/>
      <c r="J1" s="618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618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608" t="s">
        <v>8</v>
      </c>
      <c r="G4" s="923"/>
      <c r="H4" s="7" t="s">
        <v>9</v>
      </c>
      <c r="I4" s="619" t="s">
        <v>5</v>
      </c>
      <c r="J4" s="619" t="s">
        <v>10</v>
      </c>
      <c r="K4" s="916"/>
      <c r="L4" s="1010"/>
    </row>
    <row r="5" spans="1:12" ht="15" thickBot="1" x14ac:dyDescent="0.35">
      <c r="A5" s="175">
        <v>382</v>
      </c>
      <c r="B5" s="326">
        <v>15944.5</v>
      </c>
      <c r="C5" s="8" t="s">
        <v>6234</v>
      </c>
      <c r="D5" s="8">
        <f>+I5</f>
        <v>382</v>
      </c>
      <c r="E5" s="8">
        <f>+J5</f>
        <v>15477.8</v>
      </c>
      <c r="F5" s="45" t="s">
        <v>6235</v>
      </c>
      <c r="G5" s="45">
        <v>32981</v>
      </c>
      <c r="H5" s="14"/>
      <c r="I5" s="554">
        <v>382</v>
      </c>
      <c r="J5" s="219">
        <v>15477.8</v>
      </c>
      <c r="K5" s="120">
        <f t="shared" ref="K5:K7" si="0">+A5-D5</f>
        <v>0</v>
      </c>
      <c r="L5" s="31">
        <f t="shared" ref="L5:L7" si="1">((+B5/A5)-(E5/D5))/(B5/A5)</f>
        <v>2.9270281288218559E-2</v>
      </c>
    </row>
    <row r="6" spans="1:12" ht="15" thickBot="1" x14ac:dyDescent="0.35">
      <c r="A6" s="793">
        <v>220</v>
      </c>
      <c r="B6" s="794">
        <v>9930.5</v>
      </c>
      <c r="C6" s="794" t="s">
        <v>7165</v>
      </c>
      <c r="D6" s="794">
        <f>+I6</f>
        <v>220</v>
      </c>
      <c r="E6" s="794">
        <f>+J6</f>
        <v>9659.2999999999993</v>
      </c>
      <c r="F6" s="795" t="s">
        <v>7166</v>
      </c>
      <c r="G6" s="795">
        <v>32581</v>
      </c>
      <c r="H6" s="796"/>
      <c r="I6" s="795">
        <v>220</v>
      </c>
      <c r="J6" s="795">
        <v>9659.2999999999993</v>
      </c>
      <c r="K6" s="120">
        <f t="shared" ref="K6" si="2">+A6-D6</f>
        <v>0</v>
      </c>
      <c r="L6" s="31">
        <f t="shared" ref="L6" si="3">((+B6/A6)-(E6/D6))/(B6/A6)</f>
        <v>2.7309803131765963E-2</v>
      </c>
    </row>
    <row r="7" spans="1:12" ht="15" thickBot="1" x14ac:dyDescent="0.35">
      <c r="A7" s="175">
        <v>200</v>
      </c>
      <c r="B7" s="645">
        <v>9049.25</v>
      </c>
      <c r="C7" s="8" t="s">
        <v>6557</v>
      </c>
      <c r="D7" s="8">
        <f t="shared" ref="D7:E8" si="4">+I7</f>
        <v>200</v>
      </c>
      <c r="E7" s="8">
        <f t="shared" si="4"/>
        <v>8808.6</v>
      </c>
      <c r="F7" s="8" t="s">
        <v>6558</v>
      </c>
      <c r="G7" s="8">
        <v>33041</v>
      </c>
      <c r="H7" s="14"/>
      <c r="I7" s="45">
        <v>200</v>
      </c>
      <c r="J7" s="219">
        <v>8808.6</v>
      </c>
      <c r="K7" s="120">
        <f t="shared" si="0"/>
        <v>0</v>
      </c>
      <c r="L7" s="31">
        <f t="shared" si="1"/>
        <v>2.6593364090946852E-2</v>
      </c>
    </row>
    <row r="8" spans="1:12" ht="15" thickBot="1" x14ac:dyDescent="0.35">
      <c r="A8" s="601">
        <v>204</v>
      </c>
      <c r="B8" s="646">
        <v>8562.5</v>
      </c>
      <c r="C8" s="225" t="s">
        <v>6559</v>
      </c>
      <c r="D8" s="602">
        <f t="shared" si="4"/>
        <v>204</v>
      </c>
      <c r="E8" s="602">
        <f t="shared" si="4"/>
        <v>8326.2999999999993</v>
      </c>
      <c r="F8" s="614" t="s">
        <v>6560</v>
      </c>
      <c r="G8" s="614">
        <v>33061</v>
      </c>
      <c r="H8" s="614"/>
      <c r="I8" s="602">
        <v>204</v>
      </c>
      <c r="J8" s="673">
        <v>8326.2999999999993</v>
      </c>
      <c r="K8" s="120">
        <f t="shared" ref="K8:K9" si="5">+A8-D8</f>
        <v>0</v>
      </c>
      <c r="L8" s="31">
        <f t="shared" ref="L8:L9" si="6">((+B8/A8)-(E8/D8))/(B8/A8)</f>
        <v>2.7585401459854147E-2</v>
      </c>
    </row>
    <row r="9" spans="1:12" x14ac:dyDescent="0.3">
      <c r="A9" s="871">
        <v>303</v>
      </c>
      <c r="B9" s="873">
        <v>15009.9</v>
      </c>
      <c r="C9" s="873" t="s">
        <v>6561</v>
      </c>
      <c r="D9" s="873">
        <f>+I9+I10</f>
        <v>303</v>
      </c>
      <c r="E9" s="873">
        <f>+J9+J10</f>
        <v>14447.4</v>
      </c>
      <c r="F9" s="614" t="s">
        <v>6562</v>
      </c>
      <c r="G9" s="614">
        <v>33081</v>
      </c>
      <c r="H9" s="40"/>
      <c r="I9" s="614">
        <v>102</v>
      </c>
      <c r="J9" s="5">
        <v>4864.5</v>
      </c>
      <c r="K9" s="1081">
        <f t="shared" si="5"/>
        <v>0</v>
      </c>
      <c r="L9" s="879">
        <f t="shared" si="6"/>
        <v>3.7475266324225945E-2</v>
      </c>
    </row>
    <row r="10" spans="1:12" ht="15" thickBot="1" x14ac:dyDescent="0.35">
      <c r="A10" s="872"/>
      <c r="B10" s="874"/>
      <c r="C10" s="874"/>
      <c r="D10" s="874"/>
      <c r="E10" s="874"/>
      <c r="F10" s="615" t="s">
        <v>6562</v>
      </c>
      <c r="G10" s="615">
        <v>33081</v>
      </c>
      <c r="H10" s="620"/>
      <c r="I10" s="615">
        <v>201</v>
      </c>
      <c r="J10" s="687">
        <v>9582.9</v>
      </c>
      <c r="K10" s="1082"/>
      <c r="L10" s="880"/>
    </row>
    <row r="11" spans="1:12" ht="15" thickBot="1" x14ac:dyDescent="0.35">
      <c r="A11" s="175">
        <v>283</v>
      </c>
      <c r="B11" s="175">
        <v>9946.75</v>
      </c>
      <c r="C11" s="45" t="s">
        <v>6563</v>
      </c>
      <c r="D11" s="8">
        <f>+I11</f>
        <v>283</v>
      </c>
      <c r="E11" s="8">
        <f>+J11</f>
        <v>9603.2000000000007</v>
      </c>
      <c r="F11" s="45" t="s">
        <v>6564</v>
      </c>
      <c r="G11" s="45">
        <v>33141</v>
      </c>
      <c r="H11" s="14"/>
      <c r="I11" s="45">
        <v>283</v>
      </c>
      <c r="J11" s="219">
        <v>9603.2000000000007</v>
      </c>
      <c r="K11" s="120">
        <f t="shared" ref="K11:K12" si="7">+A11-D11</f>
        <v>0</v>
      </c>
      <c r="L11" s="31">
        <f t="shared" ref="L11:L12" si="8">((+B11/A11)-(E11/D11))/(B11/A11)</f>
        <v>3.4538919747656181E-2</v>
      </c>
    </row>
    <row r="12" spans="1:12" x14ac:dyDescent="0.3">
      <c r="A12" s="871">
        <v>1082</v>
      </c>
      <c r="B12" s="873">
        <v>39246.5</v>
      </c>
      <c r="C12" s="873" t="s">
        <v>6565</v>
      </c>
      <c r="D12" s="873">
        <v>1101</v>
      </c>
      <c r="E12" s="873">
        <v>38978.6</v>
      </c>
      <c r="F12" s="614" t="s">
        <v>6566</v>
      </c>
      <c r="G12" s="614">
        <v>33211</v>
      </c>
      <c r="H12" s="40"/>
      <c r="I12" s="614">
        <v>401</v>
      </c>
      <c r="J12" s="5">
        <v>14168.6</v>
      </c>
      <c r="K12" s="1081">
        <f t="shared" si="7"/>
        <v>-19</v>
      </c>
      <c r="L12" s="879">
        <f t="shared" si="8"/>
        <v>2.3965327418368057E-2</v>
      </c>
    </row>
    <row r="13" spans="1:12" ht="15" thickBot="1" x14ac:dyDescent="0.35">
      <c r="A13" s="872"/>
      <c r="B13" s="874"/>
      <c r="C13" s="874"/>
      <c r="D13" s="874"/>
      <c r="E13" s="874"/>
      <c r="F13" s="615" t="s">
        <v>6566</v>
      </c>
      <c r="G13" s="615">
        <v>33211</v>
      </c>
      <c r="H13" s="620"/>
      <c r="I13" s="615">
        <v>94</v>
      </c>
      <c r="J13" s="687">
        <v>3179</v>
      </c>
      <c r="K13" s="1082"/>
      <c r="L13" s="880"/>
    </row>
    <row r="14" spans="1:12" x14ac:dyDescent="0.3">
      <c r="A14" s="1119">
        <v>959</v>
      </c>
      <c r="B14" s="1122">
        <v>33444.75</v>
      </c>
      <c r="C14" s="1122" t="s">
        <v>6799</v>
      </c>
      <c r="D14" s="1122">
        <f>+I14+I15+I16</f>
        <v>959</v>
      </c>
      <c r="E14" s="1122">
        <f>+J14+J15+J16</f>
        <v>32983.300000000003</v>
      </c>
      <c r="F14" s="716" t="s">
        <v>6800</v>
      </c>
      <c r="G14" s="716">
        <v>33271</v>
      </c>
      <c r="H14" s="718"/>
      <c r="I14" s="716">
        <v>595</v>
      </c>
      <c r="J14" s="719">
        <v>20465.5</v>
      </c>
      <c r="K14" s="1125">
        <f t="shared" ref="K14" si="9">+A14-D14</f>
        <v>0</v>
      </c>
      <c r="L14" s="1128">
        <f>((+B14/A14)-(E14/D14))/(B14/A14)</f>
        <v>1.3797382249829935E-2</v>
      </c>
    </row>
    <row r="15" spans="1:12" x14ac:dyDescent="0.3">
      <c r="A15" s="1120"/>
      <c r="B15" s="1123"/>
      <c r="C15" s="1123"/>
      <c r="D15" s="1123"/>
      <c r="E15" s="1123"/>
      <c r="F15" s="717" t="s">
        <v>6800</v>
      </c>
      <c r="G15" s="717">
        <v>33271</v>
      </c>
      <c r="H15" s="720"/>
      <c r="I15" s="717">
        <v>100</v>
      </c>
      <c r="J15" s="721">
        <v>3459.2</v>
      </c>
      <c r="K15" s="1126"/>
      <c r="L15" s="1129"/>
    </row>
    <row r="16" spans="1:12" ht="15" thickBot="1" x14ac:dyDescent="0.35">
      <c r="A16" s="1121"/>
      <c r="B16" s="1124"/>
      <c r="C16" s="1124"/>
      <c r="D16" s="1124"/>
      <c r="E16" s="1124"/>
      <c r="F16" s="711" t="s">
        <v>6800</v>
      </c>
      <c r="G16" s="711">
        <v>33271</v>
      </c>
      <c r="H16" s="712"/>
      <c r="I16" s="711">
        <v>264</v>
      </c>
      <c r="J16" s="722">
        <v>9058.6</v>
      </c>
      <c r="K16" s="1127"/>
      <c r="L16" s="1130"/>
    </row>
    <row r="17" spans="1:12" x14ac:dyDescent="0.3">
      <c r="A17" s="871">
        <v>797</v>
      </c>
      <c r="B17" s="873">
        <v>31084.25</v>
      </c>
      <c r="C17" s="881" t="s">
        <v>6801</v>
      </c>
      <c r="D17" s="881">
        <f>+I17+I18+I19+I20</f>
        <v>797</v>
      </c>
      <c r="E17" s="881">
        <f>+J17+J18+J19+J20</f>
        <v>30416.799999999999</v>
      </c>
      <c r="F17" s="50" t="s">
        <v>6802</v>
      </c>
      <c r="G17" s="50">
        <v>33391</v>
      </c>
      <c r="I17" s="50">
        <v>200</v>
      </c>
      <c r="J17" s="5">
        <v>7764.8</v>
      </c>
      <c r="K17" s="1081">
        <f t="shared" ref="K17" si="10">+A17-D17</f>
        <v>0</v>
      </c>
      <c r="L17" s="879">
        <f t="shared" ref="L17" si="11">((+B17/A17)-(E17/D17))/(B17/A17)</f>
        <v>2.1472289020967313E-2</v>
      </c>
    </row>
    <row r="18" spans="1:12" x14ac:dyDescent="0.3">
      <c r="A18" s="875"/>
      <c r="B18" s="881"/>
      <c r="C18" s="881"/>
      <c r="D18" s="881"/>
      <c r="E18" s="881"/>
      <c r="F18" s="50" t="s">
        <v>6802</v>
      </c>
      <c r="G18" s="50">
        <v>33391</v>
      </c>
      <c r="I18" s="50">
        <v>233</v>
      </c>
      <c r="J18" s="688">
        <v>9126.2000000000007</v>
      </c>
      <c r="K18" s="1083"/>
      <c r="L18" s="885"/>
    </row>
    <row r="19" spans="1:12" x14ac:dyDescent="0.3">
      <c r="A19" s="875"/>
      <c r="B19" s="881"/>
      <c r="C19" s="881"/>
      <c r="D19" s="881"/>
      <c r="E19" s="881"/>
      <c r="F19" s="50" t="s">
        <v>6802</v>
      </c>
      <c r="G19" s="50">
        <v>33391</v>
      </c>
      <c r="I19" s="50">
        <v>81</v>
      </c>
      <c r="J19" s="688">
        <v>3335.5</v>
      </c>
      <c r="K19" s="1083"/>
      <c r="L19" s="885"/>
    </row>
    <row r="20" spans="1:12" ht="15" thickBot="1" x14ac:dyDescent="0.35">
      <c r="A20" s="872"/>
      <c r="B20" s="874"/>
      <c r="C20" s="874"/>
      <c r="D20" s="874"/>
      <c r="E20" s="874"/>
      <c r="F20" s="672" t="s">
        <v>6802</v>
      </c>
      <c r="G20" s="672">
        <v>33391</v>
      </c>
      <c r="H20" s="674"/>
      <c r="I20" s="672">
        <v>283</v>
      </c>
      <c r="J20" s="687">
        <v>10190.299999999999</v>
      </c>
      <c r="K20" s="1082"/>
      <c r="L20" s="880"/>
    </row>
    <row r="21" spans="1:12" ht="15" thickBot="1" x14ac:dyDescent="0.35">
      <c r="A21" s="175">
        <v>309</v>
      </c>
      <c r="B21" s="8">
        <v>10411.75</v>
      </c>
      <c r="C21" s="45" t="s">
        <v>6803</v>
      </c>
      <c r="D21" s="8">
        <f>+I21</f>
        <v>308</v>
      </c>
      <c r="E21" s="8">
        <f>+J21</f>
        <v>10277.5</v>
      </c>
      <c r="F21" s="45" t="s">
        <v>6804</v>
      </c>
      <c r="G21" s="45">
        <v>33421</v>
      </c>
      <c r="H21" s="14"/>
      <c r="I21" s="45">
        <v>308</v>
      </c>
      <c r="J21" s="219">
        <v>10277.5</v>
      </c>
      <c r="K21" s="120">
        <f t="shared" ref="K21:K22" si="12">+A21-D21</f>
        <v>1</v>
      </c>
      <c r="L21" s="31">
        <f t="shared" ref="L21:L22" si="13">((+B21/A21)-(E21/D21))/(B21/A21)</f>
        <v>9.6891966774550805E-3</v>
      </c>
    </row>
    <row r="22" spans="1:12" x14ac:dyDescent="0.3">
      <c r="A22" s="871">
        <v>1059</v>
      </c>
      <c r="B22" s="873">
        <v>40396.75</v>
      </c>
      <c r="C22" s="873" t="s">
        <v>6805</v>
      </c>
      <c r="D22" s="873">
        <v>1059</v>
      </c>
      <c r="E22" s="873">
        <v>39391.1</v>
      </c>
      <c r="F22" s="671" t="s">
        <v>6806</v>
      </c>
      <c r="G22" s="671">
        <v>33471</v>
      </c>
      <c r="H22" s="40"/>
      <c r="I22" s="677">
        <v>144</v>
      </c>
      <c r="J22" s="5">
        <v>5127.6000000000004</v>
      </c>
      <c r="K22" s="1081">
        <f t="shared" si="12"/>
        <v>0</v>
      </c>
      <c r="L22" s="879">
        <f t="shared" si="13"/>
        <v>2.4894329370555739E-2</v>
      </c>
    </row>
    <row r="23" spans="1:12" x14ac:dyDescent="0.3">
      <c r="A23" s="875"/>
      <c r="B23" s="881"/>
      <c r="C23" s="881"/>
      <c r="D23" s="881"/>
      <c r="E23" s="881"/>
      <c r="F23" s="50" t="s">
        <v>6806</v>
      </c>
      <c r="G23" s="50">
        <v>33471</v>
      </c>
      <c r="I23" s="676">
        <v>116</v>
      </c>
      <c r="J23" s="688">
        <v>4221.5</v>
      </c>
      <c r="K23" s="1083"/>
      <c r="L23" s="885"/>
    </row>
    <row r="24" spans="1:12" x14ac:dyDescent="0.3">
      <c r="A24" s="875"/>
      <c r="B24" s="881"/>
      <c r="C24" s="881"/>
      <c r="D24" s="881"/>
      <c r="E24" s="881"/>
      <c r="F24" s="50" t="s">
        <v>6806</v>
      </c>
      <c r="G24" s="50">
        <v>33471</v>
      </c>
      <c r="I24" s="676">
        <v>200</v>
      </c>
      <c r="J24" s="688">
        <v>7129.7</v>
      </c>
      <c r="K24" s="1083"/>
      <c r="L24" s="885"/>
    </row>
    <row r="25" spans="1:12" ht="15" thickBot="1" x14ac:dyDescent="0.35">
      <c r="A25" s="872"/>
      <c r="B25" s="874"/>
      <c r="C25" s="874"/>
      <c r="D25" s="874"/>
      <c r="E25" s="874"/>
      <c r="F25" s="672" t="s">
        <v>6806</v>
      </c>
      <c r="G25" s="672" t="s">
        <v>6807</v>
      </c>
      <c r="H25" s="674"/>
      <c r="I25" s="678">
        <v>75</v>
      </c>
      <c r="J25" s="687">
        <v>2711.6</v>
      </c>
      <c r="K25" s="1082"/>
      <c r="L25" s="880"/>
    </row>
    <row r="26" spans="1:12" x14ac:dyDescent="0.3">
      <c r="A26" s="871">
        <v>310</v>
      </c>
      <c r="B26" s="873">
        <v>10467.5</v>
      </c>
      <c r="C26" s="873" t="s">
        <v>6915</v>
      </c>
      <c r="D26" s="873">
        <f>+I26+I27</f>
        <v>310</v>
      </c>
      <c r="E26" s="873">
        <f>+J26+J27</f>
        <v>10166</v>
      </c>
      <c r="F26" s="697" t="s">
        <v>6916</v>
      </c>
      <c r="G26" s="697">
        <v>33501</v>
      </c>
      <c r="H26" s="40"/>
      <c r="I26" s="677">
        <v>125</v>
      </c>
      <c r="J26" s="697">
        <v>4103.8999999999996</v>
      </c>
      <c r="K26" s="1081">
        <f t="shared" ref="K26" si="14">+A26-D26</f>
        <v>0</v>
      </c>
      <c r="L26" s="879">
        <f t="shared" ref="L26" si="15">((+B26/A26)-(E26/D26))/(B26/A26)</f>
        <v>2.8803439216622779E-2</v>
      </c>
    </row>
    <row r="27" spans="1:12" ht="15" thickBot="1" x14ac:dyDescent="0.35">
      <c r="A27" s="875"/>
      <c r="B27" s="881"/>
      <c r="C27" s="881"/>
      <c r="D27" s="881"/>
      <c r="E27" s="881"/>
      <c r="F27" s="50" t="s">
        <v>6916</v>
      </c>
      <c r="G27" s="50">
        <v>33501</v>
      </c>
      <c r="I27" s="676">
        <v>185</v>
      </c>
      <c r="J27" s="50">
        <v>6062.1</v>
      </c>
      <c r="K27" s="1082"/>
      <c r="L27" s="880"/>
    </row>
    <row r="28" spans="1:12" x14ac:dyDescent="0.3">
      <c r="A28" s="873">
        <v>303</v>
      </c>
      <c r="B28" s="873">
        <v>10386</v>
      </c>
      <c r="C28" s="873" t="s">
        <v>6917</v>
      </c>
      <c r="D28" s="873">
        <f>+I28+I29</f>
        <v>303</v>
      </c>
      <c r="E28" s="873">
        <f>+J28+J29</f>
        <v>10137.200000000001</v>
      </c>
      <c r="F28" s="697" t="s">
        <v>6918</v>
      </c>
      <c r="G28" s="697">
        <v>33531</v>
      </c>
      <c r="H28" s="40"/>
      <c r="I28" s="677">
        <v>115</v>
      </c>
      <c r="J28" s="697">
        <v>3866.2</v>
      </c>
      <c r="K28" s="1081">
        <f t="shared" ref="K28" si="16">+A28-D28</f>
        <v>0</v>
      </c>
      <c r="L28" s="879">
        <f t="shared" ref="L28" si="17">((+B28/A28)-(E28/D28))/(B28/A28)</f>
        <v>2.3955324475254933E-2</v>
      </c>
    </row>
    <row r="29" spans="1:12" ht="15" thickBot="1" x14ac:dyDescent="0.35">
      <c r="A29" s="881"/>
      <c r="B29" s="881"/>
      <c r="C29" s="881"/>
      <c r="D29" s="881"/>
      <c r="E29" s="881"/>
      <c r="F29" s="698" t="s">
        <v>6918</v>
      </c>
      <c r="G29" s="698">
        <v>33531</v>
      </c>
      <c r="H29" s="700"/>
      <c r="I29" s="678">
        <v>188</v>
      </c>
      <c r="J29" s="698">
        <v>6271</v>
      </c>
      <c r="K29" s="1082"/>
      <c r="L29" s="880"/>
    </row>
    <row r="30" spans="1:12" ht="15" thickBot="1" x14ac:dyDescent="0.35">
      <c r="A30" s="175">
        <v>69</v>
      </c>
      <c r="B30" s="8">
        <v>2574.75</v>
      </c>
      <c r="C30" s="45" t="s">
        <v>6919</v>
      </c>
      <c r="D30" s="8">
        <f>+I30</f>
        <v>69</v>
      </c>
      <c r="E30" s="8">
        <f>+J30</f>
        <v>2549.4</v>
      </c>
      <c r="F30" s="45" t="s">
        <v>6920</v>
      </c>
      <c r="G30" s="45">
        <v>33541</v>
      </c>
      <c r="H30" s="14"/>
      <c r="I30" s="679">
        <v>69</v>
      </c>
      <c r="J30" s="45">
        <v>2549.4</v>
      </c>
      <c r="K30" s="120">
        <f t="shared" ref="K30" si="18">+A30-D30</f>
        <v>0</v>
      </c>
      <c r="L30" s="31">
        <f t="shared" ref="L30" si="19">((+B30/A30)-(E30/D30))/(B30/A30)</f>
        <v>9.8456160792310034E-3</v>
      </c>
    </row>
    <row r="31" spans="1:12" x14ac:dyDescent="0.3">
      <c r="A31" s="873">
        <v>805</v>
      </c>
      <c r="B31" s="873">
        <v>29505.63</v>
      </c>
      <c r="C31" s="873" t="s">
        <v>6921</v>
      </c>
      <c r="D31" s="873">
        <f>+I31+I32</f>
        <v>805</v>
      </c>
      <c r="E31" s="873">
        <f>+J31+J32</f>
        <v>28975.3</v>
      </c>
      <c r="F31" s="697" t="s">
        <v>6922</v>
      </c>
      <c r="G31" s="697">
        <v>33561</v>
      </c>
      <c r="H31" s="40"/>
      <c r="I31" s="677">
        <v>517</v>
      </c>
      <c r="J31" s="697">
        <v>19116.3</v>
      </c>
      <c r="K31" s="1081">
        <f t="shared" ref="K31" si="20">+A31-D31</f>
        <v>0</v>
      </c>
      <c r="L31" s="879">
        <f t="shared" ref="L31" si="21">((+B31/A31)-(E31/D31))/(B31/A31)</f>
        <v>1.7973857870515118E-2</v>
      </c>
    </row>
    <row r="32" spans="1:12" ht="15" thickBot="1" x14ac:dyDescent="0.35">
      <c r="A32" s="881"/>
      <c r="B32" s="881"/>
      <c r="C32" s="881"/>
      <c r="D32" s="881"/>
      <c r="E32" s="881"/>
      <c r="F32" s="698" t="s">
        <v>6922</v>
      </c>
      <c r="G32" s="698">
        <v>33561</v>
      </c>
      <c r="H32" s="700"/>
      <c r="I32" s="698">
        <v>288</v>
      </c>
      <c r="J32" s="698">
        <v>9859</v>
      </c>
      <c r="K32" s="1082"/>
      <c r="L32" s="880"/>
    </row>
    <row r="33" spans="1:12" x14ac:dyDescent="0.3">
      <c r="A33" s="871">
        <v>836</v>
      </c>
      <c r="B33" s="873">
        <v>30153.5</v>
      </c>
      <c r="C33" s="873" t="s">
        <v>7090</v>
      </c>
      <c r="D33" s="873">
        <f>+I33+I34+I35+I36</f>
        <v>837</v>
      </c>
      <c r="E33" s="873">
        <f>+J33+J34+J35+J36</f>
        <v>29456.400000000001</v>
      </c>
      <c r="F33" s="748" t="s">
        <v>7091</v>
      </c>
      <c r="G33" s="748">
        <v>33631</v>
      </c>
      <c r="H33" s="40"/>
      <c r="I33" s="748">
        <v>200</v>
      </c>
      <c r="J33" s="748">
        <v>6797.6</v>
      </c>
      <c r="K33" s="1081">
        <f t="shared" ref="K33" si="22">+A33-D33</f>
        <v>-1</v>
      </c>
      <c r="L33" s="879">
        <f t="shared" ref="L33" si="23">((+B33/A33)-(E33/D33))/(B33/A33)</f>
        <v>2.4285500241803353E-2</v>
      </c>
    </row>
    <row r="34" spans="1:12" x14ac:dyDescent="0.3">
      <c r="A34" s="875"/>
      <c r="B34" s="881"/>
      <c r="C34" s="881"/>
      <c r="D34" s="881"/>
      <c r="E34" s="881"/>
      <c r="F34" s="50" t="s">
        <v>7091</v>
      </c>
      <c r="G34" s="50">
        <v>33631</v>
      </c>
      <c r="I34" s="50">
        <v>94</v>
      </c>
      <c r="J34" s="50">
        <v>3145.5</v>
      </c>
      <c r="K34" s="1083"/>
      <c r="L34" s="885"/>
    </row>
    <row r="35" spans="1:12" x14ac:dyDescent="0.3">
      <c r="A35" s="875"/>
      <c r="B35" s="881"/>
      <c r="C35" s="881"/>
      <c r="D35" s="881"/>
      <c r="E35" s="881"/>
      <c r="F35" s="50" t="s">
        <v>7091</v>
      </c>
      <c r="G35" s="50">
        <v>33631</v>
      </c>
      <c r="I35" s="50">
        <v>400</v>
      </c>
      <c r="J35" s="50">
        <v>14484.8</v>
      </c>
      <c r="K35" s="1083"/>
      <c r="L35" s="885"/>
    </row>
    <row r="36" spans="1:12" ht="15" thickBot="1" x14ac:dyDescent="0.35">
      <c r="A36" s="872"/>
      <c r="B36" s="874"/>
      <c r="C36" s="874"/>
      <c r="D36" s="874"/>
      <c r="E36" s="874"/>
      <c r="F36" s="749" t="s">
        <v>7091</v>
      </c>
      <c r="G36" s="749">
        <v>33631</v>
      </c>
      <c r="H36" s="754"/>
      <c r="I36" s="749">
        <v>143</v>
      </c>
      <c r="J36" s="749">
        <v>5028.5</v>
      </c>
      <c r="K36" s="1082"/>
      <c r="L36" s="880"/>
    </row>
    <row r="37" spans="1:12" ht="15" thickBot="1" x14ac:dyDescent="0.35">
      <c r="A37" s="175">
        <v>539</v>
      </c>
      <c r="B37" s="8">
        <v>22443.4</v>
      </c>
      <c r="C37" s="8" t="s">
        <v>7092</v>
      </c>
      <c r="D37" s="8">
        <f>+I37</f>
        <v>539</v>
      </c>
      <c r="E37" s="8">
        <f>+J37</f>
        <v>22628.3</v>
      </c>
      <c r="F37" s="45" t="s">
        <v>7093</v>
      </c>
      <c r="G37" s="45">
        <v>33661</v>
      </c>
      <c r="H37" s="14"/>
      <c r="I37" s="45">
        <v>539</v>
      </c>
      <c r="J37" s="45">
        <v>22628.3</v>
      </c>
      <c r="K37" s="120">
        <f t="shared" ref="K37:K38" si="24">+A37-D37</f>
        <v>0</v>
      </c>
      <c r="L37" s="31">
        <f t="shared" ref="L37:L38" si="25">((+B37/A37)-(E37/D37))/(B37/A37)</f>
        <v>-8.2385021877253908E-3</v>
      </c>
    </row>
    <row r="38" spans="1:12" x14ac:dyDescent="0.3">
      <c r="A38" s="871">
        <v>250</v>
      </c>
      <c r="B38" s="873">
        <v>8350.7000000000007</v>
      </c>
      <c r="C38" s="873" t="s">
        <v>7094</v>
      </c>
      <c r="D38" s="873">
        <f>+I38+I39</f>
        <v>250</v>
      </c>
      <c r="E38" s="873">
        <f>+J38+J39</f>
        <v>8308</v>
      </c>
      <c r="F38" s="748" t="s">
        <v>7095</v>
      </c>
      <c r="G38" s="748">
        <v>33781</v>
      </c>
      <c r="H38" s="40"/>
      <c r="I38" s="748">
        <v>150</v>
      </c>
      <c r="J38" s="748">
        <v>4989.3</v>
      </c>
      <c r="K38" s="1081">
        <f t="shared" si="24"/>
        <v>0</v>
      </c>
      <c r="L38" s="879">
        <f t="shared" si="25"/>
        <v>5.1133437915386413E-3</v>
      </c>
    </row>
    <row r="39" spans="1:12" ht="15" thickBot="1" x14ac:dyDescent="0.35">
      <c r="A39" s="872"/>
      <c r="B39" s="874"/>
      <c r="C39" s="874"/>
      <c r="D39" s="874"/>
      <c r="E39" s="874"/>
      <c r="F39" s="749" t="s">
        <v>7095</v>
      </c>
      <c r="G39" s="749">
        <v>33781</v>
      </c>
      <c r="H39" s="754"/>
      <c r="I39" s="749">
        <v>100</v>
      </c>
      <c r="J39" s="749">
        <v>3318.7</v>
      </c>
      <c r="K39" s="1082"/>
      <c r="L39" s="880"/>
    </row>
    <row r="40" spans="1:12" ht="15" thickBot="1" x14ac:dyDescent="0.35">
      <c r="A40" s="175">
        <v>773</v>
      </c>
      <c r="B40" s="8">
        <v>33873.25</v>
      </c>
      <c r="C40" s="45" t="s">
        <v>7096</v>
      </c>
      <c r="D40" s="8">
        <v>744</v>
      </c>
      <c r="E40" s="8">
        <v>33704.6</v>
      </c>
      <c r="F40" s="45" t="s">
        <v>7097</v>
      </c>
      <c r="G40" s="45">
        <v>33831</v>
      </c>
      <c r="H40" s="14"/>
      <c r="I40" s="45">
        <v>300</v>
      </c>
      <c r="J40" s="45">
        <v>14300.800000000001</v>
      </c>
      <c r="K40" s="120">
        <f t="shared" ref="K40" si="26">+A40-D40</f>
        <v>29</v>
      </c>
      <c r="L40" s="31">
        <f t="shared" ref="L40" si="27">((+B40/A40)-(E40/D40))/(B40/A40)</f>
        <v>-3.3805571354755488E-2</v>
      </c>
    </row>
    <row r="41" spans="1:12" ht="15" thickBot="1" x14ac:dyDescent="0.35">
      <c r="A41" s="811">
        <v>580</v>
      </c>
      <c r="B41" s="812">
        <v>27273.5</v>
      </c>
      <c r="C41" s="816" t="s">
        <v>7318</v>
      </c>
      <c r="D41" s="812">
        <f>+I41</f>
        <v>580</v>
      </c>
      <c r="E41" s="812">
        <f>+J41</f>
        <v>27566.1</v>
      </c>
      <c r="F41" s="816" t="s">
        <v>7319</v>
      </c>
      <c r="G41" s="816">
        <v>33841</v>
      </c>
      <c r="H41" s="817"/>
      <c r="I41" s="816">
        <v>580</v>
      </c>
      <c r="J41" s="816">
        <v>27566.1</v>
      </c>
      <c r="K41" s="120">
        <f t="shared" ref="K41:K42" si="28">+A41-D41</f>
        <v>0</v>
      </c>
      <c r="L41" s="31">
        <f t="shared" ref="L41:L42" si="29">((+B41/A41)-(E41/D41))/(B41/A41)</f>
        <v>-1.0728362696390261E-2</v>
      </c>
    </row>
    <row r="42" spans="1:12" x14ac:dyDescent="0.3">
      <c r="A42" s="871">
        <v>1133</v>
      </c>
      <c r="B42" s="873">
        <v>40100</v>
      </c>
      <c r="C42" s="873" t="s">
        <v>7320</v>
      </c>
      <c r="D42" s="873">
        <f>+I42+I43</f>
        <v>1133</v>
      </c>
      <c r="E42" s="873">
        <f>+J42+J43</f>
        <v>39879.1</v>
      </c>
      <c r="F42" s="815" t="s">
        <v>7321</v>
      </c>
      <c r="G42" s="815">
        <v>33901</v>
      </c>
      <c r="H42" s="40"/>
      <c r="I42" s="815">
        <v>570</v>
      </c>
      <c r="J42" s="815">
        <v>19777.099999999999</v>
      </c>
      <c r="K42" s="1081">
        <f t="shared" si="28"/>
        <v>0</v>
      </c>
      <c r="L42" s="879">
        <f t="shared" si="29"/>
        <v>5.5087281795510243E-3</v>
      </c>
    </row>
    <row r="43" spans="1:12" ht="15" thickBot="1" x14ac:dyDescent="0.35">
      <c r="A43" s="872"/>
      <c r="B43" s="874"/>
      <c r="C43" s="874"/>
      <c r="D43" s="874"/>
      <c r="E43" s="874"/>
      <c r="F43" s="816" t="s">
        <v>7321</v>
      </c>
      <c r="G43" s="816">
        <v>33901</v>
      </c>
      <c r="H43" s="817"/>
      <c r="I43" s="816">
        <v>563</v>
      </c>
      <c r="J43" s="816">
        <v>20102</v>
      </c>
      <c r="K43" s="1082"/>
      <c r="L43" s="880"/>
    </row>
    <row r="44" spans="1:12" ht="15" thickBot="1" x14ac:dyDescent="0.35">
      <c r="A44" s="175">
        <v>275</v>
      </c>
      <c r="B44" s="8">
        <v>9865.75</v>
      </c>
      <c r="C44" s="45" t="s">
        <v>7322</v>
      </c>
      <c r="D44" s="8">
        <f>+I44</f>
        <v>275</v>
      </c>
      <c r="E44" s="8">
        <f>+J44</f>
        <v>9835.6</v>
      </c>
      <c r="F44" s="45" t="s">
        <v>7323</v>
      </c>
      <c r="G44" s="45">
        <v>33971</v>
      </c>
      <c r="H44" s="14"/>
      <c r="I44" s="45">
        <v>275</v>
      </c>
      <c r="J44" s="45">
        <v>9835.6</v>
      </c>
      <c r="K44" s="120">
        <f t="shared" ref="K44:K45" si="30">+A44-D44</f>
        <v>0</v>
      </c>
      <c r="L44" s="31">
        <f t="shared" ref="L44:L45" si="31">((+B44/A44)-(E44/D44))/(B44/A44)</f>
        <v>3.056027164685862E-3</v>
      </c>
    </row>
    <row r="45" spans="1:12" ht="15" thickBot="1" x14ac:dyDescent="0.35">
      <c r="A45" s="175">
        <v>541</v>
      </c>
      <c r="B45" s="8">
        <v>20821.599999999999</v>
      </c>
      <c r="C45" s="45" t="s">
        <v>7324</v>
      </c>
      <c r="D45" s="45">
        <f t="shared" ref="D45:E48" si="32">+I45</f>
        <v>541</v>
      </c>
      <c r="E45" s="45">
        <f t="shared" si="32"/>
        <v>20447.2</v>
      </c>
      <c r="F45" s="45" t="s">
        <v>7325</v>
      </c>
      <c r="G45" s="45">
        <v>34011</v>
      </c>
      <c r="H45" s="14"/>
      <c r="I45" s="45">
        <v>541</v>
      </c>
      <c r="J45" s="45">
        <v>20447.2</v>
      </c>
      <c r="K45" s="120">
        <f t="shared" si="30"/>
        <v>0</v>
      </c>
      <c r="L45" s="31">
        <f t="shared" si="31"/>
        <v>1.7981327083413219E-2</v>
      </c>
    </row>
    <row r="46" spans="1:12" ht="15" thickBot="1" x14ac:dyDescent="0.35">
      <c r="A46" s="175">
        <v>250</v>
      </c>
      <c r="B46" s="8">
        <v>10043</v>
      </c>
      <c r="C46" s="45" t="s">
        <v>7380</v>
      </c>
      <c r="D46" s="45">
        <f t="shared" si="32"/>
        <v>250</v>
      </c>
      <c r="E46" s="45">
        <f t="shared" si="32"/>
        <v>9812.6</v>
      </c>
      <c r="F46" s="45" t="s">
        <v>7381</v>
      </c>
      <c r="G46" s="45">
        <v>34051</v>
      </c>
      <c r="H46" s="14"/>
      <c r="I46" s="45">
        <v>250</v>
      </c>
      <c r="J46" s="45">
        <v>9812.6</v>
      </c>
      <c r="K46" s="120">
        <f t="shared" ref="K46:K48" si="33">+A46-D46</f>
        <v>0</v>
      </c>
      <c r="L46" s="31">
        <f t="shared" ref="L46:L48" si="34">((+B46/A46)-(E46/D46))/(B46/A46)</f>
        <v>2.2941352185601862E-2</v>
      </c>
    </row>
    <row r="47" spans="1:12" ht="15" thickBot="1" x14ac:dyDescent="0.35">
      <c r="A47" s="175">
        <v>500</v>
      </c>
      <c r="B47" s="8">
        <v>18064.7</v>
      </c>
      <c r="C47" s="45" t="s">
        <v>7382</v>
      </c>
      <c r="D47" s="45">
        <f t="shared" si="32"/>
        <v>500</v>
      </c>
      <c r="E47" s="45">
        <f t="shared" si="32"/>
        <v>17391.099999999999</v>
      </c>
      <c r="F47" s="45" t="s">
        <v>7383</v>
      </c>
      <c r="G47" s="45">
        <v>34091</v>
      </c>
      <c r="H47" s="14"/>
      <c r="I47" s="45">
        <v>500</v>
      </c>
      <c r="J47" s="45">
        <v>17391.099999999999</v>
      </c>
      <c r="K47" s="120">
        <f t="shared" si="33"/>
        <v>0</v>
      </c>
      <c r="L47" s="31">
        <f t="shared" si="34"/>
        <v>3.7288191888047072E-2</v>
      </c>
    </row>
    <row r="48" spans="1:12" ht="15" thickBot="1" x14ac:dyDescent="0.35">
      <c r="A48" s="175">
        <v>748</v>
      </c>
      <c r="B48" s="8">
        <v>30451.75</v>
      </c>
      <c r="C48" s="45" t="s">
        <v>7384</v>
      </c>
      <c r="D48" s="45">
        <f t="shared" si="32"/>
        <v>748</v>
      </c>
      <c r="E48" s="45">
        <f t="shared" si="32"/>
        <v>29705.599999999999</v>
      </c>
      <c r="F48" s="45" t="s">
        <v>7385</v>
      </c>
      <c r="G48" s="45">
        <v>34121</v>
      </c>
      <c r="H48" s="14"/>
      <c r="I48" s="45">
        <v>748</v>
      </c>
      <c r="J48" s="45">
        <v>29705.599999999999</v>
      </c>
      <c r="K48" s="120">
        <f t="shared" si="33"/>
        <v>0</v>
      </c>
      <c r="L48" s="31">
        <f t="shared" si="34"/>
        <v>2.450269688934139E-2</v>
      </c>
    </row>
    <row r="50" spans="1:5" x14ac:dyDescent="0.3">
      <c r="A50" s="155">
        <f>SUM(A5:A49)</f>
        <v>13710</v>
      </c>
      <c r="B50" s="155">
        <f>SUM(B5:B49)</f>
        <v>527402.42999999993</v>
      </c>
      <c r="D50" s="155">
        <f>SUM(D5:D49)</f>
        <v>13700</v>
      </c>
      <c r="E50" s="155">
        <f>SUM(E5:E49)</f>
        <v>518932.39999999985</v>
      </c>
    </row>
  </sheetData>
  <mergeCells count="82">
    <mergeCell ref="K26:K27"/>
    <mergeCell ref="L26:L27"/>
    <mergeCell ref="K28:K29"/>
    <mergeCell ref="L28:L29"/>
    <mergeCell ref="K31:K32"/>
    <mergeCell ref="L31:L32"/>
    <mergeCell ref="A26:A27"/>
    <mergeCell ref="B26:B27"/>
    <mergeCell ref="C26:C27"/>
    <mergeCell ref="D26:D27"/>
    <mergeCell ref="E26:E27"/>
    <mergeCell ref="L14:L16"/>
    <mergeCell ref="K17:K20"/>
    <mergeCell ref="K22:K25"/>
    <mergeCell ref="L22:L25"/>
    <mergeCell ref="L17:L20"/>
    <mergeCell ref="A22:A25"/>
    <mergeCell ref="B22:B25"/>
    <mergeCell ref="C22:C25"/>
    <mergeCell ref="D22:D25"/>
    <mergeCell ref="E22:E25"/>
    <mergeCell ref="A17:A20"/>
    <mergeCell ref="B17:B20"/>
    <mergeCell ref="C17:C20"/>
    <mergeCell ref="D17:D20"/>
    <mergeCell ref="E17:E20"/>
    <mergeCell ref="C12:C13"/>
    <mergeCell ref="D12:D13"/>
    <mergeCell ref="E12:E13"/>
    <mergeCell ref="K12:K13"/>
    <mergeCell ref="A14:A16"/>
    <mergeCell ref="B14:B16"/>
    <mergeCell ref="C14:C16"/>
    <mergeCell ref="D14:D16"/>
    <mergeCell ref="E14:E16"/>
    <mergeCell ref="K14:K16"/>
    <mergeCell ref="E33:E36"/>
    <mergeCell ref="L9:L10"/>
    <mergeCell ref="A3:C3"/>
    <mergeCell ref="D3:E3"/>
    <mergeCell ref="G3:G4"/>
    <mergeCell ref="K3:K4"/>
    <mergeCell ref="L3:L4"/>
    <mergeCell ref="K9:K10"/>
    <mergeCell ref="A9:A10"/>
    <mergeCell ref="B9:B10"/>
    <mergeCell ref="C9:C10"/>
    <mergeCell ref="D9:D10"/>
    <mergeCell ref="E9:E10"/>
    <mergeCell ref="L12:L13"/>
    <mergeCell ref="A12:A13"/>
    <mergeCell ref="B12:B13"/>
    <mergeCell ref="K38:K39"/>
    <mergeCell ref="L38:L39"/>
    <mergeCell ref="A31:A32"/>
    <mergeCell ref="B31:B32"/>
    <mergeCell ref="C31:C32"/>
    <mergeCell ref="K33:K36"/>
    <mergeCell ref="L33:L36"/>
    <mergeCell ref="A38:A39"/>
    <mergeCell ref="B38:B39"/>
    <mergeCell ref="C38:C39"/>
    <mergeCell ref="D38:D39"/>
    <mergeCell ref="E38:E39"/>
    <mergeCell ref="A33:A36"/>
    <mergeCell ref="B33:B36"/>
    <mergeCell ref="C33:C36"/>
    <mergeCell ref="D33:D36"/>
    <mergeCell ref="K42:K43"/>
    <mergeCell ref="L42:L43"/>
    <mergeCell ref="A42:A43"/>
    <mergeCell ref="B42:B43"/>
    <mergeCell ref="C42:C43"/>
    <mergeCell ref="D42:D43"/>
    <mergeCell ref="E42:E43"/>
    <mergeCell ref="D31:D32"/>
    <mergeCell ref="E31:E32"/>
    <mergeCell ref="D28:D29"/>
    <mergeCell ref="A28:A29"/>
    <mergeCell ref="B28:B29"/>
    <mergeCell ref="C28:C29"/>
    <mergeCell ref="E28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C8EFA-B124-447A-8849-A383DDA0364C}">
  <dimension ref="A1:L20"/>
  <sheetViews>
    <sheetView zoomScale="80" zoomScaleNormal="80" workbookViewId="0">
      <selection activeCell="I22" sqref="I22"/>
    </sheetView>
  </sheetViews>
  <sheetFormatPr baseColWidth="10" defaultColWidth="8.88671875" defaultRowHeight="14.4" x14ac:dyDescent="0.3"/>
  <cols>
    <col min="1" max="1" width="10.109375" bestFit="1" customWidth="1"/>
    <col min="2" max="2" width="11.33203125" bestFit="1" customWidth="1"/>
    <col min="3" max="3" width="9.5546875" bestFit="1" customWidth="1"/>
    <col min="4" max="4" width="11.33203125" customWidth="1"/>
    <col min="5" max="5" width="11.33203125" bestFit="1" customWidth="1"/>
    <col min="12" max="12" width="14.33203125" customWidth="1"/>
  </cols>
  <sheetData>
    <row r="1" spans="1:12" ht="23.4" x14ac:dyDescent="0.3">
      <c r="A1" s="1" t="s">
        <v>6575</v>
      </c>
      <c r="B1" s="1"/>
      <c r="C1" s="1"/>
      <c r="D1" s="1"/>
      <c r="E1" s="1"/>
      <c r="F1" s="1"/>
      <c r="G1" s="1"/>
      <c r="H1" s="1"/>
      <c r="I1" s="1"/>
      <c r="J1" s="618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618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608" t="s">
        <v>8</v>
      </c>
      <c r="G4" s="923"/>
      <c r="H4" s="7" t="s">
        <v>9</v>
      </c>
      <c r="I4" s="619" t="s">
        <v>5</v>
      </c>
      <c r="J4" s="619" t="s">
        <v>10</v>
      </c>
      <c r="K4" s="916"/>
      <c r="L4" s="1010"/>
    </row>
    <row r="5" spans="1:12" ht="15" thickBot="1" x14ac:dyDescent="0.35">
      <c r="A5" s="606">
        <v>75</v>
      </c>
      <c r="B5" s="647">
        <v>3891.5</v>
      </c>
      <c r="C5" s="613" t="s">
        <v>6567</v>
      </c>
      <c r="D5" s="602">
        <f t="shared" ref="D5:E5" si="0">+I5</f>
        <v>75</v>
      </c>
      <c r="E5" s="602">
        <f t="shared" si="0"/>
        <v>3862.3</v>
      </c>
      <c r="F5" s="614" t="s">
        <v>6568</v>
      </c>
      <c r="G5" s="614">
        <v>32831</v>
      </c>
      <c r="H5" s="614"/>
      <c r="I5" s="602">
        <v>75</v>
      </c>
      <c r="J5" s="602">
        <v>3862.3</v>
      </c>
      <c r="K5" s="120">
        <f t="shared" ref="K5:K6" si="1">+A5-D5</f>
        <v>0</v>
      </c>
      <c r="L5" s="31">
        <f t="shared" ref="L5:L6" si="2">((+B5/A5)-(E5/D5))/(B5/A5)</f>
        <v>7.5035333418988692E-3</v>
      </c>
    </row>
    <row r="6" spans="1:12" x14ac:dyDescent="0.3">
      <c r="A6" s="871">
        <v>283</v>
      </c>
      <c r="B6" s="873">
        <v>13693</v>
      </c>
      <c r="C6" s="873" t="s">
        <v>6569</v>
      </c>
      <c r="D6" s="873">
        <f>+I6+I7</f>
        <v>283</v>
      </c>
      <c r="E6" s="873">
        <f>+J6+J7</f>
        <v>13536.400000000001</v>
      </c>
      <c r="F6" s="614" t="s">
        <v>6570</v>
      </c>
      <c r="G6" s="614">
        <v>32991</v>
      </c>
      <c r="H6" s="614"/>
      <c r="I6" s="630">
        <v>100</v>
      </c>
      <c r="J6" s="630">
        <v>4962.7</v>
      </c>
      <c r="K6" s="1081">
        <f t="shared" si="1"/>
        <v>0</v>
      </c>
      <c r="L6" s="879">
        <f t="shared" si="2"/>
        <v>1.1436500401665047E-2</v>
      </c>
    </row>
    <row r="7" spans="1:12" ht="15" thickBot="1" x14ac:dyDescent="0.35">
      <c r="A7" s="872"/>
      <c r="B7" s="874"/>
      <c r="C7" s="874"/>
      <c r="D7" s="874"/>
      <c r="E7" s="874"/>
      <c r="F7" s="615" t="s">
        <v>6570</v>
      </c>
      <c r="G7" s="615">
        <v>32991</v>
      </c>
      <c r="H7" s="615"/>
      <c r="I7" s="631">
        <v>183</v>
      </c>
      <c r="J7" s="631">
        <v>8573.7000000000007</v>
      </c>
      <c r="K7" s="1082"/>
      <c r="L7" s="880"/>
    </row>
    <row r="8" spans="1:12" ht="15" thickBot="1" x14ac:dyDescent="0.35">
      <c r="A8" s="601">
        <v>330</v>
      </c>
      <c r="B8" s="602">
        <v>11950</v>
      </c>
      <c r="C8" s="614" t="s">
        <v>6571</v>
      </c>
      <c r="D8" s="614">
        <f>+I8</f>
        <v>330</v>
      </c>
      <c r="E8" s="614">
        <f>+J8</f>
        <v>11882.1</v>
      </c>
      <c r="F8" s="614" t="s">
        <v>6572</v>
      </c>
      <c r="G8" s="614">
        <v>33031</v>
      </c>
      <c r="H8" s="40"/>
      <c r="I8" s="614">
        <v>330</v>
      </c>
      <c r="J8" s="614">
        <v>11882.1</v>
      </c>
      <c r="K8" s="120">
        <f t="shared" ref="K8:K9" si="3">+A8-D8</f>
        <v>0</v>
      </c>
      <c r="L8" s="31">
        <f t="shared" ref="L8:L9" si="4">((+B8/A8)-(E8/D8))/(B8/A8)</f>
        <v>5.6820083682007708E-3</v>
      </c>
    </row>
    <row r="9" spans="1:12" x14ac:dyDescent="0.3">
      <c r="A9" s="871">
        <v>192</v>
      </c>
      <c r="B9" s="873">
        <v>9526.25</v>
      </c>
      <c r="C9" s="873" t="s">
        <v>6573</v>
      </c>
      <c r="D9" s="873">
        <f>+I9+I10</f>
        <v>192</v>
      </c>
      <c r="E9" s="873">
        <f>+J9+J10</f>
        <v>9601.4000000000015</v>
      </c>
      <c r="F9" s="614" t="s">
        <v>6574</v>
      </c>
      <c r="G9" s="614">
        <v>33131</v>
      </c>
      <c r="H9" s="40"/>
      <c r="I9" s="614">
        <v>70</v>
      </c>
      <c r="J9" s="614">
        <v>3357.8</v>
      </c>
      <c r="K9" s="1081">
        <f t="shared" si="3"/>
        <v>0</v>
      </c>
      <c r="L9" s="879">
        <f t="shared" si="4"/>
        <v>-7.888728513318663E-3</v>
      </c>
    </row>
    <row r="10" spans="1:12" ht="15" thickBot="1" x14ac:dyDescent="0.35">
      <c r="A10" s="872"/>
      <c r="B10" s="874"/>
      <c r="C10" s="874"/>
      <c r="D10" s="874"/>
      <c r="E10" s="874"/>
      <c r="F10" s="615" t="s">
        <v>6574</v>
      </c>
      <c r="G10" s="615">
        <v>33131</v>
      </c>
      <c r="H10" s="620"/>
      <c r="I10" s="615">
        <v>122</v>
      </c>
      <c r="J10" s="615">
        <v>6243.6</v>
      </c>
      <c r="K10" s="1082"/>
      <c r="L10" s="880"/>
    </row>
    <row r="11" spans="1:12" x14ac:dyDescent="0.3">
      <c r="A11" s="1119">
        <v>319</v>
      </c>
      <c r="B11" s="1122">
        <v>16044.25</v>
      </c>
      <c r="C11" s="1122" t="s">
        <v>6812</v>
      </c>
      <c r="D11" s="1122">
        <f>+I11+I12+I13</f>
        <v>319</v>
      </c>
      <c r="E11" s="1122">
        <f>+J11+J12+J13</f>
        <v>15959.300000000001</v>
      </c>
      <c r="F11" s="716" t="s">
        <v>6813</v>
      </c>
      <c r="G11" s="716">
        <v>33191</v>
      </c>
      <c r="H11" s="716"/>
      <c r="I11" s="716">
        <v>100</v>
      </c>
      <c r="J11" s="716">
        <v>5093.3999999999996</v>
      </c>
      <c r="K11" s="1125">
        <f t="shared" ref="K11" si="5">+A11-D11</f>
        <v>0</v>
      </c>
      <c r="L11" s="1128">
        <f>((+B11/A11)-(E11/D11))/(B11/A11)</f>
        <v>5.2947317574831296E-3</v>
      </c>
    </row>
    <row r="12" spans="1:12" x14ac:dyDescent="0.3">
      <c r="A12" s="1120"/>
      <c r="B12" s="1123"/>
      <c r="C12" s="1123"/>
      <c r="D12" s="1123"/>
      <c r="E12" s="1123"/>
      <c r="F12" s="717" t="s">
        <v>6813</v>
      </c>
      <c r="G12" s="717">
        <v>33191</v>
      </c>
      <c r="H12" s="717"/>
      <c r="I12" s="717">
        <v>162</v>
      </c>
      <c r="J12" s="717">
        <v>7946.8</v>
      </c>
      <c r="K12" s="1126"/>
      <c r="L12" s="1129"/>
    </row>
    <row r="13" spans="1:12" ht="15" thickBot="1" x14ac:dyDescent="0.35">
      <c r="A13" s="1121"/>
      <c r="B13" s="1124"/>
      <c r="C13" s="1124"/>
      <c r="D13" s="1124"/>
      <c r="E13" s="1124"/>
      <c r="F13" s="711" t="s">
        <v>6813</v>
      </c>
      <c r="G13" s="711">
        <v>33191</v>
      </c>
      <c r="H13" s="711"/>
      <c r="I13" s="711">
        <v>57</v>
      </c>
      <c r="J13" s="711">
        <v>2919.1</v>
      </c>
      <c r="K13" s="1127"/>
      <c r="L13" s="1130"/>
    </row>
    <row r="14" spans="1:12" ht="15" thickBot="1" x14ac:dyDescent="0.35">
      <c r="A14" s="178">
        <v>190</v>
      </c>
      <c r="B14" s="45">
        <v>9608.25</v>
      </c>
      <c r="C14" s="45" t="s">
        <v>6814</v>
      </c>
      <c r="D14" s="45">
        <v>190</v>
      </c>
      <c r="E14" s="45">
        <v>9582.1</v>
      </c>
      <c r="F14" s="45" t="s">
        <v>6815</v>
      </c>
      <c r="G14" s="45">
        <v>33281</v>
      </c>
      <c r="H14" s="14"/>
      <c r="I14" s="45">
        <v>100</v>
      </c>
      <c r="J14" s="45">
        <v>5125.6000000000004</v>
      </c>
      <c r="K14" s="120">
        <f t="shared" ref="K14:K15" si="6">+A14-D14</f>
        <v>0</v>
      </c>
      <c r="L14" s="31">
        <f t="shared" ref="L14" si="7">((+B14/A14)-(E14/D14))/(B14/A14)</f>
        <v>2.7216194416257327E-3</v>
      </c>
    </row>
    <row r="15" spans="1:12" x14ac:dyDescent="0.3">
      <c r="A15" s="871">
        <v>333</v>
      </c>
      <c r="B15" s="873">
        <v>16105.25</v>
      </c>
      <c r="C15" s="873" t="s">
        <v>7326</v>
      </c>
      <c r="D15" s="873">
        <f>+I15+I17+I16</f>
        <v>333</v>
      </c>
      <c r="E15" s="873">
        <f>+J15+J17+J16</f>
        <v>15925.9</v>
      </c>
      <c r="F15" s="815" t="s">
        <v>7327</v>
      </c>
      <c r="G15" s="815">
        <v>33521</v>
      </c>
      <c r="H15" s="40"/>
      <c r="I15" s="815">
        <v>68</v>
      </c>
      <c r="J15" s="815">
        <v>3521.9</v>
      </c>
      <c r="K15" s="1081">
        <f t="shared" si="6"/>
        <v>0</v>
      </c>
      <c r="L15" s="879">
        <f>((+B15/A15)-(E15/D15))/(B15/A15)</f>
        <v>1.1136120209248533E-2</v>
      </c>
    </row>
    <row r="16" spans="1:12" x14ac:dyDescent="0.3">
      <c r="A16" s="875"/>
      <c r="B16" s="881"/>
      <c r="C16" s="881"/>
      <c r="D16" s="881"/>
      <c r="E16" s="881"/>
      <c r="F16" s="50" t="s">
        <v>7327</v>
      </c>
      <c r="G16" s="50">
        <v>33521</v>
      </c>
      <c r="I16" s="50">
        <v>123</v>
      </c>
      <c r="J16" s="50">
        <v>5916.6</v>
      </c>
      <c r="K16" s="1083"/>
      <c r="L16" s="885"/>
    </row>
    <row r="17" spans="1:12" ht="15" thickBot="1" x14ac:dyDescent="0.35">
      <c r="A17" s="872"/>
      <c r="B17" s="874"/>
      <c r="C17" s="874"/>
      <c r="D17" s="874"/>
      <c r="E17" s="874"/>
      <c r="F17" s="816" t="s">
        <v>7327</v>
      </c>
      <c r="G17" s="816">
        <v>33521</v>
      </c>
      <c r="H17" s="817"/>
      <c r="I17" s="816">
        <v>142</v>
      </c>
      <c r="J17" s="816">
        <v>6487.4</v>
      </c>
      <c r="K17" s="1082"/>
      <c r="L17" s="880"/>
    </row>
    <row r="18" spans="1:12" ht="15" thickBot="1" x14ac:dyDescent="0.35">
      <c r="A18" s="178">
        <v>186</v>
      </c>
      <c r="B18" s="45">
        <v>9030.5</v>
      </c>
      <c r="C18" s="45" t="s">
        <v>7386</v>
      </c>
      <c r="D18" s="45">
        <f>+I18</f>
        <v>186</v>
      </c>
      <c r="E18" s="45">
        <f>+J18</f>
        <v>9065.7999999999993</v>
      </c>
      <c r="F18" s="45" t="s">
        <v>7387</v>
      </c>
      <c r="G18" s="45">
        <v>33821</v>
      </c>
      <c r="H18" s="14"/>
      <c r="I18" s="45">
        <v>186</v>
      </c>
      <c r="J18" s="45">
        <v>9065.7999999999993</v>
      </c>
      <c r="K18" s="120">
        <f t="shared" ref="K18" si="8">+A18-D18</f>
        <v>0</v>
      </c>
      <c r="L18" s="31">
        <f t="shared" ref="L18" si="9">((+B18/A18)-(E18/D18))/(B18/A18)</f>
        <v>-3.9089751398038077E-3</v>
      </c>
    </row>
    <row r="19" spans="1:12" x14ac:dyDescent="0.3">
      <c r="A19" s="364"/>
      <c r="B19" s="364"/>
      <c r="C19" s="364"/>
      <c r="D19" s="364"/>
      <c r="E19" s="364"/>
      <c r="F19" s="364"/>
      <c r="G19" s="364"/>
      <c r="H19" s="363"/>
      <c r="I19" s="364"/>
      <c r="J19" s="364"/>
      <c r="K19" s="440"/>
      <c r="L19" s="369"/>
    </row>
    <row r="20" spans="1:12" x14ac:dyDescent="0.3">
      <c r="A20" s="634">
        <f>SUM(A5:A19)</f>
        <v>1908</v>
      </c>
      <c r="B20" s="634">
        <f>SUM(B5:B19)</f>
        <v>89849</v>
      </c>
      <c r="D20" s="634">
        <f>SUM(D5:D19)</f>
        <v>1908</v>
      </c>
      <c r="E20" s="634">
        <f>SUM(E5:E19)</f>
        <v>89415.3</v>
      </c>
    </row>
  </sheetData>
  <mergeCells count="33">
    <mergeCell ref="K11:K13"/>
    <mergeCell ref="L11:L13"/>
    <mergeCell ref="A11:A13"/>
    <mergeCell ref="B11:B13"/>
    <mergeCell ref="C11:C13"/>
    <mergeCell ref="D11:D13"/>
    <mergeCell ref="E11:E13"/>
    <mergeCell ref="L6:L7"/>
    <mergeCell ref="K9:K10"/>
    <mergeCell ref="L9:L10"/>
    <mergeCell ref="A9:A10"/>
    <mergeCell ref="B9:B10"/>
    <mergeCell ref="C9:C10"/>
    <mergeCell ref="D9:D10"/>
    <mergeCell ref="E9:E10"/>
    <mergeCell ref="K6:K7"/>
    <mergeCell ref="A6:A7"/>
    <mergeCell ref="B6:B7"/>
    <mergeCell ref="C6:C7"/>
    <mergeCell ref="D6:D7"/>
    <mergeCell ref="E6:E7"/>
    <mergeCell ref="A3:C3"/>
    <mergeCell ref="D3:E3"/>
    <mergeCell ref="G3:G4"/>
    <mergeCell ref="K3:K4"/>
    <mergeCell ref="L3:L4"/>
    <mergeCell ref="K15:K17"/>
    <mergeCell ref="L15:L17"/>
    <mergeCell ref="A15:A17"/>
    <mergeCell ref="B15:B17"/>
    <mergeCell ref="C15:C17"/>
    <mergeCell ref="D15:D17"/>
    <mergeCell ref="E15:E1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11463-9270-4D7D-ADF3-95DE89B27087}">
  <dimension ref="A1:L11"/>
  <sheetViews>
    <sheetView zoomScale="80" zoomScaleNormal="80" workbookViewId="0">
      <selection activeCell="K8" sqref="K8:L9"/>
    </sheetView>
  </sheetViews>
  <sheetFormatPr baseColWidth="10" defaultColWidth="8.88671875" defaultRowHeight="14.4" x14ac:dyDescent="0.3"/>
  <cols>
    <col min="1" max="1" width="9.33203125" bestFit="1" customWidth="1"/>
    <col min="2" max="2" width="11.33203125" bestFit="1" customWidth="1"/>
    <col min="4" max="4" width="11.33203125" customWidth="1"/>
    <col min="5" max="5" width="12.109375" customWidth="1"/>
    <col min="12" max="12" width="12" bestFit="1" customWidth="1"/>
  </cols>
  <sheetData>
    <row r="1" spans="1:12" ht="23.4" x14ac:dyDescent="0.3">
      <c r="A1" s="1" t="s">
        <v>6575</v>
      </c>
      <c r="B1" s="1"/>
      <c r="C1" s="1"/>
      <c r="D1" s="1"/>
      <c r="E1" s="1"/>
      <c r="F1" s="1"/>
      <c r="G1" s="1"/>
      <c r="H1" s="1"/>
      <c r="I1" s="1"/>
      <c r="J1" s="618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618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608" t="s">
        <v>8</v>
      </c>
      <c r="G4" s="923"/>
      <c r="H4" s="7" t="s">
        <v>9</v>
      </c>
      <c r="I4" s="619" t="s">
        <v>5</v>
      </c>
      <c r="J4" s="619" t="s">
        <v>10</v>
      </c>
      <c r="K4" s="916"/>
      <c r="L4" s="1010"/>
    </row>
    <row r="5" spans="1:12" ht="15" thickBot="1" x14ac:dyDescent="0.35">
      <c r="A5" s="190">
        <v>75</v>
      </c>
      <c r="B5" s="648">
        <v>3891.25</v>
      </c>
      <c r="C5" s="161" t="s">
        <v>6576</v>
      </c>
      <c r="D5" s="8">
        <f t="shared" ref="D5:E5" si="0">+I5</f>
        <v>75</v>
      </c>
      <c r="E5" s="8">
        <f t="shared" si="0"/>
        <v>3727.8</v>
      </c>
      <c r="F5" s="45" t="s">
        <v>6577</v>
      </c>
      <c r="G5" s="45">
        <v>32841</v>
      </c>
      <c r="H5" s="45"/>
      <c r="I5" s="8">
        <v>75</v>
      </c>
      <c r="J5" s="8">
        <v>3727.8</v>
      </c>
      <c r="K5" s="120">
        <f t="shared" ref="K5:K6" si="1">+A5-D5</f>
        <v>0</v>
      </c>
      <c r="L5" s="31">
        <f t="shared" ref="L5:L6" si="2">((+B5/A5)-(E5/D5))/(B5/A5)</f>
        <v>4.2004497269514919E-2</v>
      </c>
    </row>
    <row r="6" spans="1:12" x14ac:dyDescent="0.3">
      <c r="A6" s="871">
        <v>301</v>
      </c>
      <c r="B6" s="1131">
        <v>10580</v>
      </c>
      <c r="C6" s="873" t="s">
        <v>6808</v>
      </c>
      <c r="D6" s="873">
        <f>+I6+I7</f>
        <v>301</v>
      </c>
      <c r="E6" s="873">
        <f>+J6+J7</f>
        <v>10304.9</v>
      </c>
      <c r="F6" s="671" t="s">
        <v>6809</v>
      </c>
      <c r="G6" s="671">
        <v>33091</v>
      </c>
      <c r="H6" s="671"/>
      <c r="I6" s="666">
        <v>101</v>
      </c>
      <c r="J6" s="666">
        <v>3491.5</v>
      </c>
      <c r="K6" s="1081">
        <f t="shared" si="1"/>
        <v>0</v>
      </c>
      <c r="L6" s="879">
        <f t="shared" si="2"/>
        <v>2.6001890359168271E-2</v>
      </c>
    </row>
    <row r="7" spans="1:12" ht="15" thickBot="1" x14ac:dyDescent="0.35">
      <c r="A7" s="875"/>
      <c r="B7" s="1132"/>
      <c r="C7" s="881"/>
      <c r="D7" s="881"/>
      <c r="E7" s="881"/>
      <c r="F7" s="50" t="s">
        <v>6809</v>
      </c>
      <c r="G7" s="50">
        <v>33091</v>
      </c>
      <c r="I7" s="50">
        <v>200</v>
      </c>
      <c r="J7" s="50">
        <v>6813.4</v>
      </c>
      <c r="K7" s="1082"/>
      <c r="L7" s="880"/>
    </row>
    <row r="8" spans="1:12" x14ac:dyDescent="0.3">
      <c r="A8" s="871">
        <v>305</v>
      </c>
      <c r="B8" s="873">
        <v>10511.5</v>
      </c>
      <c r="C8" s="873" t="s">
        <v>6810</v>
      </c>
      <c r="D8" s="873">
        <v>305</v>
      </c>
      <c r="E8" s="873">
        <v>10315.299999999999</v>
      </c>
      <c r="F8" s="671" t="s">
        <v>6811</v>
      </c>
      <c r="G8" s="671">
        <v>33351</v>
      </c>
      <c r="H8" s="671"/>
      <c r="I8" s="671">
        <v>50</v>
      </c>
      <c r="J8" s="671">
        <v>1679.7</v>
      </c>
      <c r="K8" s="1081">
        <f t="shared" ref="K8" si="3">+A8-D8</f>
        <v>0</v>
      </c>
      <c r="L8" s="879">
        <f t="shared" ref="L8" si="4">((+B8/A8)-(E8/D8))/(B8/A8)</f>
        <v>1.8665271369452469E-2</v>
      </c>
    </row>
    <row r="9" spans="1:12" ht="15" thickBot="1" x14ac:dyDescent="0.35">
      <c r="A9" s="872"/>
      <c r="B9" s="874"/>
      <c r="C9" s="874"/>
      <c r="D9" s="874"/>
      <c r="E9" s="874"/>
      <c r="F9" s="672" t="s">
        <v>6811</v>
      </c>
      <c r="G9" s="672">
        <v>33351</v>
      </c>
      <c r="H9" s="674"/>
      <c r="I9" s="672">
        <v>100</v>
      </c>
      <c r="J9" s="672">
        <v>3401.2</v>
      </c>
      <c r="K9" s="1082"/>
      <c r="L9" s="880"/>
    </row>
    <row r="11" spans="1:12" x14ac:dyDescent="0.3">
      <c r="A11" s="155">
        <f>SUM(A5:A10)</f>
        <v>681</v>
      </c>
      <c r="B11" s="155">
        <f>SUM(B5:B10)</f>
        <v>24982.75</v>
      </c>
      <c r="D11" s="155">
        <f>SUM(D5:D10)</f>
        <v>681</v>
      </c>
      <c r="E11" s="155">
        <f>SUM(E5:E10)</f>
        <v>24348</v>
      </c>
    </row>
  </sheetData>
  <mergeCells count="19">
    <mergeCell ref="K6:K7"/>
    <mergeCell ref="L6:L7"/>
    <mergeCell ref="K8:K9"/>
    <mergeCell ref="L8:L9"/>
    <mergeCell ref="A8:A9"/>
    <mergeCell ref="B8:B9"/>
    <mergeCell ref="C8:C9"/>
    <mergeCell ref="D8:D9"/>
    <mergeCell ref="E8:E9"/>
    <mergeCell ref="A6:A7"/>
    <mergeCell ref="B6:B7"/>
    <mergeCell ref="C6:C7"/>
    <mergeCell ref="D6:D7"/>
    <mergeCell ref="E6:E7"/>
    <mergeCell ref="A3:C3"/>
    <mergeCell ref="D3:E3"/>
    <mergeCell ref="G3:G4"/>
    <mergeCell ref="K3:K4"/>
    <mergeCell ref="L3:L4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6C2BC-F2CA-4220-857E-37F26BD562D9}">
  <dimension ref="A1:L60"/>
  <sheetViews>
    <sheetView zoomScale="80" zoomScaleNormal="80" workbookViewId="0">
      <selection activeCell="F66" sqref="F66"/>
    </sheetView>
  </sheetViews>
  <sheetFormatPr baseColWidth="10" defaultColWidth="8.88671875" defaultRowHeight="14.4" x14ac:dyDescent="0.3"/>
  <cols>
    <col min="2" max="2" width="12.33203125" bestFit="1" customWidth="1"/>
    <col min="5" max="5" width="12.33203125" bestFit="1" customWidth="1"/>
    <col min="8" max="10" width="0" hidden="1" customWidth="1"/>
    <col min="11" max="11" width="13.88671875" bestFit="1" customWidth="1"/>
    <col min="12" max="12" width="12" bestFit="1" customWidth="1"/>
  </cols>
  <sheetData>
    <row r="1" spans="1:12" ht="23.4" x14ac:dyDescent="0.3">
      <c r="A1" s="1019" t="s">
        <v>3175</v>
      </c>
      <c r="B1" s="1019"/>
      <c r="C1" s="1019"/>
      <c r="D1" s="1019"/>
      <c r="E1" s="1019"/>
      <c r="F1" s="1019"/>
      <c r="G1" s="1019"/>
      <c r="H1" s="1019"/>
      <c r="I1" s="1019"/>
      <c r="J1" s="2"/>
    </row>
    <row r="2" spans="1:12" ht="24" thickBot="1" x14ac:dyDescent="0.35">
      <c r="A2" s="1019"/>
      <c r="B2" s="1019"/>
      <c r="C2" s="1019"/>
      <c r="D2" s="1019"/>
      <c r="E2" s="1019"/>
      <c r="F2" s="1019"/>
      <c r="G2" s="1019"/>
      <c r="H2" s="1019"/>
      <c r="I2" s="1019"/>
      <c r="J2" s="2"/>
    </row>
    <row r="3" spans="1:12" x14ac:dyDescent="0.3">
      <c r="A3" s="1026" t="s">
        <v>1</v>
      </c>
      <c r="B3" s="1027"/>
      <c r="C3" s="1028"/>
      <c r="D3" s="1026" t="s">
        <v>2</v>
      </c>
      <c r="E3" s="1028"/>
      <c r="F3" s="284"/>
      <c r="G3" s="1029" t="s">
        <v>3</v>
      </c>
      <c r="H3" s="284" t="s">
        <v>4</v>
      </c>
      <c r="I3" s="18"/>
      <c r="J3" s="18"/>
      <c r="K3" s="915" t="s">
        <v>91</v>
      </c>
      <c r="L3" s="984" t="s">
        <v>92</v>
      </c>
    </row>
    <row r="4" spans="1:12" ht="15" thickBot="1" x14ac:dyDescent="0.35">
      <c r="A4" s="285" t="s">
        <v>5</v>
      </c>
      <c r="B4" s="286" t="s">
        <v>6</v>
      </c>
      <c r="C4" s="287" t="s">
        <v>4</v>
      </c>
      <c r="D4" s="286" t="s">
        <v>7</v>
      </c>
      <c r="E4" s="287" t="s">
        <v>6</v>
      </c>
      <c r="F4" s="288" t="s">
        <v>8</v>
      </c>
      <c r="G4" s="1118"/>
      <c r="H4" s="289" t="s">
        <v>9</v>
      </c>
      <c r="I4" s="288" t="s">
        <v>5</v>
      </c>
      <c r="J4" s="288" t="s">
        <v>10</v>
      </c>
      <c r="K4" s="916"/>
      <c r="L4" s="985"/>
    </row>
    <row r="5" spans="1:12" x14ac:dyDescent="0.3">
      <c r="A5" s="871">
        <v>239</v>
      </c>
      <c r="B5" s="964">
        <v>11127.16</v>
      </c>
      <c r="C5" s="873" t="s">
        <v>3176</v>
      </c>
      <c r="D5" s="873">
        <f>+I5+I6+I7</f>
        <v>235</v>
      </c>
      <c r="E5" s="873">
        <f>+J5+J6+J7</f>
        <v>9912.2000000000007</v>
      </c>
      <c r="F5" s="39" t="s">
        <v>3177</v>
      </c>
      <c r="G5" s="39">
        <v>12891</v>
      </c>
      <c r="H5" s="40"/>
      <c r="I5" s="39">
        <v>17</v>
      </c>
      <c r="J5" s="39">
        <v>695</v>
      </c>
      <c r="K5" s="1081">
        <f t="shared" ref="K5" si="0">+A5-D5</f>
        <v>4</v>
      </c>
      <c r="L5" s="879">
        <f>((+B5/A5)-(E5/D5))/(B5/A5)</f>
        <v>9.4025942120690154E-2</v>
      </c>
    </row>
    <row r="6" spans="1:12" x14ac:dyDescent="0.3">
      <c r="A6" s="875"/>
      <c r="B6" s="966"/>
      <c r="C6" s="881"/>
      <c r="D6" s="881"/>
      <c r="E6" s="881"/>
      <c r="F6" s="50" t="s">
        <v>3177</v>
      </c>
      <c r="G6" s="50">
        <v>12891</v>
      </c>
      <c r="I6" s="50">
        <v>118</v>
      </c>
      <c r="J6" s="50">
        <v>5111.5</v>
      </c>
      <c r="K6" s="1083"/>
      <c r="L6" s="885"/>
    </row>
    <row r="7" spans="1:12" ht="15" thickBot="1" x14ac:dyDescent="0.35">
      <c r="A7" s="875"/>
      <c r="B7" s="966"/>
      <c r="C7" s="881"/>
      <c r="D7" s="881"/>
      <c r="E7" s="881"/>
      <c r="F7" s="50" t="s">
        <v>3177</v>
      </c>
      <c r="G7" s="50">
        <v>12891</v>
      </c>
      <c r="I7" s="50">
        <v>100</v>
      </c>
      <c r="J7" s="50">
        <v>4105.7</v>
      </c>
      <c r="K7" s="1082"/>
      <c r="L7" s="880"/>
    </row>
    <row r="8" spans="1:12" ht="15" thickBot="1" x14ac:dyDescent="0.35">
      <c r="A8" s="177">
        <v>241</v>
      </c>
      <c r="B8" s="233">
        <v>9643</v>
      </c>
      <c r="C8" s="39" t="s">
        <v>3178</v>
      </c>
      <c r="D8" s="39">
        <f t="shared" ref="D8:E11" si="1">+I8</f>
        <v>241</v>
      </c>
      <c r="E8" s="39">
        <f t="shared" si="1"/>
        <v>10167.6</v>
      </c>
      <c r="F8" s="39" t="s">
        <v>3179</v>
      </c>
      <c r="G8" s="39">
        <v>30061</v>
      </c>
      <c r="H8" s="40"/>
      <c r="I8" s="39">
        <v>241</v>
      </c>
      <c r="J8" s="39">
        <v>10167.6</v>
      </c>
      <c r="K8" s="120">
        <f t="shared" ref="K8:K11" si="2">+A8-D8</f>
        <v>0</v>
      </c>
      <c r="L8" s="127">
        <f>((+B8/A8)-(E8/D8))/(B8/A8)</f>
        <v>-5.4402157005081296E-2</v>
      </c>
    </row>
    <row r="9" spans="1:12" ht="15" thickBot="1" x14ac:dyDescent="0.35">
      <c r="A9" s="178">
        <v>321</v>
      </c>
      <c r="B9" s="232">
        <v>13194</v>
      </c>
      <c r="C9" s="45" t="s">
        <v>3180</v>
      </c>
      <c r="D9" s="45">
        <f t="shared" si="1"/>
        <v>321</v>
      </c>
      <c r="E9" s="45">
        <f t="shared" si="1"/>
        <v>13397.8</v>
      </c>
      <c r="F9" s="45" t="s">
        <v>3181</v>
      </c>
      <c r="G9" s="45">
        <v>30071</v>
      </c>
      <c r="H9" s="14"/>
      <c r="I9" s="45">
        <v>321</v>
      </c>
      <c r="J9" s="45">
        <v>13397.8</v>
      </c>
      <c r="K9" s="120">
        <f t="shared" si="2"/>
        <v>0</v>
      </c>
      <c r="L9" s="127">
        <f>((+B9/A9)-(E9/D9))/(B9/A9)</f>
        <v>-1.5446415037137992E-2</v>
      </c>
    </row>
    <row r="10" spans="1:12" ht="15" thickBot="1" x14ac:dyDescent="0.35">
      <c r="A10" s="178">
        <v>339</v>
      </c>
      <c r="B10" s="232">
        <v>14718</v>
      </c>
      <c r="C10" s="45" t="s">
        <v>3182</v>
      </c>
      <c r="D10" s="45">
        <f t="shared" si="1"/>
        <v>375</v>
      </c>
      <c r="E10" s="45">
        <f t="shared" si="1"/>
        <v>16119.7</v>
      </c>
      <c r="F10" s="45" t="s">
        <v>3183</v>
      </c>
      <c r="G10" s="45">
        <v>30091</v>
      </c>
      <c r="H10" s="14"/>
      <c r="I10" s="45">
        <v>375</v>
      </c>
      <c r="J10" s="45">
        <v>16119.7</v>
      </c>
      <c r="K10" s="120">
        <f t="shared" si="2"/>
        <v>-36</v>
      </c>
      <c r="L10" s="127">
        <f>((+B10/A10)-(E10/D10))/(B10/A10)</f>
        <v>9.9056393531730402E-3</v>
      </c>
    </row>
    <row r="11" spans="1:12" ht="15" thickBot="1" x14ac:dyDescent="0.35">
      <c r="A11" s="178">
        <v>212</v>
      </c>
      <c r="B11" s="232">
        <v>8440</v>
      </c>
      <c r="C11" s="45" t="s">
        <v>3184</v>
      </c>
      <c r="D11" s="45">
        <f t="shared" si="1"/>
        <v>212</v>
      </c>
      <c r="E11" s="45">
        <f t="shared" si="1"/>
        <v>8949.6</v>
      </c>
      <c r="F11" s="45" t="s">
        <v>3185</v>
      </c>
      <c r="G11" s="45">
        <v>30111</v>
      </c>
      <c r="H11" s="14"/>
      <c r="I11" s="45">
        <v>212</v>
      </c>
      <c r="J11" s="45">
        <v>8949.6</v>
      </c>
      <c r="K11" s="120">
        <f t="shared" si="2"/>
        <v>0</v>
      </c>
      <c r="L11" s="31">
        <f>((+B11/A11)-(E11/D11))/(B11/A11)</f>
        <v>-6.0379146919431387E-2</v>
      </c>
    </row>
    <row r="12" spans="1:12" x14ac:dyDescent="0.3">
      <c r="A12" s="871">
        <v>1224</v>
      </c>
      <c r="B12" s="964">
        <v>52155.38</v>
      </c>
      <c r="C12" s="873" t="s">
        <v>3318</v>
      </c>
      <c r="D12" s="873">
        <v>1225</v>
      </c>
      <c r="E12" s="873">
        <v>51891.9</v>
      </c>
      <c r="F12" s="39" t="s">
        <v>3319</v>
      </c>
      <c r="G12" s="39">
        <v>30131</v>
      </c>
      <c r="H12" s="40"/>
      <c r="I12" s="39">
        <v>240</v>
      </c>
      <c r="J12" s="39">
        <v>10330.1</v>
      </c>
      <c r="K12" s="1081">
        <f t="shared" ref="K12" si="3">+A12-D12</f>
        <v>-1</v>
      </c>
      <c r="L12" s="879">
        <f>((+B12/A12)-(E12/D12))/(B12/A12)</f>
        <v>5.8640304163036679E-3</v>
      </c>
    </row>
    <row r="13" spans="1:12" ht="15" thickBot="1" x14ac:dyDescent="0.35">
      <c r="A13" s="872"/>
      <c r="B13" s="965"/>
      <c r="C13" s="874"/>
      <c r="D13" s="874"/>
      <c r="E13" s="874"/>
      <c r="F13" s="42" t="s">
        <v>3319</v>
      </c>
      <c r="G13" s="42">
        <v>30131</v>
      </c>
      <c r="H13" s="43"/>
      <c r="I13" s="42">
        <v>460</v>
      </c>
      <c r="J13" s="42">
        <v>19352.2</v>
      </c>
      <c r="K13" s="1082"/>
      <c r="L13" s="880"/>
    </row>
    <row r="14" spans="1:12" ht="15" thickBot="1" x14ac:dyDescent="0.35">
      <c r="A14" s="175">
        <v>265</v>
      </c>
      <c r="B14" s="242">
        <v>10462.25</v>
      </c>
      <c r="C14" s="8" t="s">
        <v>3571</v>
      </c>
      <c r="D14" s="8">
        <f>+I14</f>
        <v>265</v>
      </c>
      <c r="E14" s="8">
        <f>+J14</f>
        <v>11307.1</v>
      </c>
      <c r="F14" s="45" t="s">
        <v>3572</v>
      </c>
      <c r="G14" s="45">
        <v>30201</v>
      </c>
      <c r="H14" s="14"/>
      <c r="I14" s="45">
        <v>265</v>
      </c>
      <c r="J14" s="45">
        <v>11307.1</v>
      </c>
      <c r="K14" s="120">
        <f t="shared" ref="K14:K15" si="4">+A14-D14</f>
        <v>0</v>
      </c>
      <c r="L14" s="31">
        <f>((+B14/A14)-(E14/D14))/(B14/A14)</f>
        <v>-8.0752228249181726E-2</v>
      </c>
    </row>
    <row r="15" spans="1:12" x14ac:dyDescent="0.3">
      <c r="A15" s="871">
        <v>745</v>
      </c>
      <c r="B15" s="964">
        <v>33393.5</v>
      </c>
      <c r="C15" s="873" t="s">
        <v>3573</v>
      </c>
      <c r="D15" s="873">
        <f>+I15+I16</f>
        <v>746</v>
      </c>
      <c r="E15" s="873">
        <f>+J15+J16</f>
        <v>31913.8</v>
      </c>
      <c r="F15" s="39" t="s">
        <v>3574</v>
      </c>
      <c r="G15" s="39">
        <v>30221</v>
      </c>
      <c r="H15" s="40"/>
      <c r="I15" s="39">
        <v>335</v>
      </c>
      <c r="J15" s="39">
        <v>14323.899999999998</v>
      </c>
      <c r="K15" s="1081">
        <f t="shared" si="4"/>
        <v>-1</v>
      </c>
      <c r="L15" s="879">
        <f>((+B15/A15)-(E15/D15))/(B15/A15)</f>
        <v>4.5592103036860288E-2</v>
      </c>
    </row>
    <row r="16" spans="1:12" ht="15" thickBot="1" x14ac:dyDescent="0.35">
      <c r="A16" s="872"/>
      <c r="B16" s="965"/>
      <c r="C16" s="874"/>
      <c r="D16" s="874"/>
      <c r="E16" s="874"/>
      <c r="F16" s="42" t="s">
        <v>3574</v>
      </c>
      <c r="G16" s="42">
        <v>30221</v>
      </c>
      <c r="H16" s="43"/>
      <c r="I16" s="42">
        <v>411</v>
      </c>
      <c r="J16" s="42">
        <v>17589.900000000001</v>
      </c>
      <c r="K16" s="1082"/>
      <c r="L16" s="880"/>
    </row>
    <row r="17" spans="1:12" ht="15" thickBot="1" x14ac:dyDescent="0.35">
      <c r="A17" s="175">
        <v>936</v>
      </c>
      <c r="B17" s="242">
        <v>42431.75</v>
      </c>
      <c r="C17" s="8" t="s">
        <v>3575</v>
      </c>
      <c r="D17" s="8">
        <f>+I17</f>
        <v>936</v>
      </c>
      <c r="E17" s="8">
        <f>+J17</f>
        <v>40836.800000000003</v>
      </c>
      <c r="F17" s="45" t="s">
        <v>3576</v>
      </c>
      <c r="G17" s="45">
        <v>30311</v>
      </c>
      <c r="H17" s="14"/>
      <c r="I17" s="45">
        <v>936</v>
      </c>
      <c r="J17" s="45">
        <v>40836.800000000003</v>
      </c>
      <c r="K17" s="120">
        <f t="shared" ref="K17" si="5">+A17-D17</f>
        <v>0</v>
      </c>
      <c r="L17" s="31">
        <f>((+B17/A17)-(E17/D17))/(B17/A17)</f>
        <v>3.7588598160575387E-2</v>
      </c>
    </row>
    <row r="18" spans="1:12" ht="15" thickBot="1" x14ac:dyDescent="0.35">
      <c r="A18" s="175">
        <v>600</v>
      </c>
      <c r="B18" s="242">
        <v>27100.75</v>
      </c>
      <c r="C18" s="8" t="s">
        <v>3694</v>
      </c>
      <c r="D18" s="8">
        <v>600</v>
      </c>
      <c r="E18" s="8">
        <v>26132.1</v>
      </c>
      <c r="F18" s="45" t="s">
        <v>3695</v>
      </c>
      <c r="G18" s="46">
        <v>30361</v>
      </c>
      <c r="I18" s="50">
        <v>400</v>
      </c>
      <c r="J18" s="50">
        <v>17291.7</v>
      </c>
      <c r="K18" s="120">
        <f t="shared" ref="K18" si="6">+A18-D18</f>
        <v>0</v>
      </c>
      <c r="L18" s="31">
        <f>((+B18/A18)-(E18/D18))/(B18/A18)</f>
        <v>3.5742553250371234E-2</v>
      </c>
    </row>
    <row r="19" spans="1:12" ht="15" thickBot="1" x14ac:dyDescent="0.35">
      <c r="A19" s="175">
        <v>391</v>
      </c>
      <c r="B19" s="242">
        <v>17902.25</v>
      </c>
      <c r="C19" s="8" t="s">
        <v>3928</v>
      </c>
      <c r="D19" s="8">
        <f>+I19</f>
        <v>391</v>
      </c>
      <c r="E19" s="8">
        <f>+J19</f>
        <v>17035.5</v>
      </c>
      <c r="F19" s="45" t="s">
        <v>3929</v>
      </c>
      <c r="G19" s="45">
        <v>30411</v>
      </c>
      <c r="H19" s="14"/>
      <c r="I19" s="45">
        <v>391</v>
      </c>
      <c r="J19" s="45">
        <v>17035.5</v>
      </c>
      <c r="K19" s="120">
        <f t="shared" ref="K19:K20" si="7">+A19-D19</f>
        <v>0</v>
      </c>
      <c r="L19" s="31">
        <f>((+B19/A19)-(E19/D19))/(B19/A19)</f>
        <v>4.841570193690746E-2</v>
      </c>
    </row>
    <row r="20" spans="1:12" x14ac:dyDescent="0.3">
      <c r="A20" s="871">
        <v>668</v>
      </c>
      <c r="B20" s="964">
        <v>29657.75</v>
      </c>
      <c r="C20" s="873" t="s">
        <v>3930</v>
      </c>
      <c r="D20" s="873">
        <f>+I20+I21+I23+I22</f>
        <v>669</v>
      </c>
      <c r="E20" s="873">
        <f>+J20+J21+J23+J22</f>
        <v>28467.3</v>
      </c>
      <c r="F20" s="39" t="s">
        <v>3931</v>
      </c>
      <c r="G20" s="39">
        <v>30461</v>
      </c>
      <c r="H20" s="40"/>
      <c r="I20" s="39">
        <v>256</v>
      </c>
      <c r="J20" s="39">
        <v>10950.1</v>
      </c>
      <c r="K20" s="1081">
        <f t="shared" si="7"/>
        <v>-1</v>
      </c>
      <c r="L20" s="879">
        <f>((+B20/A20)-(E20/D20))/(B20/A20)</f>
        <v>4.1574361437979018E-2</v>
      </c>
    </row>
    <row r="21" spans="1:12" x14ac:dyDescent="0.3">
      <c r="A21" s="875"/>
      <c r="B21" s="966"/>
      <c r="C21" s="881"/>
      <c r="D21" s="881"/>
      <c r="E21" s="881"/>
      <c r="F21" s="50" t="s">
        <v>3931</v>
      </c>
      <c r="G21" s="50">
        <v>30461</v>
      </c>
      <c r="I21" s="50">
        <v>112</v>
      </c>
      <c r="J21" s="50">
        <v>4684.2</v>
      </c>
      <c r="K21" s="1083"/>
      <c r="L21" s="885"/>
    </row>
    <row r="22" spans="1:12" x14ac:dyDescent="0.3">
      <c r="A22" s="875"/>
      <c r="B22" s="966"/>
      <c r="C22" s="881"/>
      <c r="D22" s="881"/>
      <c r="E22" s="881"/>
      <c r="F22" s="50" t="s">
        <v>3931</v>
      </c>
      <c r="G22" s="50">
        <v>30461</v>
      </c>
      <c r="I22" s="50">
        <v>226</v>
      </c>
      <c r="J22" s="50">
        <v>9525.2999999999993</v>
      </c>
      <c r="K22" s="1083"/>
      <c r="L22" s="885"/>
    </row>
    <row r="23" spans="1:12" ht="15" thickBot="1" x14ac:dyDescent="0.35">
      <c r="A23" s="872"/>
      <c r="B23" s="965"/>
      <c r="C23" s="874"/>
      <c r="D23" s="874"/>
      <c r="E23" s="874"/>
      <c r="F23" s="42" t="s">
        <v>3931</v>
      </c>
      <c r="G23" s="42">
        <v>30461</v>
      </c>
      <c r="H23" s="43"/>
      <c r="I23" s="42">
        <v>75</v>
      </c>
      <c r="J23" s="42">
        <v>3307.7</v>
      </c>
      <c r="K23" s="1082"/>
      <c r="L23" s="880"/>
    </row>
    <row r="24" spans="1:12" ht="15" thickBot="1" x14ac:dyDescent="0.35">
      <c r="A24" s="175">
        <v>271</v>
      </c>
      <c r="B24" s="242">
        <v>12243.75</v>
      </c>
      <c r="C24" s="8" t="s">
        <v>3932</v>
      </c>
      <c r="D24" s="8">
        <f>+I24</f>
        <v>271</v>
      </c>
      <c r="E24" s="8">
        <f>+J24</f>
        <v>12032.1</v>
      </c>
      <c r="F24" s="45" t="s">
        <v>3933</v>
      </c>
      <c r="G24" s="45">
        <v>30481</v>
      </c>
      <c r="H24" s="14"/>
      <c r="I24" s="45">
        <v>271</v>
      </c>
      <c r="J24" s="45">
        <v>12032.1</v>
      </c>
      <c r="K24" s="120">
        <f t="shared" ref="K24:K25" si="8">+A24-D24</f>
        <v>0</v>
      </c>
      <c r="L24" s="31">
        <f t="shared" ref="L24:L25" si="9">((+B24/A24)-(E24/D24))/(B24/A24)</f>
        <v>1.7286370597243514E-2</v>
      </c>
    </row>
    <row r="25" spans="1:12" ht="15" thickBot="1" x14ac:dyDescent="0.35">
      <c r="A25" s="175">
        <v>247</v>
      </c>
      <c r="B25" s="242">
        <v>11451</v>
      </c>
      <c r="C25" s="8" t="s">
        <v>3934</v>
      </c>
      <c r="D25" s="8">
        <f>+I25</f>
        <v>247</v>
      </c>
      <c r="E25" s="8">
        <f>+J25</f>
        <v>11091.8</v>
      </c>
      <c r="F25" s="45" t="s">
        <v>3935</v>
      </c>
      <c r="G25" s="45">
        <v>30491</v>
      </c>
      <c r="H25" s="14"/>
      <c r="I25" s="45">
        <v>247</v>
      </c>
      <c r="J25" s="45">
        <v>11091.8</v>
      </c>
      <c r="K25" s="120">
        <f t="shared" si="8"/>
        <v>0</v>
      </c>
      <c r="L25" s="31">
        <f t="shared" si="9"/>
        <v>3.1368439437603812E-2</v>
      </c>
    </row>
    <row r="26" spans="1:12" ht="15" thickBot="1" x14ac:dyDescent="0.35">
      <c r="A26" s="178">
        <v>88</v>
      </c>
      <c r="B26" s="339">
        <v>3832.5</v>
      </c>
      <c r="C26" s="45" t="s">
        <v>4229</v>
      </c>
      <c r="D26" s="45">
        <f t="shared" ref="D26:E28" si="10">+I26</f>
        <v>88</v>
      </c>
      <c r="E26" s="45">
        <f t="shared" si="10"/>
        <v>3745.7</v>
      </c>
      <c r="F26" s="45" t="s">
        <v>4230</v>
      </c>
      <c r="G26" s="45">
        <v>30571</v>
      </c>
      <c r="H26" s="45"/>
      <c r="I26" s="45">
        <v>88</v>
      </c>
      <c r="J26" s="45">
        <v>3745.7</v>
      </c>
      <c r="K26" s="120">
        <f t="shared" ref="K26:K29" si="11">+A26-D26</f>
        <v>0</v>
      </c>
      <c r="L26" s="31">
        <f t="shared" ref="L26:L28" si="12">((+B26/A26)-(E26/D26))/(B26/A26)</f>
        <v>2.2648401826484137E-2</v>
      </c>
    </row>
    <row r="27" spans="1:12" ht="15" thickBot="1" x14ac:dyDescent="0.35">
      <c r="A27" s="179">
        <v>300</v>
      </c>
      <c r="B27" s="340">
        <v>13376.75</v>
      </c>
      <c r="C27" s="42" t="s">
        <v>4231</v>
      </c>
      <c r="D27" s="45">
        <f t="shared" si="10"/>
        <v>300</v>
      </c>
      <c r="E27" s="45">
        <f t="shared" si="10"/>
        <v>12985.3</v>
      </c>
      <c r="F27" s="42" t="s">
        <v>4232</v>
      </c>
      <c r="G27" s="42">
        <v>30531</v>
      </c>
      <c r="H27" s="42"/>
      <c r="I27" s="42">
        <v>300</v>
      </c>
      <c r="J27" s="42">
        <v>12985.3</v>
      </c>
      <c r="K27" s="120">
        <f t="shared" si="11"/>
        <v>0</v>
      </c>
      <c r="L27" s="31">
        <f t="shared" si="12"/>
        <v>2.9263460855589018E-2</v>
      </c>
    </row>
    <row r="28" spans="1:12" ht="15" thickBot="1" x14ac:dyDescent="0.35">
      <c r="A28" s="177">
        <v>63</v>
      </c>
      <c r="B28" s="341">
        <v>2724</v>
      </c>
      <c r="C28" s="39" t="s">
        <v>4233</v>
      </c>
      <c r="D28" s="39">
        <f t="shared" si="10"/>
        <v>63</v>
      </c>
      <c r="E28" s="39">
        <f t="shared" si="10"/>
        <v>2709.8</v>
      </c>
      <c r="F28" s="39" t="s">
        <v>4234</v>
      </c>
      <c r="G28" s="39">
        <v>30641</v>
      </c>
      <c r="H28" s="39"/>
      <c r="I28" s="39">
        <v>63</v>
      </c>
      <c r="J28" s="39">
        <v>2709.8</v>
      </c>
      <c r="K28" s="120">
        <f t="shared" si="11"/>
        <v>0</v>
      </c>
      <c r="L28" s="31">
        <f t="shared" si="12"/>
        <v>5.2129221732746594E-3</v>
      </c>
    </row>
    <row r="29" spans="1:12" x14ac:dyDescent="0.3">
      <c r="A29" s="871">
        <v>1190</v>
      </c>
      <c r="B29" s="1006">
        <v>53010.25</v>
      </c>
      <c r="C29" s="873" t="s">
        <v>4235</v>
      </c>
      <c r="D29" s="873">
        <v>1191</v>
      </c>
      <c r="E29" s="873">
        <v>51807.4</v>
      </c>
      <c r="F29" s="39" t="s">
        <v>4236</v>
      </c>
      <c r="G29" s="41">
        <v>30701</v>
      </c>
      <c r="H29" s="39"/>
      <c r="I29" s="39">
        <v>168</v>
      </c>
      <c r="J29" s="39">
        <v>7251.7</v>
      </c>
      <c r="K29" s="1081">
        <f t="shared" si="11"/>
        <v>-1</v>
      </c>
      <c r="L29" s="879">
        <f>((+B29/A29)-(E29/D29))/(B29/A29)</f>
        <v>2.3511473279344663E-2</v>
      </c>
    </row>
    <row r="30" spans="1:12" x14ac:dyDescent="0.3">
      <c r="A30" s="875"/>
      <c r="B30" s="1133"/>
      <c r="C30" s="881"/>
      <c r="D30" s="881"/>
      <c r="E30" s="881"/>
      <c r="F30" s="50" t="s">
        <v>4236</v>
      </c>
      <c r="G30" s="51">
        <v>30701</v>
      </c>
      <c r="H30" s="50"/>
      <c r="I30" s="50">
        <v>200</v>
      </c>
      <c r="J30" s="50">
        <v>8818.5</v>
      </c>
      <c r="K30" s="1083"/>
      <c r="L30" s="885"/>
    </row>
    <row r="31" spans="1:12" x14ac:dyDescent="0.3">
      <c r="A31" s="875"/>
      <c r="B31" s="1133"/>
      <c r="C31" s="881"/>
      <c r="D31" s="881"/>
      <c r="E31" s="881"/>
      <c r="F31" s="50" t="s">
        <v>4236</v>
      </c>
      <c r="G31" s="51">
        <v>30701</v>
      </c>
      <c r="H31" s="50"/>
      <c r="I31" s="50">
        <v>232</v>
      </c>
      <c r="J31" s="50">
        <v>10270.200000000001</v>
      </c>
      <c r="K31" s="1083"/>
      <c r="L31" s="885"/>
    </row>
    <row r="32" spans="1:12" ht="15" thickBot="1" x14ac:dyDescent="0.35">
      <c r="A32" s="872"/>
      <c r="B32" s="1007"/>
      <c r="C32" s="874"/>
      <c r="D32" s="874"/>
      <c r="E32" s="874"/>
      <c r="F32" s="42" t="s">
        <v>4236</v>
      </c>
      <c r="G32" s="44">
        <v>30701</v>
      </c>
      <c r="H32" s="50"/>
      <c r="I32" s="50">
        <v>391</v>
      </c>
      <c r="J32" s="50">
        <v>16984.400000000001</v>
      </c>
      <c r="K32" s="1083"/>
      <c r="L32" s="885"/>
    </row>
    <row r="33" spans="1:12" ht="15" thickBot="1" x14ac:dyDescent="0.35">
      <c r="A33" s="15">
        <v>344</v>
      </c>
      <c r="B33" s="336">
        <v>15528.5</v>
      </c>
      <c r="C33" s="15" t="s">
        <v>4218</v>
      </c>
      <c r="D33" s="42">
        <f>+I33</f>
        <v>344</v>
      </c>
      <c r="E33" s="42">
        <f>+J33</f>
        <v>15155.099999999999</v>
      </c>
      <c r="F33" s="42" t="s">
        <v>4237</v>
      </c>
      <c r="G33" s="42">
        <v>30751</v>
      </c>
      <c r="H33" s="42"/>
      <c r="I33" s="42">
        <v>344</v>
      </c>
      <c r="J33" s="42">
        <v>15155.099999999999</v>
      </c>
      <c r="K33" s="120">
        <f t="shared" ref="K33:K34" si="13">+A33-D33</f>
        <v>0</v>
      </c>
      <c r="L33" s="31">
        <f t="shared" ref="L33:L34" si="14">((+B33/A33)-(E33/D33))/(B33/A33)</f>
        <v>2.4046108767749725E-2</v>
      </c>
    </row>
    <row r="34" spans="1:12" ht="15" thickBot="1" x14ac:dyDescent="0.35">
      <c r="A34" s="177">
        <v>587</v>
      </c>
      <c r="B34" s="39">
        <v>26440.25</v>
      </c>
      <c r="C34" s="39" t="s">
        <v>4238</v>
      </c>
      <c r="D34" s="45">
        <f>+I34</f>
        <v>587</v>
      </c>
      <c r="E34" s="45">
        <f>+J34</f>
        <v>25694.1</v>
      </c>
      <c r="F34" s="39" t="s">
        <v>4239</v>
      </c>
      <c r="G34" s="39">
        <v>30781</v>
      </c>
      <c r="H34" s="39"/>
      <c r="I34" s="39">
        <v>587</v>
      </c>
      <c r="J34" s="39">
        <v>25694.1</v>
      </c>
      <c r="K34" s="120">
        <f t="shared" si="13"/>
        <v>0</v>
      </c>
      <c r="L34" s="31">
        <f t="shared" si="14"/>
        <v>2.8220232410813114E-2</v>
      </c>
    </row>
    <row r="35" spans="1:12" x14ac:dyDescent="0.3">
      <c r="A35" s="871">
        <v>300</v>
      </c>
      <c r="B35" s="873">
        <v>13335.5</v>
      </c>
      <c r="C35" s="873" t="s">
        <v>4319</v>
      </c>
      <c r="D35" s="873">
        <f>+I35+I36</f>
        <v>300</v>
      </c>
      <c r="E35" s="873">
        <f>+J35+J36</f>
        <v>13025</v>
      </c>
      <c r="F35" s="39" t="s">
        <v>4320</v>
      </c>
      <c r="G35" s="39">
        <v>30831</v>
      </c>
      <c r="H35" s="39"/>
      <c r="I35" s="39">
        <v>201</v>
      </c>
      <c r="J35" s="39">
        <v>8762.9</v>
      </c>
      <c r="K35" s="1081">
        <f t="shared" ref="K35" si="15">+A35-D35</f>
        <v>0</v>
      </c>
      <c r="L35" s="879">
        <f>((+B35/A35)-(E35/D35))/(B35/A35)</f>
        <v>2.3283716396085719E-2</v>
      </c>
    </row>
    <row r="36" spans="1:12" ht="15" thickBot="1" x14ac:dyDescent="0.35">
      <c r="A36" s="872"/>
      <c r="B36" s="874"/>
      <c r="C36" s="874"/>
      <c r="D36" s="874"/>
      <c r="E36" s="874"/>
      <c r="F36" s="42" t="s">
        <v>4320</v>
      </c>
      <c r="G36" s="42">
        <v>30831</v>
      </c>
      <c r="H36" s="42"/>
      <c r="I36" s="42">
        <v>99</v>
      </c>
      <c r="J36" s="42">
        <v>4262.1000000000004</v>
      </c>
      <c r="K36" s="1082"/>
      <c r="L36" s="880"/>
    </row>
    <row r="37" spans="1:12" x14ac:dyDescent="0.3">
      <c r="A37" s="875">
        <v>361</v>
      </c>
      <c r="B37" s="881">
        <v>16442.25</v>
      </c>
      <c r="C37" s="881" t="s">
        <v>4240</v>
      </c>
      <c r="D37" s="881">
        <f>+I37+I38</f>
        <v>361</v>
      </c>
      <c r="E37" s="881">
        <f>+J37+J38</f>
        <v>16101.8</v>
      </c>
      <c r="F37" s="50" t="s">
        <v>4241</v>
      </c>
      <c r="G37" s="50">
        <v>30841</v>
      </c>
      <c r="H37" s="50"/>
      <c r="I37" s="50">
        <v>200</v>
      </c>
      <c r="J37" s="50">
        <v>8933.4</v>
      </c>
      <c r="K37" s="1081">
        <f t="shared" ref="K37" si="16">+A37-D37</f>
        <v>0</v>
      </c>
      <c r="L37" s="879">
        <f>((+B37/A37)-(E37/D37))/(B37/A37)</f>
        <v>2.0705803646094732E-2</v>
      </c>
    </row>
    <row r="38" spans="1:12" ht="15" thickBot="1" x14ac:dyDescent="0.35">
      <c r="A38" s="872"/>
      <c r="B38" s="874"/>
      <c r="C38" s="874"/>
      <c r="D38" s="874"/>
      <c r="E38" s="874"/>
      <c r="F38" s="42" t="s">
        <v>4241</v>
      </c>
      <c r="G38" s="42">
        <v>30841</v>
      </c>
      <c r="H38" s="42"/>
      <c r="I38" s="42">
        <v>161</v>
      </c>
      <c r="J38" s="42">
        <v>7168.4</v>
      </c>
      <c r="K38" s="1082"/>
      <c r="L38" s="880"/>
    </row>
    <row r="39" spans="1:12" x14ac:dyDescent="0.3">
      <c r="A39" s="871">
        <v>600</v>
      </c>
      <c r="B39" s="873">
        <v>26467</v>
      </c>
      <c r="C39" s="873" t="s">
        <v>4518</v>
      </c>
      <c r="D39" s="873">
        <f>+I39+I40+I41</f>
        <v>600</v>
      </c>
      <c r="E39" s="873">
        <f>+J39+J40+J41</f>
        <v>25720.600000000002</v>
      </c>
      <c r="F39" s="39" t="s">
        <v>4519</v>
      </c>
      <c r="G39" s="39">
        <v>30891</v>
      </c>
      <c r="H39" s="40"/>
      <c r="I39" s="39">
        <v>200</v>
      </c>
      <c r="J39" s="39">
        <v>8429.5</v>
      </c>
      <c r="K39" s="1081">
        <f t="shared" ref="K39" si="17">+A39-D39</f>
        <v>0</v>
      </c>
      <c r="L39" s="879">
        <f>((+B39/A39)-(E39/D39))/(B39/A39)</f>
        <v>2.8201156156723303E-2</v>
      </c>
    </row>
    <row r="40" spans="1:12" x14ac:dyDescent="0.3">
      <c r="A40" s="875"/>
      <c r="B40" s="881"/>
      <c r="C40" s="881"/>
      <c r="D40" s="881"/>
      <c r="E40" s="881"/>
      <c r="F40" s="50" t="s">
        <v>4519</v>
      </c>
      <c r="G40" s="50">
        <v>30891</v>
      </c>
      <c r="I40" s="50">
        <v>200</v>
      </c>
      <c r="J40" s="50">
        <v>8641.9000000000015</v>
      </c>
      <c r="K40" s="1083"/>
      <c r="L40" s="885"/>
    </row>
    <row r="41" spans="1:12" ht="15" thickBot="1" x14ac:dyDescent="0.35">
      <c r="A41" s="872"/>
      <c r="B41" s="874"/>
      <c r="C41" s="874"/>
      <c r="D41" s="874"/>
      <c r="E41" s="874"/>
      <c r="F41" s="42" t="s">
        <v>4519</v>
      </c>
      <c r="G41" s="42">
        <v>30891</v>
      </c>
      <c r="H41" s="43"/>
      <c r="I41" s="42">
        <v>200</v>
      </c>
      <c r="J41" s="42">
        <v>8649.2000000000007</v>
      </c>
      <c r="K41" s="1082"/>
      <c r="L41" s="880"/>
    </row>
    <row r="42" spans="1:12" ht="15" thickBot="1" x14ac:dyDescent="0.35">
      <c r="A42" s="178">
        <v>275</v>
      </c>
      <c r="B42" s="45">
        <v>12324</v>
      </c>
      <c r="C42" s="45" t="s">
        <v>4520</v>
      </c>
      <c r="D42" s="45">
        <v>275</v>
      </c>
      <c r="E42" s="45">
        <v>12416.5</v>
      </c>
      <c r="F42" s="45" t="s">
        <v>4507</v>
      </c>
      <c r="G42" s="45">
        <v>31001</v>
      </c>
      <c r="H42" s="45"/>
      <c r="I42" s="45">
        <v>200</v>
      </c>
      <c r="J42" s="45">
        <v>9018.7000000000007</v>
      </c>
      <c r="K42" s="120">
        <f t="shared" ref="K42" si="18">+A42-D42</f>
        <v>0</v>
      </c>
      <c r="L42" s="31">
        <f t="shared" ref="L42" si="19">((+B42/A42)-(E42/D42))/(B42/A42)</f>
        <v>-7.505679974034396E-3</v>
      </c>
    </row>
    <row r="43" spans="1:12" ht="15" thickBot="1" x14ac:dyDescent="0.35">
      <c r="A43" s="178">
        <v>277</v>
      </c>
      <c r="B43" s="45">
        <v>12255</v>
      </c>
      <c r="C43" s="45" t="s">
        <v>4593</v>
      </c>
      <c r="D43" s="45">
        <f>+I43</f>
        <v>277</v>
      </c>
      <c r="E43" s="45">
        <f>+J43</f>
        <v>12165.2</v>
      </c>
      <c r="F43" s="45" t="s">
        <v>4594</v>
      </c>
      <c r="G43" s="45">
        <v>31051</v>
      </c>
      <c r="H43" s="14"/>
      <c r="I43" s="45">
        <v>277</v>
      </c>
      <c r="J43" s="45">
        <v>12165.2</v>
      </c>
      <c r="K43" s="120">
        <f t="shared" ref="K43:K44" si="20">+A43-D43</f>
        <v>0</v>
      </c>
      <c r="L43" s="31">
        <f t="shared" ref="L43" si="21">((+B43/A43)-(E43/D43))/(B43/A43)</f>
        <v>7.327621379028911E-3</v>
      </c>
    </row>
    <row r="44" spans="1:12" x14ac:dyDescent="0.3">
      <c r="A44" s="871">
        <v>600</v>
      </c>
      <c r="B44" s="873">
        <v>27252.25</v>
      </c>
      <c r="C44" s="873" t="s">
        <v>4595</v>
      </c>
      <c r="D44" s="873">
        <f>+I44+I45</f>
        <v>599</v>
      </c>
      <c r="E44" s="873">
        <f>+J44+J45</f>
        <v>26351.3</v>
      </c>
      <c r="F44" s="39" t="s">
        <v>4596</v>
      </c>
      <c r="G44" s="39">
        <v>31121</v>
      </c>
      <c r="H44" s="40"/>
      <c r="I44" s="39">
        <v>248</v>
      </c>
      <c r="J44" s="39">
        <v>10925.5</v>
      </c>
      <c r="K44" s="1081">
        <f t="shared" si="20"/>
        <v>1</v>
      </c>
      <c r="L44" s="879">
        <f>((+B44/A44)-(E44/D44))/(B44/A44)</f>
        <v>3.144539795468939E-2</v>
      </c>
    </row>
    <row r="45" spans="1:12" ht="15" thickBot="1" x14ac:dyDescent="0.35">
      <c r="A45" s="872"/>
      <c r="B45" s="874"/>
      <c r="C45" s="874"/>
      <c r="D45" s="874"/>
      <c r="E45" s="874"/>
      <c r="F45" s="42" t="s">
        <v>4596</v>
      </c>
      <c r="G45" s="42">
        <v>31121</v>
      </c>
      <c r="H45" s="43"/>
      <c r="I45" s="42">
        <v>351</v>
      </c>
      <c r="J45" s="42">
        <v>15425.8</v>
      </c>
      <c r="K45" s="1082"/>
      <c r="L45" s="880"/>
    </row>
    <row r="46" spans="1:12" x14ac:dyDescent="0.3">
      <c r="A46" s="871">
        <v>513</v>
      </c>
      <c r="B46" s="873">
        <v>23250.5</v>
      </c>
      <c r="C46" s="873" t="s">
        <v>4597</v>
      </c>
      <c r="D46" s="873">
        <v>513</v>
      </c>
      <c r="E46" s="873">
        <v>22696</v>
      </c>
      <c r="F46" s="39" t="s">
        <v>4598</v>
      </c>
      <c r="G46" s="39">
        <v>31131</v>
      </c>
      <c r="H46" s="40"/>
      <c r="I46" s="39">
        <v>213</v>
      </c>
      <c r="J46" s="39">
        <v>9333.6</v>
      </c>
      <c r="K46" s="1081">
        <f t="shared" ref="K46" si="22">+A46-D46</f>
        <v>0</v>
      </c>
      <c r="L46" s="879">
        <f>((+B46/A46)-(E46/D46))/(B46/A46)</f>
        <v>2.3848949484957364E-2</v>
      </c>
    </row>
    <row r="47" spans="1:12" ht="15" thickBot="1" x14ac:dyDescent="0.35">
      <c r="A47" s="872"/>
      <c r="B47" s="874"/>
      <c r="C47" s="874"/>
      <c r="D47" s="874"/>
      <c r="E47" s="874"/>
      <c r="F47" s="42" t="s">
        <v>4598</v>
      </c>
      <c r="G47" s="42">
        <v>31131</v>
      </c>
      <c r="H47" s="43"/>
      <c r="I47" s="42">
        <v>200</v>
      </c>
      <c r="J47" s="42">
        <v>8876.7000000000007</v>
      </c>
      <c r="K47" s="1082"/>
      <c r="L47" s="880"/>
    </row>
    <row r="48" spans="1:12" ht="15" thickBot="1" x14ac:dyDescent="0.35">
      <c r="A48" s="177">
        <v>138</v>
      </c>
      <c r="B48" s="39">
        <v>6121.5</v>
      </c>
      <c r="C48" s="39" t="s">
        <v>4696</v>
      </c>
      <c r="D48" s="39">
        <f t="shared" ref="D48:E48" si="23">+I48</f>
        <v>138</v>
      </c>
      <c r="E48" s="39">
        <f t="shared" si="23"/>
        <v>6016.8</v>
      </c>
      <c r="F48" s="39" t="s">
        <v>4697</v>
      </c>
      <c r="G48" s="39">
        <v>31141</v>
      </c>
      <c r="H48" s="40"/>
      <c r="I48" s="39">
        <v>138</v>
      </c>
      <c r="J48" s="39">
        <v>6016.8</v>
      </c>
      <c r="K48" s="120">
        <f t="shared" ref="K48" si="24">+A48-D48</f>
        <v>0</v>
      </c>
      <c r="L48" s="31">
        <f t="shared" ref="L48" si="25">((+B48/A48)-(E48/D48))/(B48/A48)</f>
        <v>1.7103651065915205E-2</v>
      </c>
    </row>
    <row r="49" spans="1:12" x14ac:dyDescent="0.3">
      <c r="A49" s="871">
        <v>570</v>
      </c>
      <c r="B49" s="873">
        <v>24768.75</v>
      </c>
      <c r="C49" s="873" t="s">
        <v>4698</v>
      </c>
      <c r="D49" s="873">
        <f>+I49+I50</f>
        <v>570</v>
      </c>
      <c r="E49" s="873">
        <f>+J49+J50</f>
        <v>24526.400000000001</v>
      </c>
      <c r="F49" s="39" t="s">
        <v>4699</v>
      </c>
      <c r="G49" s="39">
        <v>31171</v>
      </c>
      <c r="H49" s="40"/>
      <c r="I49" s="39">
        <v>350</v>
      </c>
      <c r="J49" s="39">
        <v>15178.8</v>
      </c>
      <c r="K49" s="1081">
        <f t="shared" ref="K49" si="26">+A49-D49</f>
        <v>0</v>
      </c>
      <c r="L49" s="879">
        <f>((+B49/A49)-(E49/D49))/(B49/A49)</f>
        <v>9.7845066868533677E-3</v>
      </c>
    </row>
    <row r="50" spans="1:12" ht="15" thickBot="1" x14ac:dyDescent="0.35">
      <c r="A50" s="872"/>
      <c r="B50" s="874"/>
      <c r="C50" s="874"/>
      <c r="D50" s="874"/>
      <c r="E50" s="874"/>
      <c r="F50" s="42" t="s">
        <v>4699</v>
      </c>
      <c r="G50" s="42">
        <v>31171</v>
      </c>
      <c r="H50" s="43"/>
      <c r="I50" s="42">
        <v>220</v>
      </c>
      <c r="J50" s="42">
        <v>9347.6</v>
      </c>
      <c r="K50" s="1082"/>
      <c r="L50" s="880"/>
    </row>
    <row r="51" spans="1:12" ht="15" thickBot="1" x14ac:dyDescent="0.35">
      <c r="A51" s="178">
        <v>348</v>
      </c>
      <c r="B51" s="45">
        <v>14984.75</v>
      </c>
      <c r="C51" s="45" t="s">
        <v>4845</v>
      </c>
      <c r="D51" s="45">
        <f t="shared" ref="D51:E52" si="27">+I51</f>
        <v>348</v>
      </c>
      <c r="E51" s="45">
        <f t="shared" si="27"/>
        <v>14822</v>
      </c>
      <c r="F51" s="45" t="s">
        <v>4846</v>
      </c>
      <c r="G51" s="45">
        <v>31191</v>
      </c>
      <c r="H51" s="14"/>
      <c r="I51" s="45">
        <v>348</v>
      </c>
      <c r="J51" s="45">
        <v>14822</v>
      </c>
      <c r="K51" s="120">
        <f t="shared" ref="K51:K54" si="28">+A51-D51</f>
        <v>0</v>
      </c>
      <c r="L51" s="31">
        <f t="shared" ref="L51:L54" si="29">((+B51/A51)-(E51/D51))/(B51/A51)</f>
        <v>1.0861042059427079E-2</v>
      </c>
    </row>
    <row r="52" spans="1:12" ht="15" thickBot="1" x14ac:dyDescent="0.35">
      <c r="A52" s="179">
        <v>172</v>
      </c>
      <c r="B52" s="42">
        <v>7762.25</v>
      </c>
      <c r="C52" s="42" t="s">
        <v>4847</v>
      </c>
      <c r="D52" s="42">
        <f t="shared" si="27"/>
        <v>172</v>
      </c>
      <c r="E52" s="42">
        <f t="shared" si="27"/>
        <v>7724.4000000000005</v>
      </c>
      <c r="F52" s="42" t="s">
        <v>4848</v>
      </c>
      <c r="G52" s="42">
        <v>31201</v>
      </c>
      <c r="H52" s="43"/>
      <c r="I52" s="42">
        <v>172</v>
      </c>
      <c r="J52" s="42">
        <v>7724.4000000000005</v>
      </c>
      <c r="K52" s="120">
        <f t="shared" si="28"/>
        <v>0</v>
      </c>
      <c r="L52" s="31">
        <f t="shared" si="29"/>
        <v>4.876163483525907E-3</v>
      </c>
    </row>
    <row r="53" spans="1:12" ht="15" thickBot="1" x14ac:dyDescent="0.35">
      <c r="A53" s="50">
        <v>300</v>
      </c>
      <c r="B53" s="50">
        <v>12941.5</v>
      </c>
      <c r="C53" s="50" t="s">
        <v>4849</v>
      </c>
      <c r="D53" s="45">
        <f>+I53</f>
        <v>300</v>
      </c>
      <c r="E53" s="45">
        <f>+J53</f>
        <v>12956.6</v>
      </c>
      <c r="F53" s="50" t="s">
        <v>4850</v>
      </c>
      <c r="G53" s="50">
        <v>31311</v>
      </c>
      <c r="I53" s="50">
        <v>300</v>
      </c>
      <c r="J53" s="50">
        <v>12956.6</v>
      </c>
      <c r="K53" s="120">
        <f t="shared" si="28"/>
        <v>0</v>
      </c>
      <c r="L53" s="31">
        <f t="shared" si="29"/>
        <v>-1.1667890120929053E-3</v>
      </c>
    </row>
    <row r="54" spans="1:12" ht="15" thickBot="1" x14ac:dyDescent="0.35">
      <c r="A54" s="178">
        <v>780</v>
      </c>
      <c r="B54" s="45">
        <v>34520.25</v>
      </c>
      <c r="C54" s="45" t="s">
        <v>4851</v>
      </c>
      <c r="D54" s="42">
        <f>+I54</f>
        <v>780</v>
      </c>
      <c r="E54" s="42">
        <f>+J54</f>
        <v>34587.500000000007</v>
      </c>
      <c r="F54" s="45" t="s">
        <v>4852</v>
      </c>
      <c r="G54" s="45">
        <v>31321</v>
      </c>
      <c r="H54" s="14"/>
      <c r="I54" s="45">
        <v>780</v>
      </c>
      <c r="J54" s="45">
        <v>34587.500000000007</v>
      </c>
      <c r="K54" s="120">
        <f t="shared" si="28"/>
        <v>0</v>
      </c>
      <c r="L54" s="31">
        <f t="shared" si="29"/>
        <v>-1.9481318935989137E-3</v>
      </c>
    </row>
    <row r="55" spans="1:12" ht="15" thickBot="1" x14ac:dyDescent="0.35">
      <c r="A55" s="354">
        <v>203</v>
      </c>
      <c r="B55" s="356">
        <v>9113.75</v>
      </c>
      <c r="C55" s="356" t="s">
        <v>5142</v>
      </c>
      <c r="D55" s="45">
        <f t="shared" ref="D55:E56" si="30">+I55</f>
        <v>203</v>
      </c>
      <c r="E55" s="45">
        <f t="shared" si="30"/>
        <v>9147.5</v>
      </c>
      <c r="F55" s="45" t="s">
        <v>5143</v>
      </c>
      <c r="G55" s="45">
        <v>31341</v>
      </c>
      <c r="H55" s="14"/>
      <c r="I55" s="45">
        <v>203</v>
      </c>
      <c r="J55" s="45">
        <v>9147.5</v>
      </c>
      <c r="K55" s="120">
        <f t="shared" ref="K55:K57" si="31">+A55-D55</f>
        <v>0</v>
      </c>
      <c r="L55" s="31">
        <f t="shared" ref="L55:L56" si="32">((+B55/A55)-(E55/D55))/(B55/A55)</f>
        <v>-3.703195720751572E-3</v>
      </c>
    </row>
    <row r="56" spans="1:12" ht="15" thickBot="1" x14ac:dyDescent="0.35">
      <c r="A56" s="153">
        <v>148</v>
      </c>
      <c r="B56" s="366">
        <v>6612.25</v>
      </c>
      <c r="C56" s="366" t="s">
        <v>5144</v>
      </c>
      <c r="D56" s="39">
        <f t="shared" si="30"/>
        <v>148</v>
      </c>
      <c r="E56" s="39">
        <f t="shared" si="30"/>
        <v>6570.4</v>
      </c>
      <c r="F56" s="39" t="s">
        <v>5145</v>
      </c>
      <c r="G56" s="39">
        <v>31351</v>
      </c>
      <c r="H56" s="40"/>
      <c r="I56" s="39">
        <v>148</v>
      </c>
      <c r="J56" s="39">
        <v>6570.4</v>
      </c>
      <c r="K56" s="120">
        <f t="shared" si="31"/>
        <v>0</v>
      </c>
      <c r="L56" s="31">
        <f t="shared" si="32"/>
        <v>6.3291617830541621E-3</v>
      </c>
    </row>
    <row r="57" spans="1:12" x14ac:dyDescent="0.3">
      <c r="A57" s="935">
        <v>859</v>
      </c>
      <c r="B57" s="908">
        <v>37710</v>
      </c>
      <c r="C57" s="908" t="s">
        <v>5146</v>
      </c>
      <c r="D57" s="873">
        <v>743</v>
      </c>
      <c r="E57" s="873">
        <v>33576.199999999997</v>
      </c>
      <c r="F57" s="39" t="s">
        <v>5147</v>
      </c>
      <c r="G57" s="39">
        <v>31401</v>
      </c>
      <c r="H57" s="40"/>
      <c r="I57" s="39">
        <v>220</v>
      </c>
      <c r="J57" s="39">
        <v>10011.4</v>
      </c>
      <c r="K57" s="1081">
        <f t="shared" si="31"/>
        <v>116</v>
      </c>
      <c r="L57" s="879">
        <f>((+B57/A57)-(E57/D57))/(B57/A57)</f>
        <v>-2.9388615319932893E-2</v>
      </c>
    </row>
    <row r="58" spans="1:12" ht="15" thickBot="1" x14ac:dyDescent="0.35">
      <c r="A58" s="937"/>
      <c r="B58" s="910"/>
      <c r="C58" s="910"/>
      <c r="D58" s="874"/>
      <c r="E58" s="874"/>
      <c r="F58" s="42" t="s">
        <v>5147</v>
      </c>
      <c r="G58" s="42">
        <v>31401</v>
      </c>
      <c r="H58" s="43"/>
      <c r="I58" s="42">
        <v>220</v>
      </c>
      <c r="J58" s="42">
        <v>9873.5</v>
      </c>
      <c r="K58" s="1082"/>
      <c r="L58" s="880"/>
    </row>
    <row r="60" spans="1:12" x14ac:dyDescent="0.3">
      <c r="A60" s="156">
        <f>SUM(A5:A59)</f>
        <v>15715</v>
      </c>
      <c r="B60" s="155">
        <f>SUM(B5:B59)</f>
        <v>694694.29</v>
      </c>
      <c r="D60" s="156">
        <f>SUM(D5:D59)</f>
        <v>15634</v>
      </c>
      <c r="E60" s="155">
        <f>SUM(E5:E59)</f>
        <v>679756.89999999991</v>
      </c>
    </row>
  </sheetData>
  <mergeCells count="90">
    <mergeCell ref="A49:A50"/>
    <mergeCell ref="B49:B50"/>
    <mergeCell ref="C49:C50"/>
    <mergeCell ref="D49:D50"/>
    <mergeCell ref="E49:E50"/>
    <mergeCell ref="K20:K23"/>
    <mergeCell ref="L20:L23"/>
    <mergeCell ref="A20:A23"/>
    <mergeCell ref="B20:B23"/>
    <mergeCell ref="C20:C23"/>
    <mergeCell ref="D20:D23"/>
    <mergeCell ref="E20:E23"/>
    <mergeCell ref="K3:K4"/>
    <mergeCell ref="L3:L4"/>
    <mergeCell ref="K5:K7"/>
    <mergeCell ref="L5:L7"/>
    <mergeCell ref="A1:I2"/>
    <mergeCell ref="A3:C3"/>
    <mergeCell ref="D3:E3"/>
    <mergeCell ref="G3:G4"/>
    <mergeCell ref="A5:A7"/>
    <mergeCell ref="B5:B7"/>
    <mergeCell ref="C5:C7"/>
    <mergeCell ref="D5:D7"/>
    <mergeCell ref="E5:E7"/>
    <mergeCell ref="K12:K13"/>
    <mergeCell ref="L12:L13"/>
    <mergeCell ref="A12:A13"/>
    <mergeCell ref="B12:B13"/>
    <mergeCell ref="C12:C13"/>
    <mergeCell ref="D12:D13"/>
    <mergeCell ref="E12:E13"/>
    <mergeCell ref="K15:K16"/>
    <mergeCell ref="L15:L16"/>
    <mergeCell ref="A15:A16"/>
    <mergeCell ref="B15:B16"/>
    <mergeCell ref="C15:C16"/>
    <mergeCell ref="D15:D16"/>
    <mergeCell ref="E15:E16"/>
    <mergeCell ref="K29:K32"/>
    <mergeCell ref="L29:L32"/>
    <mergeCell ref="A29:A32"/>
    <mergeCell ref="B29:B32"/>
    <mergeCell ref="C29:C32"/>
    <mergeCell ref="D29:D32"/>
    <mergeCell ref="E29:E32"/>
    <mergeCell ref="K35:K36"/>
    <mergeCell ref="L35:L36"/>
    <mergeCell ref="K37:K38"/>
    <mergeCell ref="L37:L38"/>
    <mergeCell ref="A37:A38"/>
    <mergeCell ref="B37:B38"/>
    <mergeCell ref="C37:C38"/>
    <mergeCell ref="D37:D38"/>
    <mergeCell ref="E37:E38"/>
    <mergeCell ref="A35:A36"/>
    <mergeCell ref="B35:B36"/>
    <mergeCell ref="C35:C36"/>
    <mergeCell ref="D35:D36"/>
    <mergeCell ref="E35:E36"/>
    <mergeCell ref="K39:K41"/>
    <mergeCell ref="L39:L41"/>
    <mergeCell ref="A39:A41"/>
    <mergeCell ref="B39:B41"/>
    <mergeCell ref="C39:C41"/>
    <mergeCell ref="D39:D41"/>
    <mergeCell ref="E39:E41"/>
    <mergeCell ref="A44:A45"/>
    <mergeCell ref="B44:B45"/>
    <mergeCell ref="C44:C45"/>
    <mergeCell ref="D44:D45"/>
    <mergeCell ref="E44:E45"/>
    <mergeCell ref="A46:A47"/>
    <mergeCell ref="B46:B47"/>
    <mergeCell ref="C46:C47"/>
    <mergeCell ref="D46:D47"/>
    <mergeCell ref="E46:E47"/>
    <mergeCell ref="K49:K50"/>
    <mergeCell ref="L49:L50"/>
    <mergeCell ref="K44:K45"/>
    <mergeCell ref="L44:L45"/>
    <mergeCell ref="K46:K47"/>
    <mergeCell ref="L46:L47"/>
    <mergeCell ref="K57:K58"/>
    <mergeCell ref="L57:L58"/>
    <mergeCell ref="A57:A58"/>
    <mergeCell ref="B57:B58"/>
    <mergeCell ref="C57:C58"/>
    <mergeCell ref="D57:D58"/>
    <mergeCell ref="E57:E58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CAFAA-5E9D-4B05-B1C1-30A51D1CA935}">
  <dimension ref="A1:L10"/>
  <sheetViews>
    <sheetView zoomScale="80" zoomScaleNormal="80" workbookViewId="0">
      <selection activeCell="E27" sqref="E27"/>
    </sheetView>
  </sheetViews>
  <sheetFormatPr baseColWidth="10" defaultColWidth="8.88671875" defaultRowHeight="14.4" x14ac:dyDescent="0.3"/>
  <cols>
    <col min="1" max="1" width="9.33203125" bestFit="1" customWidth="1"/>
    <col min="2" max="2" width="11.33203125" bestFit="1" customWidth="1"/>
    <col min="3" max="3" width="9.33203125" bestFit="1" customWidth="1"/>
    <col min="4" max="4" width="12" customWidth="1"/>
    <col min="5" max="5" width="11.44140625" customWidth="1"/>
    <col min="8" max="8" width="13.109375" hidden="1" customWidth="1"/>
    <col min="9" max="10" width="0" hidden="1" customWidth="1"/>
    <col min="12" max="12" width="12" bestFit="1" customWidth="1"/>
  </cols>
  <sheetData>
    <row r="1" spans="1:12" ht="23.4" x14ac:dyDescent="0.3">
      <c r="A1" s="1" t="s">
        <v>4421</v>
      </c>
      <c r="B1" s="1"/>
      <c r="C1" s="1"/>
      <c r="D1" s="1"/>
      <c r="E1" s="1"/>
      <c r="F1" s="1"/>
      <c r="G1" s="1"/>
      <c r="H1" s="1"/>
      <c r="I1" s="1"/>
      <c r="J1" s="2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2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72" t="s">
        <v>8</v>
      </c>
      <c r="G4" s="923"/>
      <c r="H4" s="7" t="s">
        <v>9</v>
      </c>
      <c r="I4" s="6" t="s">
        <v>5</v>
      </c>
      <c r="J4" s="6" t="s">
        <v>10</v>
      </c>
      <c r="K4" s="916"/>
      <c r="L4" s="1010"/>
    </row>
    <row r="5" spans="1:12" ht="15" thickBot="1" x14ac:dyDescent="0.35">
      <c r="A5" s="190">
        <v>105</v>
      </c>
      <c r="B5" s="161">
        <v>4289.25</v>
      </c>
      <c r="C5" s="161" t="s">
        <v>4422</v>
      </c>
      <c r="D5" s="8">
        <f t="shared" ref="D5:E6" si="0">+I5</f>
        <v>105</v>
      </c>
      <c r="E5" s="8">
        <f t="shared" si="0"/>
        <v>4147.7</v>
      </c>
      <c r="F5" s="8">
        <v>1543</v>
      </c>
      <c r="G5" s="8">
        <v>15431</v>
      </c>
      <c r="H5" s="14"/>
      <c r="I5" s="45">
        <v>105</v>
      </c>
      <c r="J5" s="46">
        <v>4147.7</v>
      </c>
      <c r="K5" s="120">
        <f t="shared" ref="K5" si="1">+A5-D5</f>
        <v>0</v>
      </c>
      <c r="L5" s="31">
        <f t="shared" ref="L5" si="2">((+B5/A5)-(E5/D5))/(B5/A5)</f>
        <v>3.3001107419712121E-2</v>
      </c>
    </row>
    <row r="6" spans="1:12" ht="15" thickBot="1" x14ac:dyDescent="0.35">
      <c r="A6" s="207">
        <v>388</v>
      </c>
      <c r="B6" s="186">
        <v>17784.5</v>
      </c>
      <c r="C6" s="161" t="s">
        <v>4423</v>
      </c>
      <c r="D6" s="45">
        <f t="shared" si="0"/>
        <v>388</v>
      </c>
      <c r="E6" s="45">
        <f t="shared" si="0"/>
        <v>17316.900000000001</v>
      </c>
      <c r="F6" s="45">
        <v>4001</v>
      </c>
      <c r="G6" s="45">
        <v>40011</v>
      </c>
      <c r="H6" s="14"/>
      <c r="I6" s="45">
        <v>388</v>
      </c>
      <c r="J6" s="46">
        <v>17316.900000000001</v>
      </c>
      <c r="K6" s="120">
        <f t="shared" ref="K6:K7" si="3">+A6-D6</f>
        <v>0</v>
      </c>
      <c r="L6" s="31">
        <f t="shared" ref="L6:L7" si="4">((+B6/A6)-(E6/D6))/(B6/A6)</f>
        <v>2.6292558126458379E-2</v>
      </c>
    </row>
    <row r="7" spans="1:12" ht="15" thickBot="1" x14ac:dyDescent="0.35">
      <c r="A7" s="178">
        <v>232</v>
      </c>
      <c r="B7" s="45">
        <v>10081</v>
      </c>
      <c r="C7" s="8" t="s">
        <v>4424</v>
      </c>
      <c r="D7" s="45">
        <f>+I7</f>
        <v>232</v>
      </c>
      <c r="E7" s="45">
        <f>+J7</f>
        <v>9602</v>
      </c>
      <c r="F7" s="45">
        <v>4003</v>
      </c>
      <c r="G7" s="45">
        <v>40031</v>
      </c>
      <c r="H7" s="14"/>
      <c r="I7" s="45">
        <v>232</v>
      </c>
      <c r="J7" s="46">
        <v>9602</v>
      </c>
      <c r="K7" s="120">
        <f t="shared" si="3"/>
        <v>0</v>
      </c>
      <c r="L7" s="31">
        <f t="shared" si="4"/>
        <v>4.751512746751315E-2</v>
      </c>
    </row>
    <row r="8" spans="1:12" ht="15" thickBot="1" x14ac:dyDescent="0.35">
      <c r="A8" s="190">
        <v>109</v>
      </c>
      <c r="B8" s="161">
        <v>4627.72</v>
      </c>
      <c r="C8" s="161" t="s">
        <v>7167</v>
      </c>
      <c r="D8" s="8">
        <f>+I8</f>
        <v>109</v>
      </c>
      <c r="E8" s="8">
        <f>+J8</f>
        <v>4545</v>
      </c>
      <c r="F8" s="8" t="s">
        <v>7168</v>
      </c>
      <c r="G8" s="8">
        <v>40071</v>
      </c>
      <c r="H8" s="14"/>
      <c r="I8" s="45">
        <v>109</v>
      </c>
      <c r="J8" s="46">
        <v>4545</v>
      </c>
      <c r="K8" s="120">
        <f t="shared" ref="K8" si="5">+A8-D8</f>
        <v>0</v>
      </c>
      <c r="L8" s="31">
        <f t="shared" ref="L8" si="6">((+B8/A8)-(E8/D8))/(B8/A8)</f>
        <v>1.78748930358795E-2</v>
      </c>
    </row>
    <row r="10" spans="1:12" x14ac:dyDescent="0.3">
      <c r="A10" s="155">
        <f>SUM(A5:A9)</f>
        <v>834</v>
      </c>
      <c r="B10" s="155">
        <f t="shared" ref="B10:E10" si="7">SUM(B5:B9)</f>
        <v>36782.47</v>
      </c>
      <c r="C10" s="155"/>
      <c r="D10" s="155">
        <f t="shared" si="7"/>
        <v>834</v>
      </c>
      <c r="E10" s="155">
        <f t="shared" si="7"/>
        <v>35611.600000000006</v>
      </c>
    </row>
  </sheetData>
  <mergeCells count="5">
    <mergeCell ref="A3:C3"/>
    <mergeCell ref="D3:E3"/>
    <mergeCell ref="G3:G4"/>
    <mergeCell ref="K3:K4"/>
    <mergeCell ref="L3:L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E13A9-E30F-44AB-8827-980D8A83CE3A}">
  <dimension ref="A1:L9"/>
  <sheetViews>
    <sheetView zoomScale="80" zoomScaleNormal="80" workbookViewId="0">
      <selection activeCell="G30" sqref="G30"/>
    </sheetView>
  </sheetViews>
  <sheetFormatPr baseColWidth="10" defaultColWidth="8.88671875" defaultRowHeight="14.4" x14ac:dyDescent="0.3"/>
  <cols>
    <col min="1" max="1" width="9.33203125" bestFit="1" customWidth="1"/>
    <col min="2" max="2" width="11.33203125" bestFit="1" customWidth="1"/>
    <col min="4" max="4" width="12.44140625" customWidth="1"/>
    <col min="5" max="5" width="11.109375" customWidth="1"/>
    <col min="6" max="6" width="8.88671875" bestFit="1" customWidth="1"/>
    <col min="7" max="7" width="12.33203125" bestFit="1" customWidth="1"/>
    <col min="8" max="8" width="13.109375" bestFit="1" customWidth="1"/>
    <col min="12" max="12" width="12" bestFit="1" customWidth="1"/>
  </cols>
  <sheetData>
    <row r="1" spans="1:12" ht="23.4" x14ac:dyDescent="0.3">
      <c r="A1" s="1" t="s">
        <v>4425</v>
      </c>
      <c r="B1" s="1"/>
      <c r="C1" s="1"/>
      <c r="D1" s="1"/>
      <c r="E1" s="1"/>
      <c r="F1" s="1"/>
      <c r="G1" s="1"/>
      <c r="H1" s="1"/>
      <c r="I1" s="1"/>
      <c r="J1" s="2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2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72" t="s">
        <v>8</v>
      </c>
      <c r="G4" s="923"/>
      <c r="H4" s="7" t="s">
        <v>9</v>
      </c>
      <c r="I4" s="6" t="s">
        <v>5</v>
      </c>
      <c r="J4" s="6" t="s">
        <v>10</v>
      </c>
      <c r="K4" s="916"/>
      <c r="L4" s="1010"/>
    </row>
    <row r="5" spans="1:12" ht="15" thickBot="1" x14ac:dyDescent="0.35">
      <c r="A5" s="175">
        <v>200</v>
      </c>
      <c r="B5" s="8">
        <v>6735.25</v>
      </c>
      <c r="C5" s="8" t="s">
        <v>3448</v>
      </c>
      <c r="D5" s="8">
        <f t="shared" ref="D5:E5" si="0">+I5</f>
        <v>200</v>
      </c>
      <c r="E5" s="8">
        <f t="shared" si="0"/>
        <v>6351.5</v>
      </c>
      <c r="F5" s="8" t="s">
        <v>3449</v>
      </c>
      <c r="G5" s="8">
        <v>97301</v>
      </c>
      <c r="H5" s="14"/>
      <c r="I5" s="45">
        <v>200</v>
      </c>
      <c r="J5" s="45">
        <v>6351.5</v>
      </c>
      <c r="K5" s="120">
        <f t="shared" ref="K5:K6" si="1">+A5-D5</f>
        <v>0</v>
      </c>
      <c r="L5" s="31">
        <f t="shared" ref="L5:L6" si="2">((+B5/A5)-(E5/D5))/(B5/A5)</f>
        <v>5.6976355740321526E-2</v>
      </c>
    </row>
    <row r="6" spans="1:12" ht="15" thickBot="1" x14ac:dyDescent="0.35">
      <c r="A6" s="178">
        <v>100</v>
      </c>
      <c r="B6" s="45">
        <v>4399.7</v>
      </c>
      <c r="C6" s="8" t="s">
        <v>4426</v>
      </c>
      <c r="D6" s="45">
        <f>+I6</f>
        <v>101</v>
      </c>
      <c r="E6" s="45">
        <f>+J6</f>
        <v>4438.5</v>
      </c>
      <c r="F6" s="45" t="s">
        <v>5151</v>
      </c>
      <c r="G6" s="45">
        <v>40021</v>
      </c>
      <c r="H6" s="14"/>
      <c r="I6" s="45">
        <v>101</v>
      </c>
      <c r="J6" s="45">
        <v>4438.5</v>
      </c>
      <c r="K6" s="120">
        <f t="shared" si="1"/>
        <v>-1</v>
      </c>
      <c r="L6" s="31">
        <f t="shared" si="2"/>
        <v>1.1695216843092674E-3</v>
      </c>
    </row>
    <row r="7" spans="1:12" ht="15" thickBot="1" x14ac:dyDescent="0.35">
      <c r="A7" s="178">
        <v>220</v>
      </c>
      <c r="B7" s="45">
        <v>8545.7000000000007</v>
      </c>
      <c r="C7" s="8" t="s">
        <v>5150</v>
      </c>
      <c r="D7" s="45">
        <f>+I7</f>
        <v>220</v>
      </c>
      <c r="E7" s="45">
        <f>+J7</f>
        <v>8228.7000000000007</v>
      </c>
      <c r="F7" s="8" t="s">
        <v>5152</v>
      </c>
      <c r="G7" s="8">
        <v>40021</v>
      </c>
      <c r="H7" s="14"/>
      <c r="I7" s="45">
        <v>220</v>
      </c>
      <c r="J7" s="45">
        <v>8228.7000000000007</v>
      </c>
      <c r="K7" s="120">
        <f t="shared" ref="K7" si="3">+A7-D7</f>
        <v>0</v>
      </c>
      <c r="L7" s="31">
        <f t="shared" ref="L7" si="4">((+B7/A7)-(E7/D7))/(B7/A7)</f>
        <v>3.7094679195384908E-2</v>
      </c>
    </row>
    <row r="9" spans="1:12" x14ac:dyDescent="0.3">
      <c r="A9" s="155">
        <f>SUM(A5:A8)</f>
        <v>520</v>
      </c>
      <c r="B9" s="155">
        <f t="shared" ref="B9:E9" si="5">SUM(B5:B8)</f>
        <v>19680.650000000001</v>
      </c>
      <c r="C9" s="155"/>
      <c r="D9" s="155">
        <f t="shared" si="5"/>
        <v>521</v>
      </c>
      <c r="E9" s="155">
        <f t="shared" si="5"/>
        <v>19018.7</v>
      </c>
    </row>
  </sheetData>
  <mergeCells count="5">
    <mergeCell ref="A3:C3"/>
    <mergeCell ref="D3:E3"/>
    <mergeCell ref="G3:G4"/>
    <mergeCell ref="K3:K4"/>
    <mergeCell ref="L3:L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3232-9767-414C-A7C6-85306FB2CB98}">
  <dimension ref="A1:L20"/>
  <sheetViews>
    <sheetView zoomScale="90" zoomScaleNormal="90" workbookViewId="0">
      <selection activeCell="K27" sqref="K27"/>
    </sheetView>
  </sheetViews>
  <sheetFormatPr baseColWidth="10" defaultColWidth="8.88671875" defaultRowHeight="14.4" x14ac:dyDescent="0.3"/>
  <cols>
    <col min="2" max="2" width="11.109375" bestFit="1" customWidth="1"/>
    <col min="3" max="3" width="11" customWidth="1"/>
    <col min="4" max="4" width="12" customWidth="1"/>
    <col min="5" max="5" width="9.5546875" customWidth="1"/>
    <col min="6" max="6" width="10.33203125" customWidth="1"/>
    <col min="7" max="7" width="11.109375" customWidth="1"/>
    <col min="8" max="8" width="13.109375" hidden="1" customWidth="1"/>
    <col min="9" max="10" width="0" hidden="1" customWidth="1"/>
    <col min="11" max="11" width="13.88671875" bestFit="1" customWidth="1"/>
    <col min="12" max="12" width="11.33203125" bestFit="1" customWidth="1"/>
  </cols>
  <sheetData>
    <row r="1" spans="1:12" ht="23.4" x14ac:dyDescent="0.3">
      <c r="A1" s="1" t="s">
        <v>6419</v>
      </c>
      <c r="B1" s="1"/>
      <c r="C1" s="1"/>
      <c r="D1" s="1"/>
      <c r="E1" s="1"/>
      <c r="F1" s="1"/>
      <c r="G1" s="1"/>
      <c r="H1" s="1"/>
      <c r="I1" s="1"/>
      <c r="J1" s="618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618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608" t="s">
        <v>8</v>
      </c>
      <c r="G4" s="923"/>
      <c r="H4" s="7" t="s">
        <v>9</v>
      </c>
      <c r="I4" s="619" t="s">
        <v>5</v>
      </c>
      <c r="J4" s="619" t="s">
        <v>10</v>
      </c>
      <c r="K4" s="916"/>
      <c r="L4" s="1010"/>
    </row>
    <row r="5" spans="1:12" ht="15" thickBot="1" x14ac:dyDescent="0.35">
      <c r="A5" s="175">
        <v>220</v>
      </c>
      <c r="B5" s="8">
        <v>9547.7000000000007</v>
      </c>
      <c r="C5" s="8" t="s">
        <v>6421</v>
      </c>
      <c r="D5" s="8">
        <f t="shared" ref="D5:E5" si="0">+I5</f>
        <v>220</v>
      </c>
      <c r="E5" s="8">
        <f t="shared" si="0"/>
        <v>9235.2000000000007</v>
      </c>
      <c r="F5" s="8" t="s">
        <v>6420</v>
      </c>
      <c r="G5" s="8">
        <v>401031</v>
      </c>
      <c r="H5" s="14"/>
      <c r="I5" s="45">
        <v>220</v>
      </c>
      <c r="J5" s="45">
        <v>9235.2000000000007</v>
      </c>
      <c r="K5" s="120">
        <f t="shared" ref="K5" si="1">+A5-D5</f>
        <v>0</v>
      </c>
      <c r="L5" s="31">
        <f t="shared" ref="L5" si="2">((+B5/A5)-(E5/D5))/(B5/A5)</f>
        <v>3.2730395802130219E-2</v>
      </c>
    </row>
    <row r="6" spans="1:12" ht="15" thickBot="1" x14ac:dyDescent="0.35">
      <c r="A6" s="175">
        <v>250</v>
      </c>
      <c r="B6" s="8">
        <v>9894.4</v>
      </c>
      <c r="C6" s="8" t="s">
        <v>6457</v>
      </c>
      <c r="D6" s="8">
        <f t="shared" ref="D6" si="3">+I6</f>
        <v>251</v>
      </c>
      <c r="E6" s="8">
        <f t="shared" ref="E6" si="4">+J6</f>
        <v>9627.7999999999993</v>
      </c>
      <c r="F6" s="8" t="s">
        <v>6458</v>
      </c>
      <c r="G6" s="8">
        <v>401151</v>
      </c>
      <c r="H6" s="14"/>
      <c r="I6" s="45">
        <v>251</v>
      </c>
      <c r="J6" s="45">
        <v>9627.7999999999993</v>
      </c>
      <c r="K6" s="120">
        <f t="shared" ref="K6" si="5">+A6-D6</f>
        <v>-1</v>
      </c>
      <c r="L6" s="31">
        <f t="shared" ref="L6" si="6">((+B6/A6)-(E6/D6))/(B6/A6)</f>
        <v>3.0821249284878512E-2</v>
      </c>
    </row>
    <row r="7" spans="1:12" ht="15" thickBot="1" x14ac:dyDescent="0.35">
      <c r="A7" s="175">
        <v>250</v>
      </c>
      <c r="B7" s="733">
        <v>9803.7000000000007</v>
      </c>
      <c r="C7" s="8" t="s">
        <v>6927</v>
      </c>
      <c r="D7" s="8">
        <f>+I7</f>
        <v>250</v>
      </c>
      <c r="E7" s="8">
        <f>+J7</f>
        <v>9513.2000000000007</v>
      </c>
      <c r="F7" s="8" t="s">
        <v>6928</v>
      </c>
      <c r="G7" s="8">
        <v>401271</v>
      </c>
      <c r="H7" s="14"/>
      <c r="I7" s="45">
        <v>250</v>
      </c>
      <c r="J7" s="45">
        <v>9513.2000000000007</v>
      </c>
      <c r="K7" s="120">
        <f t="shared" ref="K7:K8" si="7">+A7-D7</f>
        <v>0</v>
      </c>
      <c r="L7" s="31">
        <f t="shared" ref="L7" si="8">((+B7/A7)-(E7/D7))/(B7/A7)</f>
        <v>2.9631669675734645E-2</v>
      </c>
    </row>
    <row r="8" spans="1:12" x14ac:dyDescent="0.3">
      <c r="A8" s="871">
        <v>286</v>
      </c>
      <c r="B8" s="1115">
        <v>11461.14</v>
      </c>
      <c r="C8" s="873" t="s">
        <v>7098</v>
      </c>
      <c r="D8" s="873">
        <f>+I8+I9+I10</f>
        <v>283</v>
      </c>
      <c r="E8" s="873">
        <f>+J8+J9+J10</f>
        <v>10957.9</v>
      </c>
      <c r="F8" s="734" t="s">
        <v>7099</v>
      </c>
      <c r="G8" s="734">
        <v>401401</v>
      </c>
      <c r="H8" s="40"/>
      <c r="I8" s="748">
        <v>140</v>
      </c>
      <c r="J8" s="748">
        <v>5373.9</v>
      </c>
      <c r="K8" s="1081">
        <f t="shared" si="7"/>
        <v>3</v>
      </c>
      <c r="L8" s="879">
        <f>((+B8/A8)-(E8/D8))/(B8/A8)</f>
        <v>3.3773125177867076E-2</v>
      </c>
    </row>
    <row r="9" spans="1:12" x14ac:dyDescent="0.3">
      <c r="A9" s="875"/>
      <c r="B9" s="1134"/>
      <c r="C9" s="881"/>
      <c r="D9" s="881"/>
      <c r="E9" s="881"/>
      <c r="F9" s="735" t="s">
        <v>7099</v>
      </c>
      <c r="G9" s="735">
        <v>401401</v>
      </c>
      <c r="I9" s="50">
        <v>121</v>
      </c>
      <c r="J9" s="50">
        <v>4859.3999999999996</v>
      </c>
      <c r="K9" s="1083"/>
      <c r="L9" s="885"/>
    </row>
    <row r="10" spans="1:12" ht="15" thickBot="1" x14ac:dyDescent="0.35">
      <c r="A10" s="872"/>
      <c r="B10" s="1116"/>
      <c r="C10" s="874"/>
      <c r="D10" s="874"/>
      <c r="E10" s="874"/>
      <c r="F10" s="736" t="s">
        <v>7099</v>
      </c>
      <c r="G10" s="736">
        <v>401401</v>
      </c>
      <c r="H10" s="754"/>
      <c r="I10" s="749">
        <v>22</v>
      </c>
      <c r="J10" s="749">
        <v>724.6</v>
      </c>
      <c r="K10" s="1082"/>
      <c r="L10" s="880"/>
    </row>
    <row r="11" spans="1:12" x14ac:dyDescent="0.3">
      <c r="A11" s="871">
        <v>340</v>
      </c>
      <c r="B11" s="1115">
        <v>15362.5</v>
      </c>
      <c r="C11" s="873" t="s">
        <v>7388</v>
      </c>
      <c r="D11" s="873">
        <f>+I11+I12</f>
        <v>340</v>
      </c>
      <c r="E11" s="873">
        <f>+J11+J12</f>
        <v>15380.8</v>
      </c>
      <c r="F11" s="873" t="s">
        <v>7389</v>
      </c>
      <c r="G11" s="873">
        <v>401501</v>
      </c>
      <c r="H11" s="40"/>
      <c r="I11" s="838">
        <v>100</v>
      </c>
      <c r="J11" s="864">
        <v>4347.2</v>
      </c>
      <c r="K11" s="1081">
        <f t="shared" ref="K11" si="9">+A11-D11</f>
        <v>0</v>
      </c>
      <c r="L11" s="879">
        <f t="shared" ref="L11" si="10">((+B11/A11)-(E11/D11))/(B11/A11)</f>
        <v>-1.1912123677785419E-3</v>
      </c>
    </row>
    <row r="12" spans="1:12" ht="15" thickBot="1" x14ac:dyDescent="0.35">
      <c r="A12" s="872"/>
      <c r="B12" s="1116"/>
      <c r="C12" s="874"/>
      <c r="D12" s="874"/>
      <c r="E12" s="874"/>
      <c r="F12" s="874"/>
      <c r="G12" s="874"/>
      <c r="H12" s="842"/>
      <c r="I12" s="839">
        <v>240</v>
      </c>
      <c r="J12" s="865">
        <v>11033.6</v>
      </c>
      <c r="K12" s="1082"/>
      <c r="L12" s="880"/>
    </row>
    <row r="13" spans="1:12" ht="15" thickBot="1" x14ac:dyDescent="0.35">
      <c r="A13" s="832">
        <v>250</v>
      </c>
      <c r="B13" s="843">
        <v>8011.4</v>
      </c>
      <c r="C13" s="834" t="s">
        <v>7390</v>
      </c>
      <c r="D13" s="8">
        <f t="shared" ref="D13:E18" si="11">+I13</f>
        <v>250</v>
      </c>
      <c r="E13" s="8">
        <f t="shared" si="11"/>
        <v>7790.5</v>
      </c>
      <c r="F13" s="834" t="s">
        <v>7391</v>
      </c>
      <c r="G13" s="834">
        <v>401581</v>
      </c>
      <c r="H13" s="842"/>
      <c r="I13" s="839">
        <v>250</v>
      </c>
      <c r="J13" s="866">
        <v>7790.5</v>
      </c>
      <c r="K13" s="120">
        <f t="shared" ref="K13:K18" si="12">+A13-D13</f>
        <v>0</v>
      </c>
      <c r="L13" s="31">
        <f t="shared" ref="L13:L18" si="13">((+B13/A13)-(E13/D13))/(B13/A13)</f>
        <v>2.7573208178345895E-2</v>
      </c>
    </row>
    <row r="14" spans="1:12" ht="15" thickBot="1" x14ac:dyDescent="0.35">
      <c r="A14" s="175">
        <v>250</v>
      </c>
      <c r="B14" s="733">
        <v>9889.2999999999993</v>
      </c>
      <c r="C14" s="8" t="s">
        <v>7392</v>
      </c>
      <c r="D14" s="8">
        <f t="shared" si="11"/>
        <v>240</v>
      </c>
      <c r="E14" s="8">
        <f t="shared" si="11"/>
        <v>9333</v>
      </c>
      <c r="F14" s="8" t="s">
        <v>7393</v>
      </c>
      <c r="G14" s="8">
        <v>401641</v>
      </c>
      <c r="H14" s="14"/>
      <c r="I14" s="45">
        <v>240</v>
      </c>
      <c r="J14" s="867">
        <v>9333</v>
      </c>
      <c r="K14" s="120">
        <f t="shared" si="12"/>
        <v>10</v>
      </c>
      <c r="L14" s="31">
        <f t="shared" si="13"/>
        <v>1.6929914149636269E-2</v>
      </c>
    </row>
    <row r="15" spans="1:12" ht="15" thickBot="1" x14ac:dyDescent="0.35">
      <c r="A15" s="175">
        <v>77</v>
      </c>
      <c r="B15" s="733">
        <v>2725.9</v>
      </c>
      <c r="C15" s="8" t="s">
        <v>7394</v>
      </c>
      <c r="D15" s="8">
        <f t="shared" si="11"/>
        <v>77</v>
      </c>
      <c r="E15" s="8">
        <f t="shared" si="11"/>
        <v>2664.8</v>
      </c>
      <c r="F15" s="8" t="s">
        <v>7395</v>
      </c>
      <c r="G15" s="8">
        <v>401681</v>
      </c>
      <c r="H15" s="14"/>
      <c r="I15" s="45">
        <v>77</v>
      </c>
      <c r="J15" s="867">
        <v>2664.8</v>
      </c>
      <c r="K15" s="120">
        <f t="shared" si="12"/>
        <v>0</v>
      </c>
      <c r="L15" s="31">
        <f t="shared" si="13"/>
        <v>2.2414615356395998E-2</v>
      </c>
    </row>
    <row r="16" spans="1:12" ht="15" thickBot="1" x14ac:dyDescent="0.35">
      <c r="A16" s="175">
        <v>585</v>
      </c>
      <c r="B16" s="733">
        <v>22833.4</v>
      </c>
      <c r="C16" s="8" t="s">
        <v>7396</v>
      </c>
      <c r="D16" s="8">
        <f t="shared" si="11"/>
        <v>585</v>
      </c>
      <c r="E16" s="8">
        <f t="shared" si="11"/>
        <v>22649.8</v>
      </c>
      <c r="F16" s="8" t="s">
        <v>7397</v>
      </c>
      <c r="G16" s="8">
        <v>401691</v>
      </c>
      <c r="H16" s="14"/>
      <c r="I16" s="45">
        <v>585</v>
      </c>
      <c r="J16" s="867">
        <v>22649.8</v>
      </c>
      <c r="K16" s="120">
        <f t="shared" si="12"/>
        <v>0</v>
      </c>
      <c r="L16" s="31">
        <f t="shared" si="13"/>
        <v>8.0408524354674219E-3</v>
      </c>
    </row>
    <row r="17" spans="1:12" ht="15" thickBot="1" x14ac:dyDescent="0.35">
      <c r="A17" s="175">
        <v>250</v>
      </c>
      <c r="B17" s="733">
        <v>9864.1</v>
      </c>
      <c r="C17" s="8" t="s">
        <v>7398</v>
      </c>
      <c r="D17" s="8">
        <f t="shared" si="11"/>
        <v>250</v>
      </c>
      <c r="E17" s="8">
        <f t="shared" si="11"/>
        <v>9671.9</v>
      </c>
      <c r="F17" s="8" t="s">
        <v>7399</v>
      </c>
      <c r="G17" s="8">
        <v>401771</v>
      </c>
      <c r="H17" s="14"/>
      <c r="I17" s="45">
        <v>250</v>
      </c>
      <c r="J17" s="867">
        <v>9671.9</v>
      </c>
      <c r="K17" s="120">
        <f t="shared" si="12"/>
        <v>0</v>
      </c>
      <c r="L17" s="31">
        <f t="shared" si="13"/>
        <v>1.948479841039745E-2</v>
      </c>
    </row>
    <row r="18" spans="1:12" ht="15" thickBot="1" x14ac:dyDescent="0.35">
      <c r="A18" s="175">
        <v>435</v>
      </c>
      <c r="B18" s="733">
        <v>18178.25</v>
      </c>
      <c r="C18" s="8" t="s">
        <v>7400</v>
      </c>
      <c r="D18" s="8">
        <f t="shared" si="11"/>
        <v>323</v>
      </c>
      <c r="E18" s="8">
        <f t="shared" si="11"/>
        <v>13588.5</v>
      </c>
      <c r="F18" s="8" t="s">
        <v>7401</v>
      </c>
      <c r="G18" s="8">
        <v>401791</v>
      </c>
      <c r="H18" s="14"/>
      <c r="I18" s="45">
        <v>323</v>
      </c>
      <c r="J18" s="867">
        <v>13588.5</v>
      </c>
      <c r="K18" s="120">
        <f t="shared" si="12"/>
        <v>112</v>
      </c>
      <c r="L18" s="31">
        <f t="shared" si="13"/>
        <v>-6.7141698230104869E-3</v>
      </c>
    </row>
    <row r="19" spans="1:12" x14ac:dyDescent="0.3">
      <c r="A19" s="741"/>
      <c r="B19" s="784"/>
      <c r="C19" s="741"/>
      <c r="D19" s="741"/>
      <c r="E19" s="741"/>
      <c r="F19" s="741"/>
      <c r="G19" s="741"/>
      <c r="H19" s="363"/>
      <c r="I19" s="364"/>
      <c r="J19" s="364"/>
      <c r="K19" s="440"/>
      <c r="L19" s="369"/>
    </row>
    <row r="20" spans="1:12" x14ac:dyDescent="0.3">
      <c r="A20" s="196">
        <f>SUM(A5:A6)</f>
        <v>470</v>
      </c>
      <c r="B20" s="196">
        <f>SUM(B5:B6)</f>
        <v>19442.099999999999</v>
      </c>
      <c r="D20" s="196">
        <f>SUM(D5:D6)</f>
        <v>471</v>
      </c>
      <c r="E20" s="196">
        <f>SUM(E5:E6)</f>
        <v>18863</v>
      </c>
    </row>
  </sheetData>
  <mergeCells count="21">
    <mergeCell ref="A3:C3"/>
    <mergeCell ref="D3:E3"/>
    <mergeCell ref="G3:G4"/>
    <mergeCell ref="K3:K4"/>
    <mergeCell ref="L3:L4"/>
    <mergeCell ref="K8:K10"/>
    <mergeCell ref="L8:L10"/>
    <mergeCell ref="A8:A10"/>
    <mergeCell ref="B8:B10"/>
    <mergeCell ref="C8:C10"/>
    <mergeCell ref="D8:D10"/>
    <mergeCell ref="E8:E10"/>
    <mergeCell ref="F11:F12"/>
    <mergeCell ref="G11:G12"/>
    <mergeCell ref="K11:K12"/>
    <mergeCell ref="L11:L12"/>
    <mergeCell ref="A11:A12"/>
    <mergeCell ref="B11:B12"/>
    <mergeCell ref="C11:C12"/>
    <mergeCell ref="D11:D12"/>
    <mergeCell ref="E11:E12"/>
  </mergeCells>
  <phoneticPr fontId="15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24685C-C0E1-417E-BC08-43ED1FF45BA8}">
  <dimension ref="A1:L29"/>
  <sheetViews>
    <sheetView zoomScale="80" zoomScaleNormal="80" workbookViewId="0">
      <selection activeCell="E32" sqref="E32"/>
    </sheetView>
  </sheetViews>
  <sheetFormatPr baseColWidth="10" defaultColWidth="8.88671875" defaultRowHeight="14.4" x14ac:dyDescent="0.3"/>
  <cols>
    <col min="2" max="2" width="12.33203125" bestFit="1" customWidth="1"/>
    <col min="3" max="3" width="12" customWidth="1"/>
    <col min="4" max="4" width="12.5546875" customWidth="1"/>
    <col min="5" max="5" width="12.33203125" bestFit="1" customWidth="1"/>
    <col min="6" max="7" width="10.33203125" customWidth="1"/>
    <col min="8" max="8" width="13.109375" hidden="1" customWidth="1"/>
    <col min="9" max="10" width="0" hidden="1" customWidth="1"/>
    <col min="11" max="11" width="10.33203125" customWidth="1"/>
    <col min="12" max="12" width="12.5546875" customWidth="1"/>
  </cols>
  <sheetData>
    <row r="1" spans="1:12" ht="23.4" x14ac:dyDescent="0.3">
      <c r="A1" s="1" t="s">
        <v>6426</v>
      </c>
      <c r="B1" s="1"/>
      <c r="C1" s="1"/>
      <c r="D1" s="1"/>
      <c r="E1" s="1"/>
      <c r="F1" s="1"/>
      <c r="G1" s="1"/>
      <c r="H1" s="1"/>
      <c r="I1" s="1"/>
      <c r="J1" s="618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618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608" t="s">
        <v>8</v>
      </c>
      <c r="G4" s="923"/>
      <c r="H4" s="7" t="s">
        <v>9</v>
      </c>
      <c r="I4" s="619" t="s">
        <v>5</v>
      </c>
      <c r="J4" s="619" t="s">
        <v>10</v>
      </c>
      <c r="K4" s="916"/>
      <c r="L4" s="1010"/>
    </row>
    <row r="5" spans="1:12" ht="15" thickBot="1" x14ac:dyDescent="0.35">
      <c r="A5" s="175">
        <v>218</v>
      </c>
      <c r="B5" s="8">
        <v>8374.2000000000007</v>
      </c>
      <c r="C5" s="8" t="s">
        <v>6422</v>
      </c>
      <c r="D5" s="8">
        <f t="shared" ref="D5:E5" si="0">+I5</f>
        <v>218</v>
      </c>
      <c r="E5" s="8">
        <f t="shared" si="0"/>
        <v>8252.4</v>
      </c>
      <c r="F5" s="8" t="s">
        <v>6424</v>
      </c>
      <c r="G5" s="8">
        <v>401011</v>
      </c>
      <c r="H5" s="14"/>
      <c r="I5" s="45">
        <v>218</v>
      </c>
      <c r="J5" s="45">
        <v>8252.4</v>
      </c>
      <c r="K5" s="120">
        <f t="shared" ref="K5" si="1">+A5-D5</f>
        <v>0</v>
      </c>
      <c r="L5" s="31">
        <f t="shared" ref="L5" si="2">((+B5/A5)-(E5/D5))/(B5/A5)</f>
        <v>1.4544672923980935E-2</v>
      </c>
    </row>
    <row r="6" spans="1:12" ht="15" thickBot="1" x14ac:dyDescent="0.35">
      <c r="A6" s="178">
        <v>145</v>
      </c>
      <c r="B6" s="45">
        <v>5157</v>
      </c>
      <c r="C6" s="45" t="s">
        <v>6423</v>
      </c>
      <c r="D6" s="45">
        <f>+I6</f>
        <v>145</v>
      </c>
      <c r="E6" s="45">
        <f>+J6</f>
        <v>5222</v>
      </c>
      <c r="F6" s="8" t="s">
        <v>6425</v>
      </c>
      <c r="G6" s="8">
        <v>401021</v>
      </c>
      <c r="H6" s="14"/>
      <c r="I6" s="45">
        <v>145</v>
      </c>
      <c r="J6" s="45">
        <v>5222</v>
      </c>
      <c r="K6" s="120">
        <f t="shared" ref="K6" si="3">+A6-D6</f>
        <v>0</v>
      </c>
      <c r="L6" s="31">
        <f t="shared" ref="L6" si="4">((+B6/A6)-(E6/D6))/(B6/A6)</f>
        <v>-1.2604227263913196E-2</v>
      </c>
    </row>
    <row r="7" spans="1:12" ht="15" thickBot="1" x14ac:dyDescent="0.35">
      <c r="A7" s="178">
        <v>238</v>
      </c>
      <c r="B7" s="45">
        <v>10009.25</v>
      </c>
      <c r="C7" s="45" t="s">
        <v>6456</v>
      </c>
      <c r="D7" s="45">
        <f>+I7</f>
        <v>238</v>
      </c>
      <c r="E7" s="45">
        <f>+J7</f>
        <v>10103.6</v>
      </c>
      <c r="F7" s="8" t="s">
        <v>6459</v>
      </c>
      <c r="G7" s="8">
        <v>401131</v>
      </c>
      <c r="H7" s="14"/>
      <c r="I7" s="45">
        <v>238</v>
      </c>
      <c r="J7" s="45">
        <v>10103.6</v>
      </c>
      <c r="K7" s="120">
        <f t="shared" ref="K7" si="5">+A7-D7</f>
        <v>0</v>
      </c>
      <c r="L7" s="31">
        <f t="shared" ref="L7" si="6">((+B7/A7)-(E7/D7))/(B7/A7)</f>
        <v>-9.4262806903614351E-3</v>
      </c>
    </row>
    <row r="8" spans="1:12" ht="15" thickBot="1" x14ac:dyDescent="0.35">
      <c r="A8" s="175">
        <v>50</v>
      </c>
      <c r="B8" s="733">
        <v>2078.5</v>
      </c>
      <c r="C8" s="8" t="s">
        <v>6929</v>
      </c>
      <c r="D8" s="8">
        <f t="shared" ref="D8:E13" si="7">+I8</f>
        <v>50</v>
      </c>
      <c r="E8" s="8">
        <f t="shared" si="7"/>
        <v>2010.9</v>
      </c>
      <c r="F8" s="8" t="s">
        <v>6930</v>
      </c>
      <c r="G8" s="8">
        <v>401321</v>
      </c>
      <c r="H8" s="14"/>
      <c r="I8" s="45">
        <v>50</v>
      </c>
      <c r="J8" s="45">
        <v>2010.9</v>
      </c>
      <c r="K8" s="120">
        <f t="shared" ref="K8:K11" si="8">+A8-D8</f>
        <v>0</v>
      </c>
      <c r="L8" s="31">
        <f t="shared" ref="L8:L11" si="9">((+B8/A8)-(E8/D8))/(B8/A8)</f>
        <v>3.2523454414240961E-2</v>
      </c>
    </row>
    <row r="9" spans="1:12" ht="15" thickBot="1" x14ac:dyDescent="0.35">
      <c r="A9" s="175">
        <v>218</v>
      </c>
      <c r="B9" s="733">
        <v>8795.75</v>
      </c>
      <c r="C9" s="8" t="s">
        <v>7100</v>
      </c>
      <c r="D9" s="8">
        <f t="shared" si="7"/>
        <v>218</v>
      </c>
      <c r="E9" s="8">
        <f t="shared" si="7"/>
        <v>8767.2000000000007</v>
      </c>
      <c r="F9" s="8" t="s">
        <v>7101</v>
      </c>
      <c r="G9" s="8">
        <v>401331</v>
      </c>
      <c r="H9" s="14"/>
      <c r="I9" s="45">
        <v>218</v>
      </c>
      <c r="J9" s="555">
        <v>8767.2000000000007</v>
      </c>
      <c r="K9" s="120">
        <f t="shared" ref="K9:K10" si="10">+A9-D9</f>
        <v>0</v>
      </c>
      <c r="L9" s="31">
        <f t="shared" ref="L9:L10" si="11">((+B9/A9)-(E9/D9))/(B9/A9)</f>
        <v>3.2458857971178886E-3</v>
      </c>
    </row>
    <row r="10" spans="1:12" ht="15" thickBot="1" x14ac:dyDescent="0.35">
      <c r="A10" s="175">
        <v>62</v>
      </c>
      <c r="B10" s="733">
        <v>2109.1999999999998</v>
      </c>
      <c r="C10" s="8" t="s">
        <v>7102</v>
      </c>
      <c r="D10" s="8">
        <f t="shared" si="7"/>
        <v>62</v>
      </c>
      <c r="E10" s="8">
        <f t="shared" si="7"/>
        <v>2087</v>
      </c>
      <c r="F10" s="8" t="s">
        <v>7103</v>
      </c>
      <c r="G10" s="8">
        <v>401341</v>
      </c>
      <c r="H10" s="14"/>
      <c r="I10" s="45">
        <v>62</v>
      </c>
      <c r="J10" s="555">
        <v>2087</v>
      </c>
      <c r="K10" s="120">
        <f t="shared" si="10"/>
        <v>0</v>
      </c>
      <c r="L10" s="31">
        <f t="shared" si="11"/>
        <v>1.0525317655983139E-2</v>
      </c>
    </row>
    <row r="11" spans="1:12" ht="15" thickBot="1" x14ac:dyDescent="0.35">
      <c r="A11" s="175">
        <v>90</v>
      </c>
      <c r="B11" s="733">
        <v>4184.25</v>
      </c>
      <c r="C11" s="8" t="s">
        <v>6931</v>
      </c>
      <c r="D11" s="8">
        <f t="shared" si="7"/>
        <v>91</v>
      </c>
      <c r="E11" s="8">
        <f t="shared" si="7"/>
        <v>4236.8</v>
      </c>
      <c r="F11" s="8" t="s">
        <v>6932</v>
      </c>
      <c r="G11" s="8">
        <v>401351</v>
      </c>
      <c r="H11" s="14"/>
      <c r="I11" s="45">
        <v>91</v>
      </c>
      <c r="J11" s="45">
        <v>4236.8</v>
      </c>
      <c r="K11" s="120">
        <f t="shared" si="8"/>
        <v>-1</v>
      </c>
      <c r="L11" s="31">
        <f t="shared" si="9"/>
        <v>-1.4319790265301213E-3</v>
      </c>
    </row>
    <row r="12" spans="1:12" ht="15" thickBot="1" x14ac:dyDescent="0.35">
      <c r="A12" s="175">
        <v>158</v>
      </c>
      <c r="B12" s="733">
        <v>7163</v>
      </c>
      <c r="C12" s="8" t="s">
        <v>7104</v>
      </c>
      <c r="D12" s="8">
        <f t="shared" si="7"/>
        <v>158</v>
      </c>
      <c r="E12" s="8">
        <f t="shared" si="7"/>
        <v>7157</v>
      </c>
      <c r="F12" s="8" t="s">
        <v>7105</v>
      </c>
      <c r="G12" s="8">
        <v>401361</v>
      </c>
      <c r="H12" s="14"/>
      <c r="I12" s="45">
        <v>158</v>
      </c>
      <c r="J12" s="555">
        <v>7157</v>
      </c>
      <c r="K12" s="120">
        <f t="shared" ref="K12:K13" si="12">+A12-D12</f>
        <v>0</v>
      </c>
      <c r="L12" s="31">
        <f t="shared" ref="L12:L13" si="13">((+B12/A12)-(E12/D12))/(B12/A12)</f>
        <v>8.3763786123137128E-4</v>
      </c>
    </row>
    <row r="13" spans="1:12" ht="15" thickBot="1" x14ac:dyDescent="0.35">
      <c r="A13" s="175">
        <v>456</v>
      </c>
      <c r="B13" s="733">
        <v>18481</v>
      </c>
      <c r="C13" s="8" t="s">
        <v>7106</v>
      </c>
      <c r="D13" s="8">
        <f t="shared" si="7"/>
        <v>456</v>
      </c>
      <c r="E13" s="8">
        <f t="shared" si="7"/>
        <v>18644.8</v>
      </c>
      <c r="F13" s="8" t="s">
        <v>7107</v>
      </c>
      <c r="G13" s="8">
        <v>401471</v>
      </c>
      <c r="H13" s="14"/>
      <c r="I13" s="45">
        <v>456</v>
      </c>
      <c r="J13" s="555">
        <v>18644.8</v>
      </c>
      <c r="K13" s="120">
        <f t="shared" si="12"/>
        <v>0</v>
      </c>
      <c r="L13" s="31">
        <f t="shared" si="13"/>
        <v>-8.8631567555868783E-3</v>
      </c>
    </row>
    <row r="14" spans="1:12" ht="15" thickBot="1" x14ac:dyDescent="0.35">
      <c r="A14" s="175">
        <v>250</v>
      </c>
      <c r="B14" s="733">
        <v>10032</v>
      </c>
      <c r="C14" s="8" t="s">
        <v>7402</v>
      </c>
      <c r="D14" s="8">
        <v>120</v>
      </c>
      <c r="E14" s="8">
        <v>4653.3</v>
      </c>
      <c r="F14" s="8" t="s">
        <v>7403</v>
      </c>
      <c r="G14" s="8">
        <v>401551</v>
      </c>
      <c r="H14" s="14"/>
      <c r="I14" s="45">
        <f>+D14</f>
        <v>120</v>
      </c>
      <c r="J14" s="45">
        <f>+E14</f>
        <v>4653.3</v>
      </c>
      <c r="K14" s="120">
        <f t="shared" ref="K14:K15" si="14">+A14-D14</f>
        <v>130</v>
      </c>
      <c r="L14" s="31">
        <f t="shared" ref="L14:L15" si="15">((+B14/A14)-(E14/D14))/(B14/A14)</f>
        <v>3.3654804625199278E-2</v>
      </c>
    </row>
    <row r="15" spans="1:12" x14ac:dyDescent="0.3">
      <c r="A15" s="871">
        <v>596</v>
      </c>
      <c r="B15" s="1115">
        <v>23079.200000000001</v>
      </c>
      <c r="C15" s="873" t="s">
        <v>7404</v>
      </c>
      <c r="D15" s="873">
        <f>+I15+I16+I17+I18</f>
        <v>596</v>
      </c>
      <c r="E15" s="873">
        <f>+J15+J16+J17+J18</f>
        <v>22815.4</v>
      </c>
      <c r="F15" s="873" t="s">
        <v>7405</v>
      </c>
      <c r="G15" s="873">
        <v>401571</v>
      </c>
      <c r="H15" s="40"/>
      <c r="I15" s="838">
        <v>137</v>
      </c>
      <c r="J15" s="838">
        <v>4440.3</v>
      </c>
      <c r="K15" s="1081">
        <f t="shared" si="14"/>
        <v>0</v>
      </c>
      <c r="L15" s="879">
        <f t="shared" si="15"/>
        <v>1.1430205553051983E-2</v>
      </c>
    </row>
    <row r="16" spans="1:12" x14ac:dyDescent="0.3">
      <c r="A16" s="875"/>
      <c r="B16" s="1134"/>
      <c r="C16" s="881"/>
      <c r="D16" s="881"/>
      <c r="E16" s="881"/>
      <c r="F16" s="881"/>
      <c r="G16" s="881"/>
      <c r="I16" s="50">
        <v>200</v>
      </c>
      <c r="J16" s="50">
        <v>7880.2</v>
      </c>
      <c r="K16" s="1083"/>
      <c r="L16" s="885"/>
    </row>
    <row r="17" spans="1:12" x14ac:dyDescent="0.3">
      <c r="A17" s="831"/>
      <c r="B17" s="844"/>
      <c r="C17" s="833"/>
      <c r="D17" s="881"/>
      <c r="E17" s="881"/>
      <c r="F17" s="881"/>
      <c r="G17" s="881"/>
      <c r="I17" s="50">
        <v>100</v>
      </c>
      <c r="J17" s="50">
        <v>4097.5</v>
      </c>
      <c r="K17" s="1083"/>
      <c r="L17" s="885"/>
    </row>
    <row r="18" spans="1:12" ht="15" thickBot="1" x14ac:dyDescent="0.35">
      <c r="A18" s="831"/>
      <c r="B18" s="844"/>
      <c r="C18" s="833"/>
      <c r="D18" s="874"/>
      <c r="E18" s="874"/>
      <c r="F18" s="874"/>
      <c r="G18" s="874"/>
      <c r="I18" s="50">
        <v>159</v>
      </c>
      <c r="J18" s="50">
        <v>6397.4</v>
      </c>
      <c r="K18" s="1082"/>
      <c r="L18" s="880"/>
    </row>
    <row r="19" spans="1:12" ht="15" thickBot="1" x14ac:dyDescent="0.35">
      <c r="A19" s="175">
        <v>168</v>
      </c>
      <c r="B19" s="733">
        <v>5946.9</v>
      </c>
      <c r="C19" s="8" t="s">
        <v>7406</v>
      </c>
      <c r="D19" s="8">
        <f t="shared" ref="D19:E23" si="16">+I19</f>
        <v>168</v>
      </c>
      <c r="E19" s="8">
        <f t="shared" si="16"/>
        <v>5667.4</v>
      </c>
      <c r="F19" s="8" t="s">
        <v>7407</v>
      </c>
      <c r="G19" s="8">
        <v>401591</v>
      </c>
      <c r="H19" s="14"/>
      <c r="I19" s="45">
        <v>168</v>
      </c>
      <c r="J19" s="45">
        <v>5667.4</v>
      </c>
      <c r="K19" s="120">
        <f t="shared" ref="K19:K21" si="17">+A19-D19</f>
        <v>0</v>
      </c>
      <c r="L19" s="31">
        <f t="shared" ref="L19:L21" si="18">((+B19/A19)-(E19/D19))/(B19/A19)</f>
        <v>4.6999276934200973E-2</v>
      </c>
    </row>
    <row r="20" spans="1:12" ht="15" thickBot="1" x14ac:dyDescent="0.35">
      <c r="A20" s="175">
        <v>92</v>
      </c>
      <c r="B20" s="733">
        <v>3269.3</v>
      </c>
      <c r="C20" s="8" t="s">
        <v>7408</v>
      </c>
      <c r="D20" s="8">
        <f t="shared" si="16"/>
        <v>93</v>
      </c>
      <c r="E20" s="8">
        <f t="shared" si="16"/>
        <v>3129.4</v>
      </c>
      <c r="F20" s="8" t="s">
        <v>7409</v>
      </c>
      <c r="G20" s="8">
        <v>401661</v>
      </c>
      <c r="H20" s="14"/>
      <c r="I20" s="45">
        <v>93</v>
      </c>
      <c r="J20" s="45">
        <v>3129.4</v>
      </c>
      <c r="K20" s="120">
        <f t="shared" si="17"/>
        <v>-1</v>
      </c>
      <c r="L20" s="31">
        <f t="shared" si="18"/>
        <v>5.3084593755725058E-2</v>
      </c>
    </row>
    <row r="21" spans="1:12" x14ac:dyDescent="0.3">
      <c r="A21" s="871">
        <v>249</v>
      </c>
      <c r="B21" s="873">
        <v>7162.75</v>
      </c>
      <c r="C21" s="873" t="s">
        <v>7410</v>
      </c>
      <c r="D21" s="873">
        <f>+I21+I22</f>
        <v>246</v>
      </c>
      <c r="E21" s="873">
        <f>+J21+J22</f>
        <v>6908.6</v>
      </c>
      <c r="F21" s="873" t="s">
        <v>7411</v>
      </c>
      <c r="G21" s="873">
        <v>401671</v>
      </c>
      <c r="H21" s="873"/>
      <c r="I21" s="838">
        <v>83</v>
      </c>
      <c r="J21" s="838">
        <v>2303.1</v>
      </c>
      <c r="K21" s="1081">
        <f t="shared" si="17"/>
        <v>3</v>
      </c>
      <c r="L21" s="879">
        <f t="shared" si="18"/>
        <v>2.3719769709651242E-2</v>
      </c>
    </row>
    <row r="22" spans="1:12" ht="15" thickBot="1" x14ac:dyDescent="0.35">
      <c r="A22" s="872"/>
      <c r="B22" s="874"/>
      <c r="C22" s="874"/>
      <c r="D22" s="874"/>
      <c r="E22" s="874"/>
      <c r="F22" s="874"/>
      <c r="G22" s="874"/>
      <c r="H22" s="874"/>
      <c r="I22" s="839">
        <v>163</v>
      </c>
      <c r="J22" s="839">
        <v>4605.5</v>
      </c>
      <c r="K22" s="1082"/>
      <c r="L22" s="880"/>
    </row>
    <row r="23" spans="1:12" ht="15" thickBot="1" x14ac:dyDescent="0.35">
      <c r="A23" s="831">
        <v>50</v>
      </c>
      <c r="B23" s="844">
        <v>1686.75</v>
      </c>
      <c r="C23" s="833" t="s">
        <v>7412</v>
      </c>
      <c r="D23" s="833">
        <f t="shared" si="16"/>
        <v>37</v>
      </c>
      <c r="E23" s="833">
        <f t="shared" si="16"/>
        <v>1167.7</v>
      </c>
      <c r="F23" s="833" t="s">
        <v>7413</v>
      </c>
      <c r="G23" s="833">
        <v>401721</v>
      </c>
      <c r="I23" s="50">
        <v>37</v>
      </c>
      <c r="J23" s="50">
        <v>1167.7</v>
      </c>
      <c r="K23" s="120">
        <f t="shared" ref="K23:K24" si="19">+A23-D23</f>
        <v>13</v>
      </c>
      <c r="L23" s="31">
        <f t="shared" ref="L23:L24" si="20">((+B23/A23)-(E23/D23))/(B23/A23)</f>
        <v>6.4489122292590434E-2</v>
      </c>
    </row>
    <row r="24" spans="1:12" x14ac:dyDescent="0.3">
      <c r="A24" s="871">
        <v>690</v>
      </c>
      <c r="B24" s="1115">
        <v>27153.5</v>
      </c>
      <c r="C24" s="873" t="s">
        <v>7414</v>
      </c>
      <c r="D24" s="873">
        <f>+I24+I25</f>
        <v>690</v>
      </c>
      <c r="E24" s="873">
        <f>+J24+J25</f>
        <v>27378</v>
      </c>
      <c r="F24" s="835" t="s">
        <v>7415</v>
      </c>
      <c r="G24" s="835">
        <v>401731</v>
      </c>
      <c r="H24" s="40"/>
      <c r="I24" s="838">
        <v>230</v>
      </c>
      <c r="J24" s="838">
        <v>8704.6</v>
      </c>
      <c r="K24" s="1081">
        <f t="shared" si="19"/>
        <v>0</v>
      </c>
      <c r="L24" s="879">
        <f t="shared" si="20"/>
        <v>-8.2678107794574192E-3</v>
      </c>
    </row>
    <row r="25" spans="1:12" ht="15" thickBot="1" x14ac:dyDescent="0.35">
      <c r="A25" s="872"/>
      <c r="B25" s="1116"/>
      <c r="C25" s="874"/>
      <c r="D25" s="874"/>
      <c r="E25" s="874"/>
      <c r="F25" s="834" t="s">
        <v>7415</v>
      </c>
      <c r="G25" s="834">
        <v>401731</v>
      </c>
      <c r="H25" s="842"/>
      <c r="I25" s="839">
        <v>460</v>
      </c>
      <c r="J25" s="839">
        <v>18673.400000000001</v>
      </c>
      <c r="K25" s="1082"/>
      <c r="L25" s="880"/>
    </row>
    <row r="26" spans="1:12" ht="15" thickBot="1" x14ac:dyDescent="0.35">
      <c r="A26" s="832">
        <v>250</v>
      </c>
      <c r="B26" s="843">
        <v>9987.2000000000007</v>
      </c>
      <c r="C26" s="834" t="s">
        <v>7416</v>
      </c>
      <c r="D26" s="834">
        <f t="shared" ref="D26:E27" si="21">+I26</f>
        <v>250</v>
      </c>
      <c r="E26" s="834">
        <f t="shared" si="21"/>
        <v>9766.2000000000007</v>
      </c>
      <c r="F26" s="841" t="s">
        <v>7417</v>
      </c>
      <c r="G26" s="834">
        <v>401751</v>
      </c>
      <c r="H26" s="842"/>
      <c r="I26" s="839">
        <v>250</v>
      </c>
      <c r="J26" s="868">
        <v>9766.2000000000007</v>
      </c>
      <c r="K26" s="120">
        <f t="shared" ref="K26:K27" si="22">+A26-D26</f>
        <v>0</v>
      </c>
      <c r="L26" s="31">
        <f t="shared" ref="L26:L27" si="23">((+B26/A26)-(E26/D26))/(B26/A26)</f>
        <v>2.2128324255046464E-2</v>
      </c>
    </row>
    <row r="27" spans="1:12" ht="15" thickBot="1" x14ac:dyDescent="0.35">
      <c r="A27" s="175">
        <v>235</v>
      </c>
      <c r="B27" s="733">
        <v>10518</v>
      </c>
      <c r="C27" s="8" t="s">
        <v>7418</v>
      </c>
      <c r="D27" s="8">
        <f t="shared" si="21"/>
        <v>235</v>
      </c>
      <c r="E27" s="8">
        <f t="shared" si="21"/>
        <v>10134.4</v>
      </c>
      <c r="F27" s="161" t="s">
        <v>7419</v>
      </c>
      <c r="G27" s="8">
        <v>401831</v>
      </c>
      <c r="H27" s="14"/>
      <c r="I27" s="45">
        <v>235</v>
      </c>
      <c r="J27" s="45">
        <v>10134.4</v>
      </c>
      <c r="K27" s="120">
        <f t="shared" si="22"/>
        <v>0</v>
      </c>
      <c r="L27" s="31">
        <f t="shared" si="23"/>
        <v>3.6470811941433728E-2</v>
      </c>
    </row>
    <row r="28" spans="1:12" ht="15.75" customHeight="1" x14ac:dyDescent="0.3">
      <c r="A28" s="741"/>
      <c r="B28" s="784"/>
      <c r="C28" s="741"/>
      <c r="D28" s="741"/>
      <c r="E28" s="741"/>
      <c r="F28" s="741"/>
      <c r="G28" s="741"/>
      <c r="H28" s="363"/>
      <c r="I28" s="364"/>
      <c r="J28" s="364"/>
      <c r="K28" s="440"/>
      <c r="L28" s="369"/>
    </row>
    <row r="29" spans="1:12" x14ac:dyDescent="0.3">
      <c r="A29" s="196">
        <f>SUM(A5:A28)</f>
        <v>4215</v>
      </c>
      <c r="B29" s="634">
        <f>SUM(B5:B28)</f>
        <v>165187.75</v>
      </c>
      <c r="D29" s="196">
        <f>SUM(D5:D28)</f>
        <v>4071</v>
      </c>
      <c r="E29" s="634">
        <f>SUM(E5:E28)</f>
        <v>158102.1</v>
      </c>
    </row>
  </sheetData>
  <mergeCells count="31">
    <mergeCell ref="A3:C3"/>
    <mergeCell ref="D3:E3"/>
    <mergeCell ref="G3:G4"/>
    <mergeCell ref="K3:K4"/>
    <mergeCell ref="L3:L4"/>
    <mergeCell ref="F15:F18"/>
    <mergeCell ref="G15:G18"/>
    <mergeCell ref="A21:A22"/>
    <mergeCell ref="B21:B22"/>
    <mergeCell ref="C21:C22"/>
    <mergeCell ref="D21:D22"/>
    <mergeCell ref="E21:E22"/>
    <mergeCell ref="F21:F22"/>
    <mergeCell ref="G21:G22"/>
    <mergeCell ref="A15:A16"/>
    <mergeCell ref="B15:B16"/>
    <mergeCell ref="C15:C16"/>
    <mergeCell ref="D15:D18"/>
    <mergeCell ref="E15:E18"/>
    <mergeCell ref="H21:H22"/>
    <mergeCell ref="A24:A25"/>
    <mergeCell ref="B24:B25"/>
    <mergeCell ref="C24:C25"/>
    <mergeCell ref="D24:D25"/>
    <mergeCell ref="E24:E25"/>
    <mergeCell ref="K21:K22"/>
    <mergeCell ref="L21:L22"/>
    <mergeCell ref="K24:K25"/>
    <mergeCell ref="L24:L25"/>
    <mergeCell ref="K15:K18"/>
    <mergeCell ref="L15:L18"/>
  </mergeCells>
  <phoneticPr fontId="15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FC60-2DD9-4B43-A8CC-1853FE8BDBCC}">
  <dimension ref="A1:L18"/>
  <sheetViews>
    <sheetView zoomScale="90" zoomScaleNormal="90" workbookViewId="0">
      <selection activeCell="F32" sqref="F32"/>
    </sheetView>
  </sheetViews>
  <sheetFormatPr baseColWidth="10" defaultColWidth="8.88671875" defaultRowHeight="14.4" x14ac:dyDescent="0.3"/>
  <cols>
    <col min="2" max="2" width="11.33203125" bestFit="1" customWidth="1"/>
    <col min="3" max="3" width="11.44140625" customWidth="1"/>
    <col min="4" max="4" width="11.109375" customWidth="1"/>
    <col min="5" max="5" width="11.33203125" bestFit="1" customWidth="1"/>
    <col min="6" max="6" width="9.5546875" customWidth="1"/>
    <col min="7" max="7" width="10.6640625" customWidth="1"/>
    <col min="8" max="8" width="13.109375" bestFit="1" customWidth="1"/>
    <col min="11" max="11" width="10.6640625" customWidth="1"/>
    <col min="12" max="12" width="12" bestFit="1" customWidth="1"/>
  </cols>
  <sheetData>
    <row r="1" spans="1:12" ht="23.4" x14ac:dyDescent="0.3">
      <c r="A1" s="1" t="s">
        <v>6433</v>
      </c>
      <c r="B1" s="1"/>
      <c r="C1" s="1"/>
      <c r="D1" s="1"/>
      <c r="E1" s="1"/>
      <c r="F1" s="1"/>
      <c r="G1" s="1"/>
      <c r="H1" s="1"/>
      <c r="I1" s="1"/>
      <c r="J1" s="618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618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608" t="s">
        <v>8</v>
      </c>
      <c r="G4" s="923"/>
      <c r="H4" s="7" t="s">
        <v>9</v>
      </c>
      <c r="I4" s="619" t="s">
        <v>5</v>
      </c>
      <c r="J4" s="619" t="s">
        <v>10</v>
      </c>
      <c r="K4" s="923"/>
      <c r="L4" s="1010"/>
    </row>
    <row r="5" spans="1:12" x14ac:dyDescent="0.3">
      <c r="A5" s="871">
        <v>136</v>
      </c>
      <c r="B5" s="873">
        <v>4981</v>
      </c>
      <c r="C5" s="873" t="s">
        <v>6434</v>
      </c>
      <c r="D5" s="873">
        <f>+I5+I6</f>
        <v>136</v>
      </c>
      <c r="E5" s="873">
        <f>+J5+J6</f>
        <v>4697.7999999999993</v>
      </c>
      <c r="F5" s="602" t="s">
        <v>6435</v>
      </c>
      <c r="G5" s="602">
        <v>401041</v>
      </c>
      <c r="H5" s="40"/>
      <c r="I5" s="614">
        <v>55</v>
      </c>
      <c r="J5" s="614">
        <v>1906.6</v>
      </c>
      <c r="K5" s="1081">
        <f t="shared" ref="K5" si="0">+A5-D5</f>
        <v>0</v>
      </c>
      <c r="L5" s="879">
        <f t="shared" ref="L5" si="1">((+B5/A5)-(E5/D5))/(B5/A5)</f>
        <v>5.6856053001405428E-2</v>
      </c>
    </row>
    <row r="6" spans="1:12" ht="15" thickBot="1" x14ac:dyDescent="0.35">
      <c r="A6" s="872"/>
      <c r="B6" s="874"/>
      <c r="C6" s="874"/>
      <c r="D6" s="874"/>
      <c r="E6" s="874"/>
      <c r="F6" s="603" t="s">
        <v>6435</v>
      </c>
      <c r="G6" s="603">
        <v>401041</v>
      </c>
      <c r="H6" s="620"/>
      <c r="I6" s="615">
        <v>81</v>
      </c>
      <c r="J6" s="615">
        <v>2791.2</v>
      </c>
      <c r="K6" s="1082"/>
      <c r="L6" s="880"/>
    </row>
    <row r="7" spans="1:12" ht="15" thickBot="1" x14ac:dyDescent="0.35">
      <c r="A7" s="607">
        <v>273</v>
      </c>
      <c r="B7" s="615">
        <v>10470</v>
      </c>
      <c r="C7" s="615" t="s">
        <v>6455</v>
      </c>
      <c r="D7" s="615">
        <f>+I7</f>
        <v>273</v>
      </c>
      <c r="E7" s="615">
        <f>+J7</f>
        <v>10110.299999999999</v>
      </c>
      <c r="F7" s="603" t="s">
        <v>6460</v>
      </c>
      <c r="G7" s="603">
        <v>40114</v>
      </c>
      <c r="H7" s="620"/>
      <c r="I7" s="615">
        <v>273</v>
      </c>
      <c r="J7" s="615">
        <v>10110.299999999999</v>
      </c>
      <c r="K7" s="633">
        <f t="shared" ref="K7:K8" si="2">+A7-D7</f>
        <v>0</v>
      </c>
      <c r="L7" s="617">
        <f t="shared" ref="L7:L8" si="3">((+B7/A7)-(E7/D7))/(B7/A7)</f>
        <v>3.4355300859598967E-2</v>
      </c>
    </row>
    <row r="8" spans="1:12" x14ac:dyDescent="0.3">
      <c r="A8" s="871">
        <v>279</v>
      </c>
      <c r="B8" s="873">
        <v>9874.75</v>
      </c>
      <c r="C8" s="873" t="s">
        <v>7108</v>
      </c>
      <c r="D8" s="873">
        <f>+I8+I9</f>
        <v>278</v>
      </c>
      <c r="E8" s="873">
        <f>+J8+J9</f>
        <v>9723.9</v>
      </c>
      <c r="F8" s="734" t="s">
        <v>7109</v>
      </c>
      <c r="G8" s="734">
        <v>401221</v>
      </c>
      <c r="H8" s="40"/>
      <c r="I8" s="748">
        <v>200</v>
      </c>
      <c r="J8" s="748">
        <v>7046.7</v>
      </c>
      <c r="K8" s="1081">
        <f t="shared" si="2"/>
        <v>1</v>
      </c>
      <c r="L8" s="879">
        <f t="shared" si="3"/>
        <v>1.1734164656932574E-2</v>
      </c>
    </row>
    <row r="9" spans="1:12" ht="15" thickBot="1" x14ac:dyDescent="0.35">
      <c r="A9" s="872"/>
      <c r="B9" s="874"/>
      <c r="C9" s="874"/>
      <c r="D9" s="874"/>
      <c r="E9" s="874"/>
      <c r="F9" s="736" t="s">
        <v>7109</v>
      </c>
      <c r="G9" s="736">
        <v>401221</v>
      </c>
      <c r="H9" s="754"/>
      <c r="I9" s="749">
        <v>78</v>
      </c>
      <c r="J9" s="749">
        <v>2677.2</v>
      </c>
      <c r="K9" s="1082"/>
      <c r="L9" s="880"/>
    </row>
    <row r="10" spans="1:12" x14ac:dyDescent="0.3">
      <c r="A10" s="871">
        <f>D10</f>
        <v>274</v>
      </c>
      <c r="B10" s="873">
        <v>10143.5</v>
      </c>
      <c r="C10" s="873" t="s">
        <v>7110</v>
      </c>
      <c r="D10" s="873">
        <f>+I10+I11</f>
        <v>274</v>
      </c>
      <c r="E10" s="873">
        <f>+J10+J11</f>
        <v>10055.1</v>
      </c>
      <c r="F10" s="734" t="s">
        <v>7111</v>
      </c>
      <c r="G10" s="734">
        <v>401251</v>
      </c>
      <c r="H10" s="40"/>
      <c r="I10" s="748">
        <v>150</v>
      </c>
      <c r="J10" s="748">
        <v>5629</v>
      </c>
      <c r="K10" s="1081">
        <f t="shared" ref="K10" si="4">+A10-D10</f>
        <v>0</v>
      </c>
      <c r="L10" s="879">
        <f t="shared" ref="L10" si="5">((+B10/A10)-(E10/D10))/(B10/A10)</f>
        <v>8.7149406023561814E-3</v>
      </c>
    </row>
    <row r="11" spans="1:12" ht="15" thickBot="1" x14ac:dyDescent="0.35">
      <c r="A11" s="875"/>
      <c r="B11" s="881"/>
      <c r="C11" s="881"/>
      <c r="D11" s="881"/>
      <c r="E11" s="881"/>
      <c r="F11" s="735" t="s">
        <v>7111</v>
      </c>
      <c r="G11" s="735">
        <v>401251</v>
      </c>
      <c r="I11" s="50">
        <v>124</v>
      </c>
      <c r="J11" s="50">
        <v>4426.1000000000004</v>
      </c>
      <c r="K11" s="1082"/>
      <c r="L11" s="880"/>
    </row>
    <row r="12" spans="1:12" x14ac:dyDescent="0.3">
      <c r="A12" s="871">
        <v>377</v>
      </c>
      <c r="B12" s="873">
        <v>13435.1</v>
      </c>
      <c r="C12" s="873" t="s">
        <v>7112</v>
      </c>
      <c r="D12" s="873">
        <f>+I12+I13+I14</f>
        <v>377</v>
      </c>
      <c r="E12" s="873">
        <f>+J12+J13+J14</f>
        <v>13355.399999999998</v>
      </c>
      <c r="F12" s="734" t="s">
        <v>7113</v>
      </c>
      <c r="G12" s="734">
        <v>401451</v>
      </c>
      <c r="H12" s="40"/>
      <c r="I12" s="748">
        <v>136</v>
      </c>
      <c r="J12" s="748">
        <v>5437.7</v>
      </c>
      <c r="K12" s="1081">
        <f t="shared" ref="K12" si="6">+A12-D12</f>
        <v>0</v>
      </c>
      <c r="L12" s="879">
        <f>((+B12/A12)-(E12/D12))/(B12/A12)</f>
        <v>5.932222313194695E-3</v>
      </c>
    </row>
    <row r="13" spans="1:12" x14ac:dyDescent="0.3">
      <c r="A13" s="875"/>
      <c r="B13" s="881"/>
      <c r="C13" s="881"/>
      <c r="D13" s="881"/>
      <c r="E13" s="881"/>
      <c r="F13" s="735" t="s">
        <v>7113</v>
      </c>
      <c r="G13" s="735">
        <v>401451</v>
      </c>
      <c r="I13" s="50">
        <v>151</v>
      </c>
      <c r="J13" s="50">
        <v>4922.3999999999996</v>
      </c>
      <c r="K13" s="1083"/>
      <c r="L13" s="885"/>
    </row>
    <row r="14" spans="1:12" ht="15" thickBot="1" x14ac:dyDescent="0.35">
      <c r="A14" s="872"/>
      <c r="B14" s="874"/>
      <c r="C14" s="874"/>
      <c r="D14" s="874"/>
      <c r="E14" s="874"/>
      <c r="F14" s="736" t="s">
        <v>7113</v>
      </c>
      <c r="G14" s="736">
        <v>401451</v>
      </c>
      <c r="H14" s="754"/>
      <c r="I14" s="749">
        <v>90</v>
      </c>
      <c r="J14" s="749">
        <v>2995.3</v>
      </c>
      <c r="K14" s="1082"/>
      <c r="L14" s="880"/>
    </row>
    <row r="15" spans="1:12" ht="15" thickBot="1" x14ac:dyDescent="0.35">
      <c r="A15" s="178">
        <v>250</v>
      </c>
      <c r="B15" s="45">
        <v>8309.4</v>
      </c>
      <c r="C15" s="45" t="s">
        <v>7420</v>
      </c>
      <c r="D15" s="45">
        <f t="shared" ref="D15:E16" si="7">+I15</f>
        <v>251</v>
      </c>
      <c r="E15" s="45">
        <f t="shared" si="7"/>
        <v>8329.5</v>
      </c>
      <c r="F15" s="8" t="s">
        <v>7421</v>
      </c>
      <c r="G15" s="8">
        <v>401521</v>
      </c>
      <c r="H15" s="14"/>
      <c r="I15" s="45">
        <v>251</v>
      </c>
      <c r="J15" s="45">
        <v>8329.5</v>
      </c>
      <c r="K15" s="633">
        <f t="shared" ref="K15:K16" si="8">+A15-D15</f>
        <v>-1</v>
      </c>
      <c r="L15" s="840">
        <f t="shared" ref="L15:L16" si="9">((+B15/A15)-(E15/D15))/(B15/A15)</f>
        <v>1.5747537685203276E-3</v>
      </c>
    </row>
    <row r="16" spans="1:12" ht="15" thickBot="1" x14ac:dyDescent="0.35">
      <c r="A16" s="178">
        <v>122</v>
      </c>
      <c r="B16" s="45">
        <v>4420.2</v>
      </c>
      <c r="C16" s="45" t="s">
        <v>7422</v>
      </c>
      <c r="D16" s="45">
        <f t="shared" si="7"/>
        <v>122</v>
      </c>
      <c r="E16" s="45">
        <f t="shared" si="7"/>
        <v>4327.3999999999996</v>
      </c>
      <c r="F16" s="8" t="s">
        <v>7423</v>
      </c>
      <c r="G16" s="8">
        <v>401601</v>
      </c>
      <c r="H16" s="14"/>
      <c r="I16" s="45">
        <v>122</v>
      </c>
      <c r="J16" s="45">
        <v>4327.3999999999996</v>
      </c>
      <c r="K16" s="633">
        <f t="shared" si="8"/>
        <v>0</v>
      </c>
      <c r="L16" s="840">
        <f t="shared" si="9"/>
        <v>2.0994525134609424E-2</v>
      </c>
    </row>
    <row r="17" spans="1:12" x14ac:dyDescent="0.3">
      <c r="A17" s="364"/>
      <c r="B17" s="364"/>
      <c r="C17" s="364"/>
      <c r="D17" s="364"/>
      <c r="E17" s="364"/>
      <c r="F17" s="741"/>
      <c r="G17" s="741"/>
      <c r="H17" s="363"/>
      <c r="I17" s="364"/>
      <c r="J17" s="364"/>
      <c r="K17" s="440"/>
      <c r="L17" s="369"/>
    </row>
    <row r="18" spans="1:12" x14ac:dyDescent="0.3">
      <c r="A18" s="196">
        <f>SUM(A5:A7)</f>
        <v>409</v>
      </c>
      <c r="B18" s="634">
        <f>SUM(B5:B7)</f>
        <v>15451</v>
      </c>
      <c r="D18" s="196">
        <f>SUM(D5:D7)</f>
        <v>409</v>
      </c>
      <c r="E18" s="634">
        <f>SUM(E5:E7)</f>
        <v>14808.099999999999</v>
      </c>
    </row>
  </sheetData>
  <mergeCells count="33">
    <mergeCell ref="K5:K6"/>
    <mergeCell ref="L5:L6"/>
    <mergeCell ref="A3:C3"/>
    <mergeCell ref="D3:E3"/>
    <mergeCell ref="G3:G4"/>
    <mergeCell ref="K3:K4"/>
    <mergeCell ref="L3:L4"/>
    <mergeCell ref="A5:A6"/>
    <mergeCell ref="B5:B6"/>
    <mergeCell ref="C5:C6"/>
    <mergeCell ref="D5:D6"/>
    <mergeCell ref="E5:E6"/>
    <mergeCell ref="A8:A9"/>
    <mergeCell ref="B8:B9"/>
    <mergeCell ref="C8:C9"/>
    <mergeCell ref="D8:D9"/>
    <mergeCell ref="E8:E9"/>
    <mergeCell ref="A10:A11"/>
    <mergeCell ref="B10:B11"/>
    <mergeCell ref="C10:C11"/>
    <mergeCell ref="D10:D11"/>
    <mergeCell ref="E10:E11"/>
    <mergeCell ref="A12:A14"/>
    <mergeCell ref="B12:B14"/>
    <mergeCell ref="C12:C14"/>
    <mergeCell ref="D12:D14"/>
    <mergeCell ref="E12:E14"/>
    <mergeCell ref="K8:K9"/>
    <mergeCell ref="L8:L9"/>
    <mergeCell ref="K10:K11"/>
    <mergeCell ref="L10:L11"/>
    <mergeCell ref="K12:K14"/>
    <mergeCell ref="L12:L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364"/>
  <sheetViews>
    <sheetView zoomScale="80" zoomScaleNormal="80" workbookViewId="0">
      <pane ySplit="4" topLeftCell="A332" activePane="bottomLeft" state="frozen"/>
      <selection pane="bottomLeft" activeCell="K361" sqref="K361:L362"/>
    </sheetView>
  </sheetViews>
  <sheetFormatPr baseColWidth="10" defaultColWidth="8.88671875" defaultRowHeight="14.4" x14ac:dyDescent="0.3"/>
  <cols>
    <col min="1" max="1" width="13.109375" customWidth="1"/>
    <col min="2" max="2" width="13.88671875" bestFit="1" customWidth="1"/>
    <col min="3" max="3" width="11" customWidth="1"/>
    <col min="4" max="4" width="12.33203125" bestFit="1" customWidth="1"/>
    <col min="5" max="5" width="13.88671875" bestFit="1" customWidth="1"/>
    <col min="7" max="7" width="10.5546875" customWidth="1"/>
    <col min="8" max="8" width="13.109375" hidden="1" customWidth="1"/>
    <col min="9" max="9" width="6.33203125" hidden="1" customWidth="1"/>
    <col min="10" max="10" width="8.6640625" hidden="1" customWidth="1"/>
    <col min="12" max="12" width="12" bestFit="1" customWidth="1"/>
  </cols>
  <sheetData>
    <row r="1" spans="1:12" ht="23.4" x14ac:dyDescent="0.3">
      <c r="A1" s="1" t="s">
        <v>203</v>
      </c>
      <c r="B1" s="1"/>
      <c r="C1" s="1"/>
      <c r="D1" s="1"/>
      <c r="E1" s="1"/>
      <c r="F1" s="1"/>
      <c r="G1" s="1"/>
      <c r="H1" s="1"/>
      <c r="I1" s="1"/>
      <c r="J1" s="2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2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72" t="s">
        <v>8</v>
      </c>
      <c r="G4" s="923"/>
      <c r="H4" s="7" t="s">
        <v>9</v>
      </c>
      <c r="I4" s="6" t="s">
        <v>5</v>
      </c>
      <c r="J4" s="6" t="s">
        <v>10</v>
      </c>
      <c r="K4" s="916"/>
      <c r="L4" s="985"/>
    </row>
    <row r="5" spans="1:12" x14ac:dyDescent="0.3">
      <c r="A5" s="891">
        <v>689</v>
      </c>
      <c r="B5" s="894">
        <v>29837.02</v>
      </c>
      <c r="C5" s="894" t="s">
        <v>204</v>
      </c>
      <c r="D5" s="905">
        <f>+I5+I6</f>
        <v>685</v>
      </c>
      <c r="E5" s="905">
        <f>+J5+J6</f>
        <v>27763.000000000004</v>
      </c>
      <c r="F5" s="29" t="s">
        <v>205</v>
      </c>
      <c r="G5" s="29">
        <v>86181</v>
      </c>
      <c r="H5" s="38"/>
      <c r="I5" s="12">
        <v>435</v>
      </c>
      <c r="J5" s="13">
        <v>17925.300000000003</v>
      </c>
      <c r="K5" s="877">
        <f t="shared" ref="K5:K19" si="0">+A5-D5</f>
        <v>4</v>
      </c>
      <c r="L5" s="879">
        <f>((+B5/A5)-(E5/D5))/(B5/A5)</f>
        <v>6.4078124825160079E-2</v>
      </c>
    </row>
    <row r="6" spans="1:12" ht="15" thickBot="1" x14ac:dyDescent="0.35">
      <c r="A6" s="893"/>
      <c r="B6" s="896"/>
      <c r="C6" s="896"/>
      <c r="D6" s="907"/>
      <c r="E6" s="907"/>
      <c r="F6" s="28" t="s">
        <v>205</v>
      </c>
      <c r="G6" s="28">
        <v>86181</v>
      </c>
      <c r="H6" s="82"/>
      <c r="I6" s="10">
        <v>250</v>
      </c>
      <c r="J6" s="11">
        <v>9837.7000000000007</v>
      </c>
      <c r="K6" s="878"/>
      <c r="L6" s="880"/>
    </row>
    <row r="7" spans="1:12" ht="15" thickBot="1" x14ac:dyDescent="0.35">
      <c r="A7" s="21">
        <v>250</v>
      </c>
      <c r="B7" s="22">
        <v>10837.25</v>
      </c>
      <c r="C7" s="22" t="s">
        <v>206</v>
      </c>
      <c r="D7" s="28">
        <f t="shared" ref="D7:E11" si="1">+I7</f>
        <v>250</v>
      </c>
      <c r="E7" s="28">
        <f t="shared" si="1"/>
        <v>9868.6</v>
      </c>
      <c r="F7" s="28" t="s">
        <v>207</v>
      </c>
      <c r="G7" s="28">
        <v>86271</v>
      </c>
      <c r="H7" s="82"/>
      <c r="I7" s="10">
        <v>250</v>
      </c>
      <c r="J7" s="11">
        <v>9868.6</v>
      </c>
      <c r="K7" s="55">
        <f t="shared" si="0"/>
        <v>0</v>
      </c>
      <c r="L7" s="32">
        <f t="shared" ref="L7:L8" si="2">(+B7-E7)/B7</f>
        <v>8.9381531292532665E-2</v>
      </c>
    </row>
    <row r="8" spans="1:12" ht="15" thickBot="1" x14ac:dyDescent="0.35">
      <c r="A8" s="19">
        <v>889</v>
      </c>
      <c r="B8" s="20">
        <v>39109</v>
      </c>
      <c r="C8" s="20" t="s">
        <v>208</v>
      </c>
      <c r="D8" s="27">
        <f t="shared" si="1"/>
        <v>889</v>
      </c>
      <c r="E8" s="27">
        <f t="shared" si="1"/>
        <v>35816.100000000006</v>
      </c>
      <c r="F8" s="27" t="s">
        <v>209</v>
      </c>
      <c r="G8" s="27">
        <v>86361</v>
      </c>
      <c r="H8" s="80"/>
      <c r="I8" s="8">
        <v>889</v>
      </c>
      <c r="J8" s="9">
        <v>35816.100000000006</v>
      </c>
      <c r="K8" s="54">
        <f t="shared" si="0"/>
        <v>0</v>
      </c>
      <c r="L8" s="32">
        <f t="shared" si="2"/>
        <v>8.4198010688076766E-2</v>
      </c>
    </row>
    <row r="9" spans="1:12" ht="15" thickBot="1" x14ac:dyDescent="0.35">
      <c r="A9" s="23">
        <v>895</v>
      </c>
      <c r="B9" s="24">
        <v>41269</v>
      </c>
      <c r="C9" s="24" t="s">
        <v>210</v>
      </c>
      <c r="D9" s="29">
        <f t="shared" si="1"/>
        <v>894</v>
      </c>
      <c r="E9" s="29">
        <f t="shared" si="1"/>
        <v>39560.699999999997</v>
      </c>
      <c r="F9" s="29" t="s">
        <v>211</v>
      </c>
      <c r="G9" s="29">
        <v>86471</v>
      </c>
      <c r="H9" s="83"/>
      <c r="I9" s="47">
        <v>894</v>
      </c>
      <c r="J9" s="84">
        <v>39560.699999999997</v>
      </c>
      <c r="K9" s="56">
        <f t="shared" si="0"/>
        <v>1</v>
      </c>
      <c r="L9" s="31">
        <f>((+B9/A9)-(E9/D9))/(B9/A9)</f>
        <v>4.032200096242039E-2</v>
      </c>
    </row>
    <row r="10" spans="1:12" ht="15" thickBot="1" x14ac:dyDescent="0.35">
      <c r="A10" s="61">
        <v>792</v>
      </c>
      <c r="B10" s="62">
        <v>34730.75</v>
      </c>
      <c r="C10" s="62" t="s">
        <v>212</v>
      </c>
      <c r="D10" s="65">
        <f t="shared" si="1"/>
        <v>784</v>
      </c>
      <c r="E10" s="65">
        <f t="shared" si="1"/>
        <v>31626.1</v>
      </c>
      <c r="F10" s="65" t="s">
        <v>213</v>
      </c>
      <c r="G10" s="65">
        <v>86631</v>
      </c>
      <c r="H10" s="14"/>
      <c r="I10" s="45">
        <v>784</v>
      </c>
      <c r="J10" s="46">
        <v>31626.1</v>
      </c>
      <c r="K10" s="52">
        <f t="shared" si="0"/>
        <v>8</v>
      </c>
      <c r="L10" s="31">
        <f>((+B10/A10)-(E10/D10))/(B10/A10)</f>
        <v>8.0100046612225598E-2</v>
      </c>
    </row>
    <row r="11" spans="1:12" ht="15" thickBot="1" x14ac:dyDescent="0.35">
      <c r="A11" s="85">
        <v>312</v>
      </c>
      <c r="B11" s="86">
        <v>13109.5</v>
      </c>
      <c r="C11" s="86" t="s">
        <v>214</v>
      </c>
      <c r="D11" s="66">
        <f t="shared" si="1"/>
        <v>312</v>
      </c>
      <c r="E11" s="66">
        <f t="shared" si="1"/>
        <v>12000.7</v>
      </c>
      <c r="F11" s="66" t="s">
        <v>215</v>
      </c>
      <c r="G11" s="66">
        <v>8664</v>
      </c>
      <c r="I11" s="50">
        <v>312</v>
      </c>
      <c r="J11" s="51">
        <v>12000.7</v>
      </c>
      <c r="K11" s="87">
        <f t="shared" si="0"/>
        <v>0</v>
      </c>
      <c r="L11" s="32">
        <f t="shared" ref="L11" si="3">(+B11-E11)/B11</f>
        <v>8.4579884816354492E-2</v>
      </c>
    </row>
    <row r="12" spans="1:12" x14ac:dyDescent="0.3">
      <c r="A12" s="891">
        <v>977</v>
      </c>
      <c r="B12" s="894">
        <v>44423</v>
      </c>
      <c r="C12" s="894" t="s">
        <v>216</v>
      </c>
      <c r="D12" s="905">
        <f>+I12+I13</f>
        <v>970</v>
      </c>
      <c r="E12" s="905">
        <f>+J12+J13</f>
        <v>41438.200000000004</v>
      </c>
      <c r="F12" s="63" t="s">
        <v>217</v>
      </c>
      <c r="G12" s="63">
        <v>86761</v>
      </c>
      <c r="H12" s="40"/>
      <c r="I12" s="39">
        <v>319</v>
      </c>
      <c r="J12" s="41">
        <v>13392.900000000001</v>
      </c>
      <c r="K12" s="877">
        <f t="shared" si="0"/>
        <v>7</v>
      </c>
      <c r="L12" s="879">
        <f>((+B12/A12)-(E12/D12))/(B12/A12)</f>
        <v>6.0458803847082833E-2</v>
      </c>
    </row>
    <row r="13" spans="1:12" ht="15" thickBot="1" x14ac:dyDescent="0.35">
      <c r="A13" s="893"/>
      <c r="B13" s="896"/>
      <c r="C13" s="896"/>
      <c r="D13" s="907"/>
      <c r="E13" s="907"/>
      <c r="F13" s="64" t="s">
        <v>217</v>
      </c>
      <c r="G13" s="64">
        <v>86761</v>
      </c>
      <c r="H13" s="43"/>
      <c r="I13" s="42">
        <v>651</v>
      </c>
      <c r="J13" s="44">
        <v>28045.300000000003</v>
      </c>
      <c r="K13" s="878"/>
      <c r="L13" s="880"/>
    </row>
    <row r="14" spans="1:12" ht="15" thickBot="1" x14ac:dyDescent="0.35">
      <c r="A14" s="59">
        <v>1053</v>
      </c>
      <c r="B14" s="60">
        <v>46695.5</v>
      </c>
      <c r="C14" s="60" t="s">
        <v>218</v>
      </c>
      <c r="D14" s="63">
        <f>+I14</f>
        <v>1052</v>
      </c>
      <c r="E14" s="63">
        <f>+J14</f>
        <v>44113.299999999996</v>
      </c>
      <c r="F14" s="63" t="s">
        <v>219</v>
      </c>
      <c r="G14" s="63">
        <v>86911</v>
      </c>
      <c r="H14" s="40"/>
      <c r="I14" s="39">
        <v>1052</v>
      </c>
      <c r="J14" s="41">
        <v>44113.299999999996</v>
      </c>
      <c r="K14" s="18">
        <f t="shared" si="0"/>
        <v>1</v>
      </c>
      <c r="L14" s="31">
        <f>((+B14/A14)-(E14/D14))/(B14/A14)</f>
        <v>5.4400685404871939E-2</v>
      </c>
    </row>
    <row r="15" spans="1:12" x14ac:dyDescent="0.3">
      <c r="A15" s="891">
        <v>813</v>
      </c>
      <c r="B15" s="894">
        <v>36590</v>
      </c>
      <c r="C15" s="894" t="s">
        <v>220</v>
      </c>
      <c r="D15" s="905">
        <f>+I15+I17+I16</f>
        <v>813</v>
      </c>
      <c r="E15" s="905">
        <f>+J15+J17+J16</f>
        <v>34560</v>
      </c>
      <c r="F15" s="63" t="s">
        <v>221</v>
      </c>
      <c r="G15" s="63">
        <v>87051</v>
      </c>
      <c r="H15" s="40"/>
      <c r="I15" s="39">
        <v>133</v>
      </c>
      <c r="J15" s="41">
        <v>5784.3</v>
      </c>
      <c r="K15" s="877">
        <f t="shared" si="0"/>
        <v>0</v>
      </c>
      <c r="L15" s="879">
        <f t="shared" ref="L15" si="4">(+B15-E15)/B15</f>
        <v>5.5479639245695545E-2</v>
      </c>
    </row>
    <row r="16" spans="1:12" x14ac:dyDescent="0.3">
      <c r="A16" s="892"/>
      <c r="B16" s="895"/>
      <c r="C16" s="895"/>
      <c r="D16" s="906"/>
      <c r="E16" s="906"/>
      <c r="F16" s="66" t="s">
        <v>221</v>
      </c>
      <c r="G16" s="66">
        <v>87051</v>
      </c>
      <c r="I16" s="50">
        <v>80</v>
      </c>
      <c r="J16" s="51">
        <v>3475.8</v>
      </c>
      <c r="K16" s="886"/>
      <c r="L16" s="885"/>
    </row>
    <row r="17" spans="1:12" ht="15" thickBot="1" x14ac:dyDescent="0.35">
      <c r="A17" s="893"/>
      <c r="B17" s="896"/>
      <c r="C17" s="896"/>
      <c r="D17" s="907"/>
      <c r="E17" s="907"/>
      <c r="F17" s="64" t="s">
        <v>221</v>
      </c>
      <c r="G17" s="64">
        <v>87051</v>
      </c>
      <c r="H17" s="43"/>
      <c r="I17" s="42">
        <v>600</v>
      </c>
      <c r="J17" s="44">
        <v>25299.9</v>
      </c>
      <c r="K17" s="878"/>
      <c r="L17" s="880"/>
    </row>
    <row r="18" spans="1:12" ht="15" thickBot="1" x14ac:dyDescent="0.35">
      <c r="A18" s="61">
        <v>730</v>
      </c>
      <c r="B18" s="62">
        <v>32592.25</v>
      </c>
      <c r="C18" s="62" t="s">
        <v>222</v>
      </c>
      <c r="D18" s="65">
        <f>+I18</f>
        <v>731</v>
      </c>
      <c r="E18" s="65">
        <f>+J18</f>
        <v>31146.7</v>
      </c>
      <c r="F18" s="65" t="s">
        <v>223</v>
      </c>
      <c r="G18" s="65">
        <v>87111</v>
      </c>
      <c r="H18" s="14"/>
      <c r="I18" s="45">
        <v>731</v>
      </c>
      <c r="J18" s="46">
        <v>31146.7</v>
      </c>
      <c r="K18" s="52">
        <f t="shared" si="0"/>
        <v>-1</v>
      </c>
      <c r="L18" s="31">
        <f>((+B18/A18)-(E18/D18))/(B18/A18)</f>
        <v>4.5659883706502084E-2</v>
      </c>
    </row>
    <row r="19" spans="1:12" ht="15" thickBot="1" x14ac:dyDescent="0.35">
      <c r="A19" s="61">
        <v>205</v>
      </c>
      <c r="B19" s="62">
        <v>8868</v>
      </c>
      <c r="C19" s="62" t="s">
        <v>224</v>
      </c>
      <c r="D19" s="65">
        <f>+I19</f>
        <v>205</v>
      </c>
      <c r="E19" s="65">
        <f>+J19</f>
        <v>8439.4</v>
      </c>
      <c r="F19" s="65" t="s">
        <v>225</v>
      </c>
      <c r="G19" s="65">
        <v>87121</v>
      </c>
      <c r="H19" s="14"/>
      <c r="I19" s="45">
        <v>205</v>
      </c>
      <c r="J19" s="46">
        <v>8439.4</v>
      </c>
      <c r="K19" s="52">
        <f t="shared" si="0"/>
        <v>0</v>
      </c>
      <c r="L19" s="32">
        <f t="shared" ref="L19:L20" si="5">(+B19-E19)/B19</f>
        <v>4.833107803337848E-2</v>
      </c>
    </row>
    <row r="20" spans="1:12" x14ac:dyDescent="0.3">
      <c r="A20" s="891">
        <v>641</v>
      </c>
      <c r="B20" s="894">
        <v>26796.5</v>
      </c>
      <c r="C20" s="894" t="s">
        <v>226</v>
      </c>
      <c r="D20" s="905">
        <f>+I20+I21</f>
        <v>641</v>
      </c>
      <c r="E20" s="905">
        <f>+J20+J21</f>
        <v>25340.3</v>
      </c>
      <c r="F20" s="63" t="s">
        <v>227</v>
      </c>
      <c r="G20" s="63">
        <v>87241</v>
      </c>
      <c r="H20" s="40"/>
      <c r="I20" s="39">
        <v>391</v>
      </c>
      <c r="J20" s="41">
        <v>15522.9</v>
      </c>
      <c r="K20" s="877">
        <f>+A20-D20</f>
        <v>0</v>
      </c>
      <c r="L20" s="879">
        <f t="shared" si="5"/>
        <v>5.4342917918384893E-2</v>
      </c>
    </row>
    <row r="21" spans="1:12" ht="15" thickBot="1" x14ac:dyDescent="0.35">
      <c r="A21" s="893"/>
      <c r="B21" s="896"/>
      <c r="C21" s="896"/>
      <c r="D21" s="907"/>
      <c r="E21" s="907"/>
      <c r="F21" s="64" t="s">
        <v>227</v>
      </c>
      <c r="G21" s="64">
        <v>87241</v>
      </c>
      <c r="H21" s="43"/>
      <c r="I21" s="42">
        <v>250</v>
      </c>
      <c r="J21" s="44">
        <v>9817.4</v>
      </c>
      <c r="K21" s="878"/>
      <c r="L21" s="880"/>
    </row>
    <row r="22" spans="1:12" ht="15" thickBot="1" x14ac:dyDescent="0.35">
      <c r="A22" s="61">
        <v>1051</v>
      </c>
      <c r="B22" s="62">
        <v>44326.25</v>
      </c>
      <c r="C22" s="62" t="s">
        <v>228</v>
      </c>
      <c r="D22" s="65">
        <f>+I22</f>
        <v>1046</v>
      </c>
      <c r="E22" s="65">
        <f>+J22</f>
        <v>41705.800000000003</v>
      </c>
      <c r="F22" s="65" t="s">
        <v>229</v>
      </c>
      <c r="G22" s="65">
        <v>87311</v>
      </c>
      <c r="H22" s="14"/>
      <c r="I22" s="45">
        <v>1046</v>
      </c>
      <c r="J22" s="46">
        <v>41705.800000000003</v>
      </c>
      <c r="K22" s="52">
        <f>+A22-D22</f>
        <v>5</v>
      </c>
      <c r="L22" s="31">
        <f>((+B22/A22)-(E22/D22))/(B22/A22)</f>
        <v>5.4619813121926528E-2</v>
      </c>
    </row>
    <row r="23" spans="1:12" x14ac:dyDescent="0.3">
      <c r="A23" s="891">
        <v>1881</v>
      </c>
      <c r="B23" s="894">
        <v>82931</v>
      </c>
      <c r="C23" s="894" t="s">
        <v>353</v>
      </c>
      <c r="D23" s="905">
        <f>+I23+I25+I24</f>
        <v>1881</v>
      </c>
      <c r="E23" s="905">
        <f>+J23+J25+J24</f>
        <v>79164</v>
      </c>
      <c r="F23" s="63" t="s">
        <v>354</v>
      </c>
      <c r="G23" s="63">
        <v>87411</v>
      </c>
      <c r="H23" s="40"/>
      <c r="I23" s="39">
        <v>654</v>
      </c>
      <c r="J23" s="41">
        <v>27642.3</v>
      </c>
      <c r="K23" s="877">
        <f t="shared" ref="K23" si="6">+A23-D23</f>
        <v>0</v>
      </c>
      <c r="L23" s="879">
        <f t="shared" ref="L23" si="7">(+B23-E23)/B23</f>
        <v>4.542330371031339E-2</v>
      </c>
    </row>
    <row r="24" spans="1:12" x14ac:dyDescent="0.3">
      <c r="A24" s="892"/>
      <c r="B24" s="895"/>
      <c r="C24" s="895"/>
      <c r="D24" s="906"/>
      <c r="E24" s="906"/>
      <c r="F24" s="66" t="s">
        <v>354</v>
      </c>
      <c r="G24" s="66">
        <v>87411</v>
      </c>
      <c r="I24" s="50">
        <v>427</v>
      </c>
      <c r="J24" s="51">
        <v>17801.400000000001</v>
      </c>
      <c r="K24" s="886"/>
      <c r="L24" s="885"/>
    </row>
    <row r="25" spans="1:12" ht="15" thickBot="1" x14ac:dyDescent="0.35">
      <c r="A25" s="892"/>
      <c r="B25" s="895"/>
      <c r="C25" s="895"/>
      <c r="D25" s="906"/>
      <c r="E25" s="906"/>
      <c r="F25" s="66" t="s">
        <v>354</v>
      </c>
      <c r="G25" s="66">
        <v>87411</v>
      </c>
      <c r="I25" s="50">
        <v>800</v>
      </c>
      <c r="J25" s="51">
        <v>33720.300000000003</v>
      </c>
      <c r="K25" s="886"/>
      <c r="L25" s="885"/>
    </row>
    <row r="26" spans="1:12" x14ac:dyDescent="0.3">
      <c r="A26" s="891">
        <v>871</v>
      </c>
      <c r="B26" s="894">
        <v>36850</v>
      </c>
      <c r="C26" s="894" t="s">
        <v>355</v>
      </c>
      <c r="D26" s="905">
        <f>+I26+I27+I28</f>
        <v>870</v>
      </c>
      <c r="E26" s="905">
        <f>+J26+J27+J28</f>
        <v>34878.800000000003</v>
      </c>
      <c r="F26" s="63" t="s">
        <v>356</v>
      </c>
      <c r="G26" s="63">
        <v>87541</v>
      </c>
      <c r="H26" s="40"/>
      <c r="I26" s="39">
        <v>105</v>
      </c>
      <c r="J26" s="39">
        <v>4067</v>
      </c>
      <c r="K26" s="877">
        <f>+A26-D26</f>
        <v>1</v>
      </c>
      <c r="L26" s="879">
        <f>((+B26/A26)-(E26/D26))/(B26/A26)</f>
        <v>5.2404597701149372E-2</v>
      </c>
    </row>
    <row r="27" spans="1:12" x14ac:dyDescent="0.3">
      <c r="A27" s="892"/>
      <c r="B27" s="895"/>
      <c r="C27" s="895"/>
      <c r="D27" s="906"/>
      <c r="E27" s="906"/>
      <c r="F27" s="66" t="s">
        <v>356</v>
      </c>
      <c r="G27" s="66">
        <v>87541</v>
      </c>
      <c r="I27" s="50">
        <v>300</v>
      </c>
      <c r="J27" s="50">
        <v>12257.5</v>
      </c>
      <c r="K27" s="886"/>
      <c r="L27" s="885"/>
    </row>
    <row r="28" spans="1:12" ht="15" thickBot="1" x14ac:dyDescent="0.35">
      <c r="A28" s="893"/>
      <c r="B28" s="896"/>
      <c r="C28" s="896"/>
      <c r="D28" s="907"/>
      <c r="E28" s="907"/>
      <c r="F28" s="64" t="s">
        <v>444</v>
      </c>
      <c r="G28" s="64">
        <v>87541</v>
      </c>
      <c r="H28" s="43"/>
      <c r="I28" s="42">
        <v>465</v>
      </c>
      <c r="J28" s="42">
        <v>18554.300000000003</v>
      </c>
      <c r="K28" s="878"/>
      <c r="L28" s="880"/>
    </row>
    <row r="29" spans="1:12" x14ac:dyDescent="0.3">
      <c r="A29" s="891">
        <v>1139</v>
      </c>
      <c r="B29" s="894">
        <v>50448.5</v>
      </c>
      <c r="C29" s="894" t="s">
        <v>445</v>
      </c>
      <c r="D29" s="905">
        <f>+I29+I31+I30</f>
        <v>1137</v>
      </c>
      <c r="E29" s="905">
        <f>+J29+J31+J30</f>
        <v>47912.499999999993</v>
      </c>
      <c r="F29" s="63" t="s">
        <v>446</v>
      </c>
      <c r="G29" s="63">
        <v>87641</v>
      </c>
      <c r="H29" s="40"/>
      <c r="I29" s="39">
        <v>320</v>
      </c>
      <c r="J29" s="39">
        <v>13423.8</v>
      </c>
      <c r="K29" s="877">
        <f>+A29-D29</f>
        <v>2</v>
      </c>
      <c r="L29" s="879">
        <f>((+B29/A29)-(E29/D29))/(B29/A29)</f>
        <v>4.8598495418697749E-2</v>
      </c>
    </row>
    <row r="30" spans="1:12" x14ac:dyDescent="0.3">
      <c r="A30" s="892"/>
      <c r="B30" s="895"/>
      <c r="C30" s="895"/>
      <c r="D30" s="906"/>
      <c r="E30" s="906"/>
      <c r="F30" s="66" t="s">
        <v>446</v>
      </c>
      <c r="G30" s="66">
        <v>87641</v>
      </c>
      <c r="I30" s="50">
        <v>195</v>
      </c>
      <c r="J30" s="50">
        <v>8159.1</v>
      </c>
      <c r="K30" s="886"/>
      <c r="L30" s="885"/>
    </row>
    <row r="31" spans="1:12" ht="15" thickBot="1" x14ac:dyDescent="0.35">
      <c r="A31" s="893"/>
      <c r="B31" s="896"/>
      <c r="C31" s="896"/>
      <c r="D31" s="907"/>
      <c r="E31" s="907"/>
      <c r="F31" s="64" t="s">
        <v>446</v>
      </c>
      <c r="G31" s="64">
        <v>87641</v>
      </c>
      <c r="H31" s="43"/>
      <c r="I31" s="42">
        <v>622</v>
      </c>
      <c r="J31" s="42">
        <v>26329.599999999999</v>
      </c>
      <c r="K31" s="878"/>
      <c r="L31" s="880"/>
    </row>
    <row r="32" spans="1:12" ht="15" thickBot="1" x14ac:dyDescent="0.35">
      <c r="A32" s="61">
        <v>1168</v>
      </c>
      <c r="B32" s="62">
        <v>51551.5</v>
      </c>
      <c r="C32" s="62" t="s">
        <v>447</v>
      </c>
      <c r="D32" s="65">
        <f>+I32</f>
        <v>1168</v>
      </c>
      <c r="E32" s="65">
        <f>+J32</f>
        <v>50221.3</v>
      </c>
      <c r="F32" s="65" t="s">
        <v>448</v>
      </c>
      <c r="G32" s="65">
        <v>87801</v>
      </c>
      <c r="H32" s="14"/>
      <c r="I32" s="45">
        <v>1168</v>
      </c>
      <c r="J32" s="45">
        <v>50221.3</v>
      </c>
      <c r="K32" s="52">
        <f t="shared" ref="K32:K64" si="8">+A32-D32</f>
        <v>0</v>
      </c>
      <c r="L32" s="32">
        <f t="shared" ref="L32:L33" si="9">(+B32-E32)/B32</f>
        <v>2.5803322890701474E-2</v>
      </c>
    </row>
    <row r="33" spans="1:12" ht="15" thickBot="1" x14ac:dyDescent="0.35">
      <c r="A33" s="61">
        <v>202</v>
      </c>
      <c r="B33" s="62">
        <v>9341.75</v>
      </c>
      <c r="C33" s="62" t="s">
        <v>517</v>
      </c>
      <c r="D33" s="65">
        <f>+I33</f>
        <v>202</v>
      </c>
      <c r="E33" s="65">
        <f>+J33</f>
        <v>9059.5</v>
      </c>
      <c r="F33" s="65" t="s">
        <v>518</v>
      </c>
      <c r="G33" s="65">
        <v>87921</v>
      </c>
      <c r="H33" s="14"/>
      <c r="I33" s="45">
        <v>202</v>
      </c>
      <c r="J33" s="45">
        <v>9059.5</v>
      </c>
      <c r="K33" s="52">
        <f t="shared" si="8"/>
        <v>0</v>
      </c>
      <c r="L33" s="32">
        <f t="shared" si="9"/>
        <v>3.0213825032782936E-2</v>
      </c>
    </row>
    <row r="34" spans="1:12" x14ac:dyDescent="0.3">
      <c r="A34" s="891">
        <v>1030</v>
      </c>
      <c r="B34" s="894">
        <v>45280.25</v>
      </c>
      <c r="C34" s="894" t="s">
        <v>519</v>
      </c>
      <c r="D34" s="905">
        <f>+I34+I35</f>
        <v>1031</v>
      </c>
      <c r="E34" s="905">
        <f>+J34+J35</f>
        <v>43473.2</v>
      </c>
      <c r="F34" s="63" t="s">
        <v>520</v>
      </c>
      <c r="G34" s="63">
        <v>87991</v>
      </c>
      <c r="H34" s="40"/>
      <c r="I34" s="39">
        <v>941</v>
      </c>
      <c r="J34" s="39">
        <v>39812</v>
      </c>
      <c r="K34" s="877">
        <f t="shared" si="8"/>
        <v>-1</v>
      </c>
      <c r="L34" s="879">
        <f>((+B34/A34)-(E34/D34))/(B34/A34)</f>
        <v>4.0839351646166651E-2</v>
      </c>
    </row>
    <row r="35" spans="1:12" ht="15" thickBot="1" x14ac:dyDescent="0.35">
      <c r="A35" s="893"/>
      <c r="B35" s="896"/>
      <c r="C35" s="896"/>
      <c r="D35" s="907"/>
      <c r="E35" s="907"/>
      <c r="F35" s="64" t="s">
        <v>520</v>
      </c>
      <c r="G35" s="64">
        <v>87991</v>
      </c>
      <c r="H35" s="43"/>
      <c r="I35" s="42">
        <v>90</v>
      </c>
      <c r="J35" s="42">
        <v>3661.2</v>
      </c>
      <c r="K35" s="878"/>
      <c r="L35" s="880"/>
    </row>
    <row r="36" spans="1:12" ht="15" thickBot="1" x14ac:dyDescent="0.35">
      <c r="A36" s="61">
        <v>626</v>
      </c>
      <c r="B36" s="62">
        <v>27511.75</v>
      </c>
      <c r="C36" s="62" t="s">
        <v>521</v>
      </c>
      <c r="D36" s="65">
        <f t="shared" ref="D36:E43" si="10">+I36</f>
        <v>626</v>
      </c>
      <c r="E36" s="65">
        <f t="shared" si="10"/>
        <v>26177.899999999998</v>
      </c>
      <c r="F36" s="65" t="s">
        <v>522</v>
      </c>
      <c r="G36" s="65">
        <v>88131</v>
      </c>
      <c r="H36" s="14"/>
      <c r="I36" s="45">
        <v>626</v>
      </c>
      <c r="J36" s="45">
        <v>26177.899999999998</v>
      </c>
      <c r="K36" s="52">
        <f t="shared" si="8"/>
        <v>0</v>
      </c>
      <c r="L36" s="32">
        <f t="shared" ref="L36:L57" si="11">(+B36-E36)/B36</f>
        <v>4.8482920933782918E-2</v>
      </c>
    </row>
    <row r="37" spans="1:12" ht="15" thickBot="1" x14ac:dyDescent="0.35">
      <c r="A37" s="61">
        <v>1232</v>
      </c>
      <c r="B37" s="62">
        <v>52720.25</v>
      </c>
      <c r="C37" s="62" t="s">
        <v>523</v>
      </c>
      <c r="D37" s="65">
        <f t="shared" si="10"/>
        <v>1232</v>
      </c>
      <c r="E37" s="65">
        <f t="shared" si="10"/>
        <v>50270.400000000001</v>
      </c>
      <c r="F37" s="65" t="s">
        <v>524</v>
      </c>
      <c r="G37" s="65">
        <v>88231</v>
      </c>
      <c r="H37" s="14"/>
      <c r="I37" s="45">
        <v>1232</v>
      </c>
      <c r="J37" s="45">
        <v>50270.400000000001</v>
      </c>
      <c r="K37" s="52">
        <f t="shared" si="8"/>
        <v>0</v>
      </c>
      <c r="L37" s="32">
        <f t="shared" si="11"/>
        <v>4.6468861585443895E-2</v>
      </c>
    </row>
    <row r="38" spans="1:12" ht="15" thickBot="1" x14ac:dyDescent="0.35">
      <c r="A38" s="61">
        <v>212</v>
      </c>
      <c r="B38" s="62">
        <v>9631</v>
      </c>
      <c r="C38" s="62" t="s">
        <v>627</v>
      </c>
      <c r="D38" s="65">
        <f t="shared" si="10"/>
        <v>212</v>
      </c>
      <c r="E38" s="65">
        <f t="shared" si="10"/>
        <v>9340.4</v>
      </c>
      <c r="F38" s="65" t="s">
        <v>628</v>
      </c>
      <c r="G38" s="65">
        <v>88301</v>
      </c>
      <c r="H38" s="14"/>
      <c r="I38" s="45">
        <v>212</v>
      </c>
      <c r="J38" s="46">
        <v>9340.4</v>
      </c>
      <c r="K38" s="52">
        <f t="shared" si="8"/>
        <v>0</v>
      </c>
      <c r="L38" s="32">
        <f t="shared" si="11"/>
        <v>3.017339840099682E-2</v>
      </c>
    </row>
    <row r="39" spans="1:12" ht="15" thickBot="1" x14ac:dyDescent="0.35">
      <c r="A39" s="61">
        <v>387</v>
      </c>
      <c r="B39" s="62">
        <v>16992.25</v>
      </c>
      <c r="C39" s="62" t="s">
        <v>629</v>
      </c>
      <c r="D39" s="65">
        <f t="shared" si="10"/>
        <v>387</v>
      </c>
      <c r="E39" s="65">
        <f t="shared" si="10"/>
        <v>16029.8</v>
      </c>
      <c r="F39" s="65" t="s">
        <v>630</v>
      </c>
      <c r="G39" s="65">
        <v>88311</v>
      </c>
      <c r="H39" s="14"/>
      <c r="I39" s="45">
        <v>387</v>
      </c>
      <c r="J39" s="46">
        <v>16029.8</v>
      </c>
      <c r="K39" s="52">
        <f t="shared" si="8"/>
        <v>0</v>
      </c>
      <c r="L39" s="32">
        <f t="shared" si="11"/>
        <v>5.6640527299209979E-2</v>
      </c>
    </row>
    <row r="40" spans="1:12" ht="15" thickBot="1" x14ac:dyDescent="0.35">
      <c r="A40" s="61">
        <v>500</v>
      </c>
      <c r="B40" s="62">
        <v>22130.75</v>
      </c>
      <c r="C40" s="62" t="s">
        <v>699</v>
      </c>
      <c r="D40" s="65">
        <f t="shared" si="10"/>
        <v>500</v>
      </c>
      <c r="E40" s="65">
        <f t="shared" si="10"/>
        <v>21044</v>
      </c>
      <c r="F40" s="65" t="s">
        <v>700</v>
      </c>
      <c r="G40" s="65">
        <v>88541</v>
      </c>
      <c r="H40" s="14"/>
      <c r="I40" s="45">
        <v>500</v>
      </c>
      <c r="J40" s="46">
        <v>21044</v>
      </c>
      <c r="K40" s="52">
        <f t="shared" si="8"/>
        <v>0</v>
      </c>
      <c r="L40" s="32">
        <f t="shared" si="11"/>
        <v>4.9105882087141194E-2</v>
      </c>
    </row>
    <row r="41" spans="1:12" ht="15" thickBot="1" x14ac:dyDescent="0.35">
      <c r="A41" s="61">
        <v>638</v>
      </c>
      <c r="B41" s="62">
        <v>28982.75</v>
      </c>
      <c r="C41" s="62" t="s">
        <v>631</v>
      </c>
      <c r="D41" s="65">
        <f t="shared" si="10"/>
        <v>643</v>
      </c>
      <c r="E41" s="65">
        <f t="shared" si="10"/>
        <v>28869.3</v>
      </c>
      <c r="F41" s="65" t="s">
        <v>632</v>
      </c>
      <c r="G41" s="65">
        <v>88551</v>
      </c>
      <c r="H41" s="14"/>
      <c r="I41" s="45">
        <v>643</v>
      </c>
      <c r="J41" s="46">
        <v>28869.3</v>
      </c>
      <c r="K41" s="52">
        <f t="shared" si="8"/>
        <v>-5</v>
      </c>
      <c r="L41" s="31">
        <f>((+B41/A41)-(E41/D41))/(B41/A41)</f>
        <v>1.1660008575111893E-2</v>
      </c>
    </row>
    <row r="42" spans="1:12" ht="15" thickBot="1" x14ac:dyDescent="0.35">
      <c r="A42" s="61">
        <v>748</v>
      </c>
      <c r="B42" s="62">
        <v>31601.5</v>
      </c>
      <c r="C42" s="62" t="s">
        <v>695</v>
      </c>
      <c r="D42" s="65">
        <f t="shared" si="10"/>
        <v>748</v>
      </c>
      <c r="E42" s="65">
        <f t="shared" si="10"/>
        <v>30206</v>
      </c>
      <c r="F42" s="65" t="s">
        <v>696</v>
      </c>
      <c r="G42" s="65">
        <v>88681</v>
      </c>
      <c r="H42" s="14"/>
      <c r="I42" s="45">
        <v>748</v>
      </c>
      <c r="J42" s="46">
        <v>30206</v>
      </c>
      <c r="K42" s="52">
        <f t="shared" si="8"/>
        <v>0</v>
      </c>
      <c r="L42" s="53">
        <f t="shared" si="11"/>
        <v>4.4159296235938165E-2</v>
      </c>
    </row>
    <row r="43" spans="1:12" ht="15" thickBot="1" x14ac:dyDescent="0.35">
      <c r="A43" s="61">
        <v>637</v>
      </c>
      <c r="B43" s="62">
        <v>27757.75</v>
      </c>
      <c r="C43" s="62" t="s">
        <v>697</v>
      </c>
      <c r="D43" s="65">
        <f t="shared" si="10"/>
        <v>633</v>
      </c>
      <c r="E43" s="65">
        <f t="shared" si="10"/>
        <v>26904</v>
      </c>
      <c r="F43" s="65" t="s">
        <v>698</v>
      </c>
      <c r="G43" s="65">
        <v>88801</v>
      </c>
      <c r="H43" s="14"/>
      <c r="I43" s="45">
        <v>633</v>
      </c>
      <c r="J43" s="46">
        <v>26904</v>
      </c>
      <c r="K43" s="52">
        <f t="shared" si="8"/>
        <v>4</v>
      </c>
      <c r="L43" s="31">
        <f>((+B43/A43)-(E43/D43))/(B43/A43)</f>
        <v>2.4632418741685244E-2</v>
      </c>
    </row>
    <row r="44" spans="1:12" x14ac:dyDescent="0.3">
      <c r="A44" s="59">
        <v>1107</v>
      </c>
      <c r="B44" s="60">
        <v>46739.5</v>
      </c>
      <c r="C44" s="60" t="s">
        <v>755</v>
      </c>
      <c r="D44" s="63">
        <f>+I44+I45</f>
        <v>1107</v>
      </c>
      <c r="E44" s="63">
        <f>+J44+J45</f>
        <v>45167.5</v>
      </c>
      <c r="F44" s="63" t="s">
        <v>756</v>
      </c>
      <c r="G44" s="63">
        <v>88871</v>
      </c>
      <c r="H44" s="40"/>
      <c r="I44" s="39">
        <v>877</v>
      </c>
      <c r="J44" s="39">
        <v>35871.300000000003</v>
      </c>
      <c r="K44" s="877">
        <f t="shared" si="8"/>
        <v>0</v>
      </c>
      <c r="L44" s="879">
        <f t="shared" si="11"/>
        <v>3.3633222434985399E-2</v>
      </c>
    </row>
    <row r="45" spans="1:12" ht="15" thickBot="1" x14ac:dyDescent="0.35">
      <c r="A45" s="76"/>
      <c r="B45" s="77"/>
      <c r="C45" s="77"/>
      <c r="D45" s="64"/>
      <c r="E45" s="64"/>
      <c r="F45" s="64" t="s">
        <v>756</v>
      </c>
      <c r="G45" s="64">
        <v>88871</v>
      </c>
      <c r="H45" s="43"/>
      <c r="I45" s="42">
        <v>230</v>
      </c>
      <c r="J45" s="42">
        <v>9296.2000000000007</v>
      </c>
      <c r="K45" s="878"/>
      <c r="L45" s="880"/>
    </row>
    <row r="46" spans="1:12" x14ac:dyDescent="0.3">
      <c r="A46" s="59">
        <v>343</v>
      </c>
      <c r="B46" s="60">
        <v>16324.75</v>
      </c>
      <c r="C46" s="60" t="s">
        <v>757</v>
      </c>
      <c r="D46" s="63">
        <f>+I46+I47</f>
        <v>343</v>
      </c>
      <c r="E46" s="63">
        <f>+J46+J47</f>
        <v>15702.099999999999</v>
      </c>
      <c r="F46" s="63" t="s">
        <v>758</v>
      </c>
      <c r="G46" s="63">
        <v>88921</v>
      </c>
      <c r="H46" s="40"/>
      <c r="I46" s="39">
        <v>125</v>
      </c>
      <c r="J46" s="39">
        <v>5735.2</v>
      </c>
      <c r="K46" s="877">
        <f t="shared" si="8"/>
        <v>0</v>
      </c>
      <c r="L46" s="879">
        <f t="shared" si="11"/>
        <v>3.8141472304323278E-2</v>
      </c>
    </row>
    <row r="47" spans="1:12" ht="15" thickBot="1" x14ac:dyDescent="0.35">
      <c r="A47" s="76"/>
      <c r="B47" s="77"/>
      <c r="C47" s="77"/>
      <c r="D47" s="64"/>
      <c r="E47" s="64"/>
      <c r="F47" s="64" t="s">
        <v>758</v>
      </c>
      <c r="G47" s="64">
        <v>88921</v>
      </c>
      <c r="H47" s="43"/>
      <c r="I47" s="42">
        <v>218</v>
      </c>
      <c r="J47" s="42">
        <v>9966.9</v>
      </c>
      <c r="K47" s="878"/>
      <c r="L47" s="880"/>
    </row>
    <row r="48" spans="1:12" ht="15" thickBot="1" x14ac:dyDescent="0.35">
      <c r="A48" s="61">
        <v>183</v>
      </c>
      <c r="B48" s="62">
        <v>8754.75</v>
      </c>
      <c r="C48" s="62" t="s">
        <v>759</v>
      </c>
      <c r="D48" s="65">
        <f>+I48</f>
        <v>183</v>
      </c>
      <c r="E48" s="65">
        <f>+J48</f>
        <v>8569.1</v>
      </c>
      <c r="F48" s="65" t="s">
        <v>760</v>
      </c>
      <c r="G48" s="65">
        <v>88991</v>
      </c>
      <c r="H48" s="14"/>
      <c r="I48" s="45">
        <v>183</v>
      </c>
      <c r="J48" s="45">
        <v>8569.1</v>
      </c>
      <c r="K48" s="52">
        <f t="shared" si="8"/>
        <v>0</v>
      </c>
      <c r="L48" s="53">
        <f t="shared" si="11"/>
        <v>2.1205631228761488E-2</v>
      </c>
    </row>
    <row r="49" spans="1:12" ht="15" thickBot="1" x14ac:dyDescent="0.35">
      <c r="A49" s="61">
        <v>176</v>
      </c>
      <c r="B49" s="62">
        <v>7469.5</v>
      </c>
      <c r="C49" s="62" t="s">
        <v>761</v>
      </c>
      <c r="D49" s="65">
        <f t="shared" ref="D49:E50" si="12">+I49</f>
        <v>175</v>
      </c>
      <c r="E49" s="65">
        <f t="shared" si="12"/>
        <v>7254.6</v>
      </c>
      <c r="F49" s="65" t="s">
        <v>762</v>
      </c>
      <c r="G49" s="65">
        <v>89001</v>
      </c>
      <c r="H49" s="14"/>
      <c r="I49" s="45">
        <v>175</v>
      </c>
      <c r="J49" s="45">
        <v>7254.6</v>
      </c>
      <c r="K49" s="52">
        <f t="shared" si="8"/>
        <v>1</v>
      </c>
      <c r="L49" s="31">
        <f t="shared" ref="L49:L50" si="13">((+B49/A49)-(E49/D49))/(B49/A49)</f>
        <v>2.3220448873035985E-2</v>
      </c>
    </row>
    <row r="50" spans="1:12" ht="15" thickBot="1" x14ac:dyDescent="0.35">
      <c r="A50" s="61">
        <v>311</v>
      </c>
      <c r="B50" s="62">
        <v>13019.25</v>
      </c>
      <c r="C50" s="62" t="s">
        <v>763</v>
      </c>
      <c r="D50" s="65">
        <f t="shared" si="12"/>
        <v>312</v>
      </c>
      <c r="E50" s="65">
        <f t="shared" si="12"/>
        <v>12766.7</v>
      </c>
      <c r="F50" s="65" t="s">
        <v>764</v>
      </c>
      <c r="G50" s="65">
        <v>89011</v>
      </c>
      <c r="H50" s="14"/>
      <c r="I50" s="45">
        <v>312</v>
      </c>
      <c r="J50" s="45">
        <v>12766.7</v>
      </c>
      <c r="K50" s="52">
        <f t="shared" si="8"/>
        <v>-1</v>
      </c>
      <c r="L50" s="31">
        <f t="shared" si="13"/>
        <v>2.254115331193509E-2</v>
      </c>
    </row>
    <row r="51" spans="1:12" ht="15" thickBot="1" x14ac:dyDescent="0.35">
      <c r="A51" s="61">
        <v>201</v>
      </c>
      <c r="B51" s="62">
        <v>8058.75</v>
      </c>
      <c r="C51" s="62" t="s">
        <v>835</v>
      </c>
      <c r="D51" s="65">
        <v>201</v>
      </c>
      <c r="E51" s="65">
        <v>7795.1</v>
      </c>
      <c r="F51" s="65" t="s">
        <v>836</v>
      </c>
      <c r="G51" s="65">
        <v>89091</v>
      </c>
      <c r="H51" s="14"/>
      <c r="I51" s="45"/>
      <c r="J51" s="45"/>
      <c r="K51" s="52">
        <f t="shared" ref="K51" si="14">+A51-D51</f>
        <v>0</v>
      </c>
      <c r="L51" s="53">
        <f t="shared" ref="L51" si="15">(+B51-E51)/B51</f>
        <v>3.2715991934232934E-2</v>
      </c>
    </row>
    <row r="52" spans="1:12" ht="15" thickBot="1" x14ac:dyDescent="0.35">
      <c r="A52" s="61">
        <v>70</v>
      </c>
      <c r="B52" s="62">
        <v>2954</v>
      </c>
      <c r="C52" s="62" t="s">
        <v>837</v>
      </c>
      <c r="D52" s="65">
        <v>70</v>
      </c>
      <c r="E52" s="65">
        <v>2834.3</v>
      </c>
      <c r="F52" s="65" t="s">
        <v>838</v>
      </c>
      <c r="G52" s="65">
        <v>89101</v>
      </c>
      <c r="H52" s="14"/>
      <c r="I52" s="45"/>
      <c r="J52" s="45"/>
      <c r="K52" s="52">
        <f t="shared" ref="K52" si="16">+A52-D52</f>
        <v>0</v>
      </c>
      <c r="L52" s="53">
        <f t="shared" ref="L52" si="17">(+B52-E52)/B52</f>
        <v>4.0521327014217949E-2</v>
      </c>
    </row>
    <row r="53" spans="1:12" ht="15" thickBot="1" x14ac:dyDescent="0.35">
      <c r="A53" s="61">
        <v>1274</v>
      </c>
      <c r="B53" s="62">
        <v>60374.25</v>
      </c>
      <c r="C53" s="62" t="s">
        <v>765</v>
      </c>
      <c r="D53" s="65">
        <v>1274</v>
      </c>
      <c r="E53" s="65">
        <v>57950.7</v>
      </c>
      <c r="F53" s="65" t="s">
        <v>766</v>
      </c>
      <c r="G53" s="65">
        <v>89111</v>
      </c>
      <c r="H53" s="14"/>
      <c r="I53" s="45">
        <v>680</v>
      </c>
      <c r="J53" s="45">
        <v>31037.8</v>
      </c>
      <c r="K53" s="52">
        <f t="shared" si="8"/>
        <v>0</v>
      </c>
      <c r="L53" s="53">
        <f t="shared" si="11"/>
        <v>4.0142113566628203E-2</v>
      </c>
    </row>
    <row r="54" spans="1:12" ht="15" thickBot="1" x14ac:dyDescent="0.35">
      <c r="A54" s="177">
        <v>614</v>
      </c>
      <c r="B54" s="39">
        <v>29412.5</v>
      </c>
      <c r="C54" s="39" t="s">
        <v>825</v>
      </c>
      <c r="D54" s="39">
        <f>+I54</f>
        <v>612</v>
      </c>
      <c r="E54" s="39">
        <f>+J54</f>
        <v>28246.1</v>
      </c>
      <c r="F54" s="39" t="s">
        <v>826</v>
      </c>
      <c r="G54" s="39">
        <v>89171</v>
      </c>
      <c r="H54" s="40"/>
      <c r="I54" s="39">
        <v>612</v>
      </c>
      <c r="J54" s="41">
        <v>28246.1</v>
      </c>
      <c r="K54" s="52">
        <f t="shared" si="8"/>
        <v>2</v>
      </c>
      <c r="L54" s="31">
        <f>((+B54/A54)-(E54/D54))/(B54/A54)</f>
        <v>3.6518231488657189E-2</v>
      </c>
    </row>
    <row r="55" spans="1:12" x14ac:dyDescent="0.3">
      <c r="A55" s="871">
        <v>515</v>
      </c>
      <c r="B55" s="873">
        <v>24136.25</v>
      </c>
      <c r="C55" s="873" t="s">
        <v>827</v>
      </c>
      <c r="D55" s="873">
        <f>+I55+I56</f>
        <v>514</v>
      </c>
      <c r="E55" s="873">
        <f>+J55+J56</f>
        <v>23372.1</v>
      </c>
      <c r="F55" s="39" t="s">
        <v>828</v>
      </c>
      <c r="G55" s="39">
        <v>89291</v>
      </c>
      <c r="H55" s="40"/>
      <c r="I55" s="39">
        <v>184</v>
      </c>
      <c r="J55" s="41">
        <v>8212.7999999999993</v>
      </c>
      <c r="K55" s="877">
        <f t="shared" si="8"/>
        <v>1</v>
      </c>
      <c r="L55" s="879">
        <f>((+B55/A55)-(E55/D55))/(B55/A55)</f>
        <v>2.977591748207984E-2</v>
      </c>
    </row>
    <row r="56" spans="1:12" ht="15" thickBot="1" x14ac:dyDescent="0.35">
      <c r="A56" s="875"/>
      <c r="B56" s="881"/>
      <c r="C56" s="881"/>
      <c r="D56" s="881"/>
      <c r="E56" s="881"/>
      <c r="F56" s="50" t="s">
        <v>828</v>
      </c>
      <c r="G56" s="50">
        <v>89291</v>
      </c>
      <c r="I56" s="50">
        <v>330</v>
      </c>
      <c r="J56" s="51">
        <v>15159.3</v>
      </c>
      <c r="K56" s="878"/>
      <c r="L56" s="880"/>
    </row>
    <row r="57" spans="1:12" ht="15" thickBot="1" x14ac:dyDescent="0.35">
      <c r="A57" s="175">
        <f>+D57</f>
        <v>218</v>
      </c>
      <c r="B57" s="8">
        <v>10073.25</v>
      </c>
      <c r="C57" s="8" t="s">
        <v>829</v>
      </c>
      <c r="D57" s="45">
        <f>+I57</f>
        <v>218</v>
      </c>
      <c r="E57" s="45">
        <f>+J57</f>
        <v>9832.7000000000007</v>
      </c>
      <c r="F57" s="45" t="s">
        <v>830</v>
      </c>
      <c r="G57" s="46">
        <v>89341</v>
      </c>
      <c r="H57" s="14"/>
      <c r="I57" s="45">
        <v>218</v>
      </c>
      <c r="J57" s="46">
        <v>9832.7000000000007</v>
      </c>
      <c r="K57" s="52">
        <f t="shared" si="8"/>
        <v>0</v>
      </c>
      <c r="L57" s="53">
        <f t="shared" si="11"/>
        <v>2.38800784255329E-2</v>
      </c>
    </row>
    <row r="58" spans="1:12" x14ac:dyDescent="0.3">
      <c r="A58" s="875">
        <v>924</v>
      </c>
      <c r="B58" s="881">
        <v>43205</v>
      </c>
      <c r="C58" s="881" t="s">
        <v>831</v>
      </c>
      <c r="D58" s="881">
        <f>+I58+I59</f>
        <v>926</v>
      </c>
      <c r="E58" s="881">
        <f>+J58+J59</f>
        <v>41799</v>
      </c>
      <c r="F58" s="50" t="s">
        <v>832</v>
      </c>
      <c r="G58" s="50">
        <v>89401</v>
      </c>
      <c r="H58" s="40"/>
      <c r="I58" s="39">
        <v>505</v>
      </c>
      <c r="J58" s="41">
        <v>22696.6</v>
      </c>
      <c r="K58" s="877">
        <f t="shared" si="8"/>
        <v>-2</v>
      </c>
      <c r="L58" s="879">
        <f>((+B58/A58)-(E58/D58))/(B58/A58)</f>
        <v>3.4632070772146431E-2</v>
      </c>
    </row>
    <row r="59" spans="1:12" ht="15" thickBot="1" x14ac:dyDescent="0.35">
      <c r="A59" s="872"/>
      <c r="B59" s="874"/>
      <c r="C59" s="874"/>
      <c r="D59" s="874"/>
      <c r="E59" s="874"/>
      <c r="F59" s="42" t="s">
        <v>832</v>
      </c>
      <c r="G59" s="42">
        <v>89401</v>
      </c>
      <c r="H59" s="43"/>
      <c r="I59" s="42">
        <v>421</v>
      </c>
      <c r="J59" s="44">
        <v>19102.400000000001</v>
      </c>
      <c r="K59" s="878"/>
      <c r="L59" s="880"/>
    </row>
    <row r="60" spans="1:12" ht="15" thickBot="1" x14ac:dyDescent="0.35">
      <c r="A60" s="179">
        <v>435</v>
      </c>
      <c r="B60" s="42">
        <v>19916.75</v>
      </c>
      <c r="C60" s="42" t="s">
        <v>833</v>
      </c>
      <c r="D60" s="42">
        <v>435</v>
      </c>
      <c r="E60" s="42">
        <v>19349.7</v>
      </c>
      <c r="F60" s="42" t="s">
        <v>834</v>
      </c>
      <c r="G60" s="42">
        <v>89451</v>
      </c>
      <c r="H60" s="43"/>
      <c r="I60" s="42">
        <v>100</v>
      </c>
      <c r="J60" s="44">
        <v>4126.5</v>
      </c>
      <c r="K60" s="52">
        <f t="shared" si="8"/>
        <v>0</v>
      </c>
      <c r="L60" s="53">
        <f t="shared" ref="L60" si="18">(+B60-E60)/B60</f>
        <v>2.8471010581545646E-2</v>
      </c>
    </row>
    <row r="61" spans="1:12" x14ac:dyDescent="0.3">
      <c r="A61" s="871">
        <v>738</v>
      </c>
      <c r="B61" s="873">
        <v>33587.25</v>
      </c>
      <c r="C61" s="873" t="s">
        <v>896</v>
      </c>
      <c r="D61" s="873">
        <f>+I61+I62</f>
        <v>738</v>
      </c>
      <c r="E61" s="873">
        <f>+J61+J62</f>
        <v>32711.8</v>
      </c>
      <c r="F61" s="39" t="s">
        <v>897</v>
      </c>
      <c r="G61" s="39">
        <v>89461</v>
      </c>
      <c r="H61" s="40"/>
      <c r="I61" s="39">
        <v>280</v>
      </c>
      <c r="J61" s="41">
        <v>12534</v>
      </c>
      <c r="K61" s="877">
        <f t="shared" si="8"/>
        <v>0</v>
      </c>
      <c r="L61" s="879">
        <f t="shared" ref="L61" si="19">(+B61-E61)/B61</f>
        <v>2.6064950241535129E-2</v>
      </c>
    </row>
    <row r="62" spans="1:12" ht="15" thickBot="1" x14ac:dyDescent="0.35">
      <c r="A62" s="872"/>
      <c r="B62" s="874"/>
      <c r="C62" s="874"/>
      <c r="D62" s="874"/>
      <c r="E62" s="874"/>
      <c r="F62" s="42" t="s">
        <v>897</v>
      </c>
      <c r="G62" s="42">
        <v>89461</v>
      </c>
      <c r="H62" s="43"/>
      <c r="I62" s="42">
        <v>458</v>
      </c>
      <c r="J62" s="44">
        <v>20177.8</v>
      </c>
      <c r="K62" s="878"/>
      <c r="L62" s="880"/>
    </row>
    <row r="63" spans="1:12" ht="15" thickBot="1" x14ac:dyDescent="0.35">
      <c r="A63" s="178">
        <v>352</v>
      </c>
      <c r="B63" s="45">
        <v>15500.5</v>
      </c>
      <c r="C63" s="45" t="s">
        <v>898</v>
      </c>
      <c r="D63" s="45">
        <f>+I63</f>
        <v>352</v>
      </c>
      <c r="E63" s="45">
        <f>+J63</f>
        <v>15056.7</v>
      </c>
      <c r="F63" s="45" t="s">
        <v>899</v>
      </c>
      <c r="G63" s="45">
        <v>89511</v>
      </c>
      <c r="H63" s="14"/>
      <c r="I63" s="45">
        <v>352</v>
      </c>
      <c r="J63" s="46">
        <v>15056.7</v>
      </c>
      <c r="K63" s="52">
        <f t="shared" si="8"/>
        <v>0</v>
      </c>
      <c r="L63" s="53">
        <f t="shared" ref="L63" si="20">(+B63-E63)/B63</f>
        <v>2.8631334473081468E-2</v>
      </c>
    </row>
    <row r="64" spans="1:12" x14ac:dyDescent="0.3">
      <c r="A64" s="940">
        <v>1045</v>
      </c>
      <c r="B64" s="913">
        <v>42276.75</v>
      </c>
      <c r="C64" s="913" t="s">
        <v>900</v>
      </c>
      <c r="D64" s="873">
        <f>+I64+I66+I65</f>
        <v>1045</v>
      </c>
      <c r="E64" s="873">
        <f>+J64+J66+J65</f>
        <v>40582.5</v>
      </c>
      <c r="F64" s="39" t="s">
        <v>901</v>
      </c>
      <c r="G64" s="39">
        <v>89541</v>
      </c>
      <c r="H64" s="40"/>
      <c r="I64" s="39">
        <v>403</v>
      </c>
      <c r="J64" s="41">
        <v>15672.9</v>
      </c>
      <c r="K64" s="877">
        <f t="shared" si="8"/>
        <v>0</v>
      </c>
      <c r="L64" s="879">
        <f t="shared" ref="L64:L66" si="21">((+B64/A64)-(E64/D64))/(B64/A64)</f>
        <v>4.0075218648547906E-2</v>
      </c>
    </row>
    <row r="65" spans="1:12" x14ac:dyDescent="0.3">
      <c r="A65" s="1000"/>
      <c r="B65" s="971"/>
      <c r="C65" s="971"/>
      <c r="D65" s="881"/>
      <c r="E65" s="881"/>
      <c r="F65" s="50" t="s">
        <v>901</v>
      </c>
      <c r="G65" s="50">
        <v>89541</v>
      </c>
      <c r="I65" s="50">
        <v>40</v>
      </c>
      <c r="J65" s="51">
        <v>1500.9</v>
      </c>
      <c r="K65" s="886"/>
      <c r="L65" s="885"/>
    </row>
    <row r="66" spans="1:12" ht="15" thickBot="1" x14ac:dyDescent="0.35">
      <c r="A66" s="941"/>
      <c r="B66" s="914"/>
      <c r="C66" s="914"/>
      <c r="D66" s="874"/>
      <c r="E66" s="874"/>
      <c r="F66" s="42" t="s">
        <v>901</v>
      </c>
      <c r="G66" s="42">
        <v>89541</v>
      </c>
      <c r="H66" s="43"/>
      <c r="I66" s="42">
        <v>602</v>
      </c>
      <c r="J66" s="44">
        <v>23408.7</v>
      </c>
      <c r="K66" s="878"/>
      <c r="L66" s="880" t="e">
        <f t="shared" si="21"/>
        <v>#DIV/0!</v>
      </c>
    </row>
    <row r="67" spans="1:12" ht="15" thickBot="1" x14ac:dyDescent="0.35">
      <c r="A67" s="178">
        <v>155</v>
      </c>
      <c r="B67" s="45">
        <v>7065.25</v>
      </c>
      <c r="C67" s="45" t="s">
        <v>977</v>
      </c>
      <c r="D67" s="45">
        <f t="shared" ref="D67:E71" si="22">+I67</f>
        <v>155</v>
      </c>
      <c r="E67" s="45">
        <f t="shared" si="22"/>
        <v>6720.9</v>
      </c>
      <c r="F67" s="45" t="s">
        <v>978</v>
      </c>
      <c r="G67" s="45">
        <v>89551</v>
      </c>
      <c r="H67" s="14"/>
      <c r="I67" s="45">
        <v>155</v>
      </c>
      <c r="J67" s="46">
        <v>6720.9</v>
      </c>
      <c r="K67" s="52">
        <f t="shared" ref="K67:K73" si="23">+A67-D67</f>
        <v>0</v>
      </c>
      <c r="L67" s="53">
        <f t="shared" ref="L67:L70" si="24">(+B67-E67)/B67</f>
        <v>4.873854428364182E-2</v>
      </c>
    </row>
    <row r="68" spans="1:12" ht="15" thickBot="1" x14ac:dyDescent="0.35">
      <c r="A68" s="178">
        <v>142</v>
      </c>
      <c r="B68" s="45">
        <v>6094.75</v>
      </c>
      <c r="C68" s="45" t="s">
        <v>979</v>
      </c>
      <c r="D68" s="45">
        <f t="shared" si="22"/>
        <v>142</v>
      </c>
      <c r="E68" s="45">
        <f t="shared" si="22"/>
        <v>5877</v>
      </c>
      <c r="F68" s="45" t="s">
        <v>980</v>
      </c>
      <c r="G68" s="45">
        <v>89561</v>
      </c>
      <c r="H68" s="14"/>
      <c r="I68" s="45">
        <v>142</v>
      </c>
      <c r="J68" s="46">
        <v>5877</v>
      </c>
      <c r="K68" s="52">
        <f t="shared" si="23"/>
        <v>0</v>
      </c>
      <c r="L68" s="53">
        <f t="shared" si="24"/>
        <v>3.5727470363837728E-2</v>
      </c>
    </row>
    <row r="69" spans="1:12" ht="15" thickBot="1" x14ac:dyDescent="0.35">
      <c r="A69" s="178">
        <v>244</v>
      </c>
      <c r="B69" s="45">
        <v>10090.5</v>
      </c>
      <c r="C69" s="45" t="s">
        <v>981</v>
      </c>
      <c r="D69" s="45">
        <f t="shared" si="22"/>
        <v>244</v>
      </c>
      <c r="E69" s="45">
        <f t="shared" si="22"/>
        <v>9771.4</v>
      </c>
      <c r="F69" s="45" t="s">
        <v>982</v>
      </c>
      <c r="G69" s="45">
        <v>89571</v>
      </c>
      <c r="H69" s="14"/>
      <c r="I69" s="45">
        <v>244</v>
      </c>
      <c r="J69" s="46">
        <v>9771.4</v>
      </c>
      <c r="K69" s="52">
        <f t="shared" si="23"/>
        <v>0</v>
      </c>
      <c r="L69" s="53">
        <f t="shared" si="24"/>
        <v>3.162380456865372E-2</v>
      </c>
    </row>
    <row r="70" spans="1:12" ht="15" thickBot="1" x14ac:dyDescent="0.35">
      <c r="A70" s="178">
        <v>22</v>
      </c>
      <c r="B70" s="45">
        <v>1025</v>
      </c>
      <c r="C70" s="45" t="s">
        <v>983</v>
      </c>
      <c r="D70" s="45">
        <f t="shared" si="22"/>
        <v>22</v>
      </c>
      <c r="E70" s="45">
        <f t="shared" si="22"/>
        <v>984.7</v>
      </c>
      <c r="F70" s="45" t="s">
        <v>984</v>
      </c>
      <c r="G70" s="45">
        <v>89681</v>
      </c>
      <c r="H70" s="14"/>
      <c r="I70" s="45">
        <v>22</v>
      </c>
      <c r="J70" s="46">
        <v>984.7</v>
      </c>
      <c r="K70" s="52">
        <f t="shared" si="23"/>
        <v>0</v>
      </c>
      <c r="L70" s="53">
        <f t="shared" si="24"/>
        <v>3.9317073170731666E-2</v>
      </c>
    </row>
    <row r="71" spans="1:12" ht="15" thickBot="1" x14ac:dyDescent="0.35">
      <c r="A71" s="201">
        <v>421</v>
      </c>
      <c r="B71" s="202">
        <v>18316.75</v>
      </c>
      <c r="C71" s="202" t="s">
        <v>1017</v>
      </c>
      <c r="D71" s="202">
        <f t="shared" si="22"/>
        <v>419</v>
      </c>
      <c r="E71" s="202">
        <f t="shared" si="22"/>
        <v>17587.7</v>
      </c>
      <c r="F71" s="202" t="s">
        <v>1018</v>
      </c>
      <c r="G71" s="202">
        <v>89691</v>
      </c>
      <c r="H71" s="203"/>
      <c r="I71" s="202">
        <v>419</v>
      </c>
      <c r="J71" s="204">
        <v>17587.7</v>
      </c>
      <c r="K71" s="205">
        <f t="shared" si="23"/>
        <v>2</v>
      </c>
      <c r="L71" s="206">
        <f>((+B71/A71)-(E71/D71))/(B71/A71)</f>
        <v>3.5219084426975654E-2</v>
      </c>
    </row>
    <row r="72" spans="1:12" ht="15" thickBot="1" x14ac:dyDescent="0.35">
      <c r="A72" s="176">
        <v>109</v>
      </c>
      <c r="B72" s="176">
        <v>5246.25</v>
      </c>
      <c r="C72" s="176" t="s">
        <v>1055</v>
      </c>
      <c r="D72" s="50">
        <f>+I72</f>
        <v>108</v>
      </c>
      <c r="E72" s="50">
        <f>+J72</f>
        <v>4789.7</v>
      </c>
      <c r="F72" s="50" t="s">
        <v>1056</v>
      </c>
      <c r="G72" s="50">
        <v>89791</v>
      </c>
      <c r="I72" s="50">
        <v>108</v>
      </c>
      <c r="J72" s="51">
        <v>4789.7</v>
      </c>
      <c r="K72" s="52">
        <f t="shared" si="23"/>
        <v>1</v>
      </c>
      <c r="L72" s="31">
        <f>((+B72/A72)-(E72/D72))/(B72/A72)</f>
        <v>7.8570583926790769E-2</v>
      </c>
    </row>
    <row r="73" spans="1:12" x14ac:dyDescent="0.3">
      <c r="A73" s="871">
        <v>203</v>
      </c>
      <c r="B73" s="873">
        <v>8830.25</v>
      </c>
      <c r="C73" s="873" t="s">
        <v>985</v>
      </c>
      <c r="D73" s="873">
        <f>+I73+I74</f>
        <v>204</v>
      </c>
      <c r="E73" s="873">
        <f>+J73+J74</f>
        <v>8538</v>
      </c>
      <c r="F73" s="39" t="s">
        <v>986</v>
      </c>
      <c r="G73" s="39">
        <v>89841</v>
      </c>
      <c r="H73" s="40"/>
      <c r="I73" s="39">
        <v>100</v>
      </c>
      <c r="J73" s="41">
        <v>4220</v>
      </c>
      <c r="K73" s="877">
        <f t="shared" si="23"/>
        <v>-1</v>
      </c>
      <c r="L73" s="879">
        <f>((+B73/A73)-(E73/D73))/(B73/A73)</f>
        <v>3.7836181441801897E-2</v>
      </c>
    </row>
    <row r="74" spans="1:12" ht="15" thickBot="1" x14ac:dyDescent="0.35">
      <c r="A74" s="872"/>
      <c r="B74" s="874"/>
      <c r="C74" s="874"/>
      <c r="D74" s="874"/>
      <c r="E74" s="874"/>
      <c r="F74" s="42" t="s">
        <v>986</v>
      </c>
      <c r="G74" s="42">
        <v>89841</v>
      </c>
      <c r="H74" s="43"/>
      <c r="I74" s="42">
        <v>104</v>
      </c>
      <c r="J74" s="44">
        <v>4318</v>
      </c>
      <c r="K74" s="878"/>
      <c r="L74" s="880"/>
    </row>
    <row r="75" spans="1:12" x14ac:dyDescent="0.3">
      <c r="A75" s="882">
        <v>788</v>
      </c>
      <c r="B75" s="998">
        <v>37978.75</v>
      </c>
      <c r="C75" s="982" t="s">
        <v>1057</v>
      </c>
      <c r="D75" s="873">
        <f>+I75+I76</f>
        <v>786</v>
      </c>
      <c r="E75" s="873">
        <f>+J75+J76</f>
        <v>36093.599999999999</v>
      </c>
      <c r="F75" s="39" t="s">
        <v>1058</v>
      </c>
      <c r="G75" s="39">
        <v>89911</v>
      </c>
      <c r="H75" s="40"/>
      <c r="I75" s="39">
        <v>470</v>
      </c>
      <c r="J75" s="41">
        <v>21512</v>
      </c>
      <c r="K75" s="877">
        <f t="shared" ref="K75" si="25">+A75-D75</f>
        <v>2</v>
      </c>
      <c r="L75" s="879">
        <f>((+B75/A75)-(E75/D75))/(B75/A75)</f>
        <v>4.7218741496914893E-2</v>
      </c>
    </row>
    <row r="76" spans="1:12" ht="15" thickBot="1" x14ac:dyDescent="0.35">
      <c r="A76" s="884"/>
      <c r="B76" s="999"/>
      <c r="C76" s="983"/>
      <c r="D76" s="874"/>
      <c r="E76" s="874"/>
      <c r="F76" s="42" t="s">
        <v>1058</v>
      </c>
      <c r="G76" s="42">
        <v>89911</v>
      </c>
      <c r="H76" s="43"/>
      <c r="I76" s="42">
        <v>316</v>
      </c>
      <c r="J76" s="44">
        <v>14581.6</v>
      </c>
      <c r="K76" s="878"/>
      <c r="L76" s="880"/>
    </row>
    <row r="77" spans="1:12" x14ac:dyDescent="0.3">
      <c r="A77" s="871">
        <v>967</v>
      </c>
      <c r="B77" s="873">
        <v>38244.5</v>
      </c>
      <c r="C77" s="873" t="s">
        <v>987</v>
      </c>
      <c r="D77" s="873">
        <f>+I77+I79+I78</f>
        <v>966</v>
      </c>
      <c r="E77" s="873">
        <f>+J77+J79+J78</f>
        <v>36913.4</v>
      </c>
      <c r="F77" s="39" t="s">
        <v>988</v>
      </c>
      <c r="G77" s="39">
        <v>89921</v>
      </c>
      <c r="H77" s="40"/>
      <c r="I77" s="39">
        <v>300</v>
      </c>
      <c r="J77" s="41">
        <v>11411</v>
      </c>
      <c r="K77" s="877">
        <f t="shared" ref="K77" si="26">+A77-D77</f>
        <v>1</v>
      </c>
      <c r="L77" s="879">
        <f>((+B77/A77)-(E77/D77))/(B77/A77)</f>
        <v>3.3805837979328117E-2</v>
      </c>
    </row>
    <row r="78" spans="1:12" x14ac:dyDescent="0.3">
      <c r="A78" s="875"/>
      <c r="B78" s="881"/>
      <c r="C78" s="881"/>
      <c r="D78" s="881"/>
      <c r="E78" s="881"/>
      <c r="F78" s="50" t="s">
        <v>988</v>
      </c>
      <c r="G78" s="50">
        <v>89921</v>
      </c>
      <c r="I78" s="50">
        <v>249</v>
      </c>
      <c r="J78" s="51">
        <v>9659</v>
      </c>
      <c r="K78" s="886"/>
      <c r="L78" s="885"/>
    </row>
    <row r="79" spans="1:12" ht="15" thickBot="1" x14ac:dyDescent="0.35">
      <c r="A79" s="872"/>
      <c r="B79" s="874"/>
      <c r="C79" s="874"/>
      <c r="D79" s="874"/>
      <c r="E79" s="874"/>
      <c r="F79" s="42" t="s">
        <v>988</v>
      </c>
      <c r="G79" s="42">
        <v>89921</v>
      </c>
      <c r="H79" s="43"/>
      <c r="I79" s="42">
        <v>417</v>
      </c>
      <c r="J79" s="44">
        <v>15843.4</v>
      </c>
      <c r="K79" s="878"/>
      <c r="L79" s="880"/>
    </row>
    <row r="80" spans="1:12" x14ac:dyDescent="0.3">
      <c r="A80" s="871">
        <v>1835</v>
      </c>
      <c r="B80" s="1001">
        <v>81181.25</v>
      </c>
      <c r="C80" s="873" t="s">
        <v>1059</v>
      </c>
      <c r="D80" s="873">
        <v>1834</v>
      </c>
      <c r="E80" s="873">
        <v>77715.600000000006</v>
      </c>
      <c r="F80" s="39" t="s">
        <v>1060</v>
      </c>
      <c r="G80" s="39">
        <v>90231</v>
      </c>
      <c r="H80" s="40"/>
      <c r="I80" s="39">
        <v>200</v>
      </c>
      <c r="J80" s="41">
        <v>8567.4</v>
      </c>
      <c r="K80" s="877">
        <f t="shared" ref="K80" si="27">+A80-D80</f>
        <v>1</v>
      </c>
      <c r="L80" s="879">
        <f>((+B80/A80)-(E80/D80))/(B80/A80)</f>
        <v>4.2168297258152958E-2</v>
      </c>
    </row>
    <row r="81" spans="1:12" ht="15" thickBot="1" x14ac:dyDescent="0.35">
      <c r="A81" s="872"/>
      <c r="B81" s="1002"/>
      <c r="C81" s="874"/>
      <c r="D81" s="874"/>
      <c r="E81" s="874"/>
      <c r="F81" s="42" t="s">
        <v>1060</v>
      </c>
      <c r="G81" s="42">
        <v>90231</v>
      </c>
      <c r="H81" s="43"/>
      <c r="I81" s="42">
        <v>598</v>
      </c>
      <c r="J81" s="44">
        <v>25326.6</v>
      </c>
      <c r="K81" s="878"/>
      <c r="L81" s="880"/>
    </row>
    <row r="82" spans="1:12" ht="15" thickBot="1" x14ac:dyDescent="0.35">
      <c r="A82" s="178">
        <v>454</v>
      </c>
      <c r="B82" s="215">
        <v>23779</v>
      </c>
      <c r="C82" s="8" t="s">
        <v>1124</v>
      </c>
      <c r="D82" s="8">
        <f>+I82</f>
        <v>454</v>
      </c>
      <c r="E82" s="8">
        <f>+J82</f>
        <v>21987.199999999997</v>
      </c>
      <c r="F82" s="8" t="s">
        <v>1125</v>
      </c>
      <c r="G82" s="8">
        <v>90291</v>
      </c>
      <c r="H82" s="14"/>
      <c r="I82" s="45">
        <v>454</v>
      </c>
      <c r="J82" s="46">
        <v>21987.199999999997</v>
      </c>
      <c r="K82" s="52">
        <f t="shared" ref="K82:K87" si="28">+A82-D82</f>
        <v>0</v>
      </c>
      <c r="L82" s="53">
        <f t="shared" ref="L82:L87" si="29">(+B82-E82)/B82</f>
        <v>7.535220152235178E-2</v>
      </c>
    </row>
    <row r="83" spans="1:12" ht="15" thickBot="1" x14ac:dyDescent="0.35">
      <c r="A83" s="178">
        <v>119</v>
      </c>
      <c r="B83" s="215">
        <v>5342.25</v>
      </c>
      <c r="C83" s="8" t="s">
        <v>1126</v>
      </c>
      <c r="D83" s="8">
        <f t="shared" ref="D83:E85" si="30">+I83</f>
        <v>119</v>
      </c>
      <c r="E83" s="8">
        <f t="shared" si="30"/>
        <v>5105.7</v>
      </c>
      <c r="F83" s="8" t="s">
        <v>1127</v>
      </c>
      <c r="G83" s="8">
        <v>90391</v>
      </c>
      <c r="H83" s="14"/>
      <c r="I83" s="45">
        <v>119</v>
      </c>
      <c r="J83" s="46">
        <v>5105.7</v>
      </c>
      <c r="K83" s="52">
        <f t="shared" si="28"/>
        <v>0</v>
      </c>
      <c r="L83" s="53">
        <f t="shared" si="29"/>
        <v>4.4279095886564687E-2</v>
      </c>
    </row>
    <row r="84" spans="1:12" ht="15" thickBot="1" x14ac:dyDescent="0.35">
      <c r="A84" s="178">
        <v>596</v>
      </c>
      <c r="B84" s="215">
        <v>31566.25</v>
      </c>
      <c r="C84" s="8" t="s">
        <v>1128</v>
      </c>
      <c r="D84" s="8">
        <f t="shared" si="30"/>
        <v>598</v>
      </c>
      <c r="E84" s="8">
        <f t="shared" si="30"/>
        <v>29869.299999999996</v>
      </c>
      <c r="F84" s="8" t="s">
        <v>1129</v>
      </c>
      <c r="G84" s="8">
        <v>90431</v>
      </c>
      <c r="H84" s="14"/>
      <c r="I84" s="45">
        <v>598</v>
      </c>
      <c r="J84" s="46">
        <v>29869.299999999996</v>
      </c>
      <c r="K84" s="52">
        <f t="shared" si="28"/>
        <v>-2</v>
      </c>
      <c r="L84" s="31">
        <f>((+B84/A84)-(E84/D84))/(B84/A84)</f>
        <v>5.6923053084060385E-2</v>
      </c>
    </row>
    <row r="85" spans="1:12" ht="15" thickBot="1" x14ac:dyDescent="0.35">
      <c r="A85" s="175">
        <v>184</v>
      </c>
      <c r="B85" s="216">
        <v>8351.5</v>
      </c>
      <c r="C85" s="45" t="s">
        <v>1130</v>
      </c>
      <c r="D85" s="45">
        <f t="shared" si="30"/>
        <v>184</v>
      </c>
      <c r="E85" s="45">
        <f t="shared" si="30"/>
        <v>7943.5</v>
      </c>
      <c r="F85" s="45" t="s">
        <v>1131</v>
      </c>
      <c r="G85" s="45">
        <v>90541</v>
      </c>
      <c r="H85" s="14"/>
      <c r="I85" s="45">
        <v>184</v>
      </c>
      <c r="J85" s="46">
        <v>7943.5</v>
      </c>
      <c r="K85" s="52">
        <f t="shared" si="28"/>
        <v>0</v>
      </c>
      <c r="L85" s="53">
        <f t="shared" si="29"/>
        <v>4.8853499371370415E-2</v>
      </c>
    </row>
    <row r="86" spans="1:12" ht="15" thickBot="1" x14ac:dyDescent="0.35">
      <c r="A86" s="178">
        <v>565</v>
      </c>
      <c r="B86" s="217">
        <v>24747</v>
      </c>
      <c r="C86" s="45" t="s">
        <v>1132</v>
      </c>
      <c r="D86" s="45">
        <v>565</v>
      </c>
      <c r="E86" s="45">
        <v>24216.7</v>
      </c>
      <c r="F86" s="45" t="s">
        <v>1133</v>
      </c>
      <c r="G86" s="45">
        <v>90571</v>
      </c>
      <c r="H86" s="14"/>
      <c r="I86" s="45">
        <v>326</v>
      </c>
      <c r="J86" s="46">
        <v>13789.9</v>
      </c>
      <c r="K86" s="52">
        <f t="shared" si="28"/>
        <v>0</v>
      </c>
      <c r="L86" s="53">
        <f t="shared" si="29"/>
        <v>2.1428860063846093E-2</v>
      </c>
    </row>
    <row r="87" spans="1:12" x14ac:dyDescent="0.3">
      <c r="A87" s="871">
        <v>786</v>
      </c>
      <c r="B87" s="967">
        <v>35635.75</v>
      </c>
      <c r="C87" s="873" t="s">
        <v>1310</v>
      </c>
      <c r="D87" s="873">
        <f>+I87+I88</f>
        <v>786</v>
      </c>
      <c r="E87" s="873">
        <f>+J87+J88</f>
        <v>33426.5</v>
      </c>
      <c r="F87" s="39" t="s">
        <v>1311</v>
      </c>
      <c r="G87" s="39">
        <v>90621</v>
      </c>
      <c r="H87" s="40"/>
      <c r="I87" s="39">
        <v>200</v>
      </c>
      <c r="J87" s="41">
        <v>8500.7000000000007</v>
      </c>
      <c r="K87" s="877">
        <f t="shared" si="28"/>
        <v>0</v>
      </c>
      <c r="L87" s="879">
        <f t="shared" si="29"/>
        <v>6.1995327725668743E-2</v>
      </c>
    </row>
    <row r="88" spans="1:12" ht="15" thickBot="1" x14ac:dyDescent="0.35">
      <c r="A88" s="872"/>
      <c r="B88" s="968"/>
      <c r="C88" s="874"/>
      <c r="D88" s="874"/>
      <c r="E88" s="874"/>
      <c r="F88" s="42" t="s">
        <v>1311</v>
      </c>
      <c r="G88" s="42">
        <v>90621</v>
      </c>
      <c r="H88" s="43"/>
      <c r="I88" s="42">
        <v>586</v>
      </c>
      <c r="J88" s="44">
        <v>24925.800000000003</v>
      </c>
      <c r="K88" s="878"/>
      <c r="L88" s="880"/>
    </row>
    <row r="89" spans="1:12" ht="15" thickBot="1" x14ac:dyDescent="0.35">
      <c r="A89" s="178">
        <v>200</v>
      </c>
      <c r="B89" s="217">
        <v>9000.75</v>
      </c>
      <c r="C89" s="45" t="s">
        <v>1312</v>
      </c>
      <c r="D89" s="45">
        <f>+I89</f>
        <v>198</v>
      </c>
      <c r="E89" s="45">
        <f>+J89</f>
        <v>8412</v>
      </c>
      <c r="F89" s="45" t="s">
        <v>1313</v>
      </c>
      <c r="G89" s="45">
        <v>90651</v>
      </c>
      <c r="H89" s="14"/>
      <c r="I89" s="45">
        <v>198</v>
      </c>
      <c r="J89" s="46">
        <v>8412</v>
      </c>
      <c r="K89" s="52">
        <f t="shared" ref="K89:K91" si="31">+A89-D89</f>
        <v>2</v>
      </c>
      <c r="L89" s="31">
        <f>((+B89/A89)-(E89/D89))/(B89/A89)</f>
        <v>5.5970924981840676E-2</v>
      </c>
    </row>
    <row r="90" spans="1:12" ht="15" thickBot="1" x14ac:dyDescent="0.35">
      <c r="A90" s="178">
        <v>250</v>
      </c>
      <c r="B90" s="217">
        <v>10161</v>
      </c>
      <c r="C90" s="235" t="s">
        <v>1314</v>
      </c>
      <c r="D90" s="45">
        <f>+I90</f>
        <v>250</v>
      </c>
      <c r="E90" s="45">
        <f>+J90</f>
        <v>9887.5</v>
      </c>
      <c r="F90" s="45" t="s">
        <v>1315</v>
      </c>
      <c r="G90" s="45">
        <v>90821</v>
      </c>
      <c r="H90" s="14"/>
      <c r="I90" s="45">
        <v>250</v>
      </c>
      <c r="J90" s="46">
        <v>9887.5</v>
      </c>
      <c r="K90" s="52">
        <f t="shared" si="31"/>
        <v>0</v>
      </c>
      <c r="L90" s="53">
        <f t="shared" ref="L90" si="32">(+B90-E90)/B90</f>
        <v>2.6916642062789094E-2</v>
      </c>
    </row>
    <row r="91" spans="1:12" x14ac:dyDescent="0.3">
      <c r="A91" s="871">
        <v>657</v>
      </c>
      <c r="B91" s="967">
        <v>28816.25</v>
      </c>
      <c r="C91" s="967" t="s">
        <v>1316</v>
      </c>
      <c r="D91" s="873">
        <f>+I91+I92</f>
        <v>655</v>
      </c>
      <c r="E91" s="873">
        <f>+J91+J92</f>
        <v>27822.7</v>
      </c>
      <c r="F91" s="39" t="s">
        <v>1317</v>
      </c>
      <c r="G91" s="39">
        <v>90891</v>
      </c>
      <c r="H91" s="40"/>
      <c r="I91" s="39">
        <v>157</v>
      </c>
      <c r="J91" s="41">
        <v>6771</v>
      </c>
      <c r="K91" s="882">
        <f t="shared" si="31"/>
        <v>2</v>
      </c>
      <c r="L91" s="879">
        <f>((+B91/A91)-(E91/D91))/(B91/A91)</f>
        <v>3.1530653393126939E-2</v>
      </c>
    </row>
    <row r="92" spans="1:12" ht="15" thickBot="1" x14ac:dyDescent="0.35">
      <c r="A92" s="872"/>
      <c r="B92" s="968"/>
      <c r="C92" s="968"/>
      <c r="D92" s="874"/>
      <c r="E92" s="874"/>
      <c r="F92" s="42" t="s">
        <v>1317</v>
      </c>
      <c r="G92" s="42">
        <v>90891</v>
      </c>
      <c r="H92" s="43"/>
      <c r="I92" s="42">
        <v>498</v>
      </c>
      <c r="J92" s="44">
        <v>21051.7</v>
      </c>
      <c r="K92" s="884"/>
      <c r="L92" s="880"/>
    </row>
    <row r="93" spans="1:12" ht="15" thickBot="1" x14ac:dyDescent="0.35">
      <c r="A93" s="178">
        <v>615</v>
      </c>
      <c r="B93" s="217">
        <v>28200.75</v>
      </c>
      <c r="C93" s="235" t="s">
        <v>1318</v>
      </c>
      <c r="D93" s="45">
        <f>+I93</f>
        <v>615</v>
      </c>
      <c r="E93" s="45">
        <f>+J93</f>
        <v>26974.1</v>
      </c>
      <c r="F93" s="45" t="s">
        <v>1319</v>
      </c>
      <c r="G93" s="46">
        <v>91001</v>
      </c>
      <c r="I93" s="50">
        <v>615</v>
      </c>
      <c r="J93" s="50">
        <v>26974.1</v>
      </c>
      <c r="K93" s="52">
        <f t="shared" ref="K93:K101" si="33">+A93-D93</f>
        <v>0</v>
      </c>
      <c r="L93" s="53">
        <f t="shared" ref="L93:L94" si="34">(+B93-E93)/B93</f>
        <v>4.3497070113383558E-2</v>
      </c>
    </row>
    <row r="94" spans="1:12" x14ac:dyDescent="0.3">
      <c r="A94" s="871">
        <v>829</v>
      </c>
      <c r="B94" s="967">
        <v>41731.5</v>
      </c>
      <c r="C94" s="873" t="s">
        <v>1409</v>
      </c>
      <c r="D94" s="873">
        <f>+I94+I95</f>
        <v>829</v>
      </c>
      <c r="E94" s="873">
        <f>+J94+J95</f>
        <v>39202.800000000003</v>
      </c>
      <c r="F94" s="39" t="s">
        <v>1410</v>
      </c>
      <c r="G94" s="39">
        <v>91051</v>
      </c>
      <c r="H94" s="40"/>
      <c r="I94" s="39">
        <v>420</v>
      </c>
      <c r="J94" s="41">
        <v>19710.7</v>
      </c>
      <c r="K94" s="877">
        <f t="shared" si="33"/>
        <v>0</v>
      </c>
      <c r="L94" s="879">
        <f t="shared" si="34"/>
        <v>6.0594514934761444E-2</v>
      </c>
    </row>
    <row r="95" spans="1:12" ht="15" thickBot="1" x14ac:dyDescent="0.35">
      <c r="A95" s="872"/>
      <c r="B95" s="968"/>
      <c r="C95" s="874"/>
      <c r="D95" s="874"/>
      <c r="E95" s="874"/>
      <c r="F95" s="42" t="s">
        <v>1410</v>
      </c>
      <c r="G95" s="42">
        <v>91051</v>
      </c>
      <c r="H95" s="43"/>
      <c r="I95" s="42">
        <v>409</v>
      </c>
      <c r="J95" s="44">
        <v>19492.099999999999</v>
      </c>
      <c r="K95" s="878"/>
      <c r="L95" s="880"/>
    </row>
    <row r="96" spans="1:12" ht="15" thickBot="1" x14ac:dyDescent="0.35">
      <c r="A96" s="178">
        <v>458</v>
      </c>
      <c r="B96" s="217">
        <v>19353</v>
      </c>
      <c r="C96" s="45" t="s">
        <v>1411</v>
      </c>
      <c r="D96" s="45">
        <f>+I96</f>
        <v>452</v>
      </c>
      <c r="E96" s="45">
        <f>+J96</f>
        <v>18253.099999999999</v>
      </c>
      <c r="F96" s="45" t="s">
        <v>1412</v>
      </c>
      <c r="G96" s="45">
        <v>91071</v>
      </c>
      <c r="H96" s="14"/>
      <c r="I96" s="45">
        <v>452</v>
      </c>
      <c r="J96" s="46">
        <v>18253.099999999999</v>
      </c>
      <c r="K96" s="52">
        <f t="shared" si="33"/>
        <v>6</v>
      </c>
      <c r="L96" s="31">
        <f>((+B96/A96)-(E96/D96))/(B96/A96)</f>
        <v>4.4313657437574656E-2</v>
      </c>
    </row>
    <row r="97" spans="1:12" x14ac:dyDescent="0.3">
      <c r="A97" s="871">
        <v>827</v>
      </c>
      <c r="B97" s="967">
        <v>34070.75</v>
      </c>
      <c r="C97" s="873" t="s">
        <v>1413</v>
      </c>
      <c r="D97" s="873">
        <f>+I97+I98</f>
        <v>827</v>
      </c>
      <c r="E97" s="873">
        <f>+J97+J98</f>
        <v>32360.9</v>
      </c>
      <c r="F97" s="39" t="s">
        <v>1414</v>
      </c>
      <c r="G97" s="39">
        <v>91111</v>
      </c>
      <c r="H97" s="40"/>
      <c r="I97" s="39">
        <v>577</v>
      </c>
      <c r="J97" s="41">
        <v>22456.400000000001</v>
      </c>
      <c r="K97" s="877">
        <f t="shared" si="33"/>
        <v>0</v>
      </c>
      <c r="L97" s="879">
        <f t="shared" ref="L97" si="35">(+B97-E97)/B97</f>
        <v>5.0185276226675332E-2</v>
      </c>
    </row>
    <row r="98" spans="1:12" ht="15" thickBot="1" x14ac:dyDescent="0.35">
      <c r="A98" s="872"/>
      <c r="B98" s="968"/>
      <c r="C98" s="874"/>
      <c r="D98" s="874"/>
      <c r="E98" s="874"/>
      <c r="F98" s="42" t="s">
        <v>1414</v>
      </c>
      <c r="G98" s="42">
        <v>91111</v>
      </c>
      <c r="H98" s="43"/>
      <c r="I98" s="42">
        <v>250</v>
      </c>
      <c r="J98" s="44">
        <v>9904.5</v>
      </c>
      <c r="K98" s="878"/>
      <c r="L98" s="880"/>
    </row>
    <row r="99" spans="1:12" ht="15" thickBot="1" x14ac:dyDescent="0.35">
      <c r="A99" s="175">
        <v>244</v>
      </c>
      <c r="B99" s="216">
        <v>11015.25</v>
      </c>
      <c r="C99" s="8" t="s">
        <v>1415</v>
      </c>
      <c r="D99" s="8">
        <f>+I99</f>
        <v>243</v>
      </c>
      <c r="E99" s="8">
        <f>+J99</f>
        <v>10540.2</v>
      </c>
      <c r="F99" s="45" t="s">
        <v>1416</v>
      </c>
      <c r="G99" s="45">
        <v>91191</v>
      </c>
      <c r="H99" s="14"/>
      <c r="I99" s="45">
        <v>243</v>
      </c>
      <c r="J99" s="46">
        <v>10540.2</v>
      </c>
      <c r="K99" s="52">
        <f t="shared" si="33"/>
        <v>1</v>
      </c>
      <c r="L99" s="31">
        <f>((+B99/A99)-(E99/D99))/(B99/A99)</f>
        <v>3.9188823799552797E-2</v>
      </c>
    </row>
    <row r="100" spans="1:12" ht="15" thickBot="1" x14ac:dyDescent="0.35">
      <c r="A100" s="175">
        <v>310</v>
      </c>
      <c r="B100" s="216">
        <v>13908.25</v>
      </c>
      <c r="C100" s="8" t="s">
        <v>1470</v>
      </c>
      <c r="D100" s="8">
        <f>+I100</f>
        <v>310</v>
      </c>
      <c r="E100" s="8">
        <f>+J100</f>
        <v>13438.5</v>
      </c>
      <c r="F100" s="45" t="s">
        <v>1471</v>
      </c>
      <c r="G100" s="45">
        <v>91201</v>
      </c>
      <c r="H100" s="14"/>
      <c r="I100" s="45">
        <v>310</v>
      </c>
      <c r="J100" s="46">
        <v>13438.5</v>
      </c>
      <c r="K100" s="52">
        <f t="shared" si="33"/>
        <v>0</v>
      </c>
      <c r="L100" s="53">
        <f t="shared" ref="L100" si="36">(+B100-E100)/B100</f>
        <v>3.3774917764636099E-2</v>
      </c>
    </row>
    <row r="101" spans="1:12" x14ac:dyDescent="0.3">
      <c r="A101" s="871">
        <v>925</v>
      </c>
      <c r="B101" s="967">
        <v>41316.75</v>
      </c>
      <c r="C101" s="873" t="s">
        <v>1523</v>
      </c>
      <c r="D101" s="873">
        <f>+I101+I102+I103</f>
        <v>927</v>
      </c>
      <c r="E101" s="873">
        <f>+J101+J102+J103</f>
        <v>39880.199999999997</v>
      </c>
      <c r="F101" s="39" t="s">
        <v>1524</v>
      </c>
      <c r="G101" s="39">
        <v>91271</v>
      </c>
      <c r="H101" s="40"/>
      <c r="I101" s="39">
        <v>348</v>
      </c>
      <c r="J101" s="41">
        <v>14786.2</v>
      </c>
      <c r="K101" s="882">
        <f t="shared" si="33"/>
        <v>-2</v>
      </c>
      <c r="L101" s="879">
        <f>((+B101/A101)-(E101/D101))/(B101/A101)</f>
        <v>3.6851674537523436E-2</v>
      </c>
    </row>
    <row r="102" spans="1:12" x14ac:dyDescent="0.3">
      <c r="A102" s="875"/>
      <c r="B102" s="986"/>
      <c r="C102" s="881"/>
      <c r="D102" s="881"/>
      <c r="E102" s="881"/>
      <c r="F102" s="50" t="s">
        <v>1524</v>
      </c>
      <c r="G102" s="50">
        <v>91271</v>
      </c>
      <c r="I102" s="50">
        <v>200</v>
      </c>
      <c r="J102" s="51">
        <v>8511.4</v>
      </c>
      <c r="K102" s="883"/>
      <c r="L102" s="885"/>
    </row>
    <row r="103" spans="1:12" ht="15" thickBot="1" x14ac:dyDescent="0.35">
      <c r="A103" s="872"/>
      <c r="B103" s="968"/>
      <c r="C103" s="874"/>
      <c r="D103" s="874"/>
      <c r="E103" s="874"/>
      <c r="F103" s="42" t="s">
        <v>1524</v>
      </c>
      <c r="G103" s="42">
        <v>91271</v>
      </c>
      <c r="H103" s="43"/>
      <c r="I103" s="42">
        <v>379</v>
      </c>
      <c r="J103" s="44">
        <v>16582.599999999999</v>
      </c>
      <c r="K103" s="884"/>
      <c r="L103" s="880"/>
    </row>
    <row r="104" spans="1:12" x14ac:dyDescent="0.3">
      <c r="A104" s="967">
        <v>784</v>
      </c>
      <c r="B104" s="967">
        <v>35071.75</v>
      </c>
      <c r="C104" s="873" t="s">
        <v>1525</v>
      </c>
      <c r="D104" s="873">
        <f>+I104+I105+I106</f>
        <v>785</v>
      </c>
      <c r="E104" s="873">
        <f>+J104+J105+J106</f>
        <v>33751.800000000003</v>
      </c>
      <c r="F104" s="39" t="s">
        <v>1526</v>
      </c>
      <c r="G104" s="39">
        <v>91351</v>
      </c>
      <c r="H104" s="40"/>
      <c r="I104" s="39">
        <v>430</v>
      </c>
      <c r="J104" s="41">
        <v>18543.900000000001</v>
      </c>
      <c r="K104" s="882">
        <f t="shared" ref="K104" si="37">+A104-D104</f>
        <v>-1</v>
      </c>
      <c r="L104" s="879">
        <f>((+B104/A104)-(E104/D104))/(B104/A104)</f>
        <v>3.8861645728167971E-2</v>
      </c>
    </row>
    <row r="105" spans="1:12" x14ac:dyDescent="0.3">
      <c r="A105" s="986"/>
      <c r="B105" s="986"/>
      <c r="C105" s="881"/>
      <c r="D105" s="881"/>
      <c r="E105" s="881"/>
      <c r="F105" s="50" t="s">
        <v>1526</v>
      </c>
      <c r="G105" s="50">
        <v>91351</v>
      </c>
      <c r="I105" s="50">
        <v>201</v>
      </c>
      <c r="J105" s="51">
        <v>8580.7000000000007</v>
      </c>
      <c r="K105" s="883"/>
      <c r="L105" s="885"/>
    </row>
    <row r="106" spans="1:12" ht="15" thickBot="1" x14ac:dyDescent="0.35">
      <c r="A106" s="968"/>
      <c r="B106" s="968"/>
      <c r="C106" s="874"/>
      <c r="D106" s="874"/>
      <c r="E106" s="874"/>
      <c r="F106" s="42" t="s">
        <v>1526</v>
      </c>
      <c r="G106" s="42">
        <v>91351</v>
      </c>
      <c r="H106" s="43"/>
      <c r="I106" s="42">
        <v>154</v>
      </c>
      <c r="J106" s="44">
        <v>6627.2</v>
      </c>
      <c r="K106" s="884"/>
      <c r="L106" s="880"/>
    </row>
    <row r="107" spans="1:12" x14ac:dyDescent="0.3">
      <c r="A107" s="873">
        <v>1050</v>
      </c>
      <c r="B107" s="873">
        <v>47549.25</v>
      </c>
      <c r="C107" s="873" t="s">
        <v>1527</v>
      </c>
      <c r="D107" s="873">
        <f>+I107+I108</f>
        <v>1048</v>
      </c>
      <c r="E107" s="873">
        <f>+J107+J108</f>
        <v>45235.8</v>
      </c>
      <c r="F107" s="39" t="s">
        <v>1528</v>
      </c>
      <c r="G107" s="39">
        <v>91471</v>
      </c>
      <c r="H107" s="40"/>
      <c r="I107" s="39">
        <v>446</v>
      </c>
      <c r="J107" s="41">
        <v>19623.3</v>
      </c>
      <c r="K107" s="877">
        <f t="shared" ref="K107" si="38">+A107-D107</f>
        <v>2</v>
      </c>
      <c r="L107" s="879">
        <f>((+B107/A107)-(E107/D107))/(B107/A107)</f>
        <v>4.6838218003534667E-2</v>
      </c>
    </row>
    <row r="108" spans="1:12" ht="15" thickBot="1" x14ac:dyDescent="0.35">
      <c r="A108" s="874"/>
      <c r="B108" s="874"/>
      <c r="C108" s="874"/>
      <c r="D108" s="874"/>
      <c r="E108" s="874"/>
      <c r="F108" s="42" t="s">
        <v>1528</v>
      </c>
      <c r="G108" s="42">
        <v>91471</v>
      </c>
      <c r="H108" s="43"/>
      <c r="I108" s="42">
        <v>602</v>
      </c>
      <c r="J108" s="44">
        <v>25612.5</v>
      </c>
      <c r="K108" s="878"/>
      <c r="L108" s="880"/>
    </row>
    <row r="109" spans="1:12" ht="15" thickBot="1" x14ac:dyDescent="0.35">
      <c r="A109" s="175">
        <v>741</v>
      </c>
      <c r="B109" s="8">
        <v>33228.75</v>
      </c>
      <c r="C109" s="8" t="s">
        <v>1616</v>
      </c>
      <c r="D109" s="8">
        <f t="shared" ref="D109:E109" si="39">+I109</f>
        <v>744</v>
      </c>
      <c r="E109" s="8">
        <f t="shared" si="39"/>
        <v>31676.799999999999</v>
      </c>
      <c r="F109" s="45" t="s">
        <v>1617</v>
      </c>
      <c r="G109" s="45">
        <v>91701</v>
      </c>
      <c r="H109" s="14"/>
      <c r="I109" s="45">
        <v>744</v>
      </c>
      <c r="J109" s="46">
        <v>31676.799999999999</v>
      </c>
      <c r="K109" s="52">
        <f t="shared" ref="K109:K111" si="40">+A109-D109</f>
        <v>-3</v>
      </c>
      <c r="L109" s="31">
        <f t="shared" ref="L109" si="41">((+B109/A109)-(E109/D109))/(B109/A109)</f>
        <v>5.0548968355958762E-2</v>
      </c>
    </row>
    <row r="110" spans="1:12" ht="15" thickBot="1" x14ac:dyDescent="0.35">
      <c r="A110" s="175">
        <v>928</v>
      </c>
      <c r="B110" s="8">
        <v>41897</v>
      </c>
      <c r="C110" s="8" t="s">
        <v>1618</v>
      </c>
      <c r="D110" s="8">
        <v>928</v>
      </c>
      <c r="E110" s="8">
        <v>40112.9</v>
      </c>
      <c r="F110" s="45" t="s">
        <v>1619</v>
      </c>
      <c r="G110" s="45">
        <v>91711</v>
      </c>
      <c r="H110" s="14"/>
      <c r="I110" s="45">
        <v>856</v>
      </c>
      <c r="J110" s="46">
        <v>37124.199999999997</v>
      </c>
      <c r="K110" s="52">
        <f t="shared" si="40"/>
        <v>0</v>
      </c>
      <c r="L110" s="53">
        <f t="shared" ref="L110" si="42">(+B110-E110)/B110</f>
        <v>4.2583001169534777E-2</v>
      </c>
    </row>
    <row r="111" spans="1:12" ht="15" thickBot="1" x14ac:dyDescent="0.35">
      <c r="A111" s="175">
        <v>1438</v>
      </c>
      <c r="B111" s="8">
        <v>62734.75</v>
      </c>
      <c r="C111" s="8" t="s">
        <v>1701</v>
      </c>
      <c r="D111" s="8">
        <v>1439</v>
      </c>
      <c r="E111" s="8">
        <v>59884.4</v>
      </c>
      <c r="F111" s="45" t="s">
        <v>1702</v>
      </c>
      <c r="G111" s="45">
        <v>91831</v>
      </c>
      <c r="I111" s="50"/>
      <c r="J111" s="50"/>
      <c r="K111" s="52">
        <f t="shared" si="40"/>
        <v>-1</v>
      </c>
      <c r="L111" s="31">
        <f t="shared" ref="L111" si="43">((+B111/A111)-(E111/D111))/(B111/A111)</f>
        <v>4.6098299401762417E-2</v>
      </c>
    </row>
    <row r="112" spans="1:12" ht="15" thickBot="1" x14ac:dyDescent="0.35">
      <c r="A112" s="175">
        <v>172</v>
      </c>
      <c r="B112" s="8">
        <v>7672.5</v>
      </c>
      <c r="C112" s="8" t="s">
        <v>1641</v>
      </c>
      <c r="D112" s="8">
        <f>+I112</f>
        <v>171</v>
      </c>
      <c r="E112" s="8">
        <f>+J112</f>
        <v>7262.6</v>
      </c>
      <c r="F112" s="45" t="s">
        <v>1642</v>
      </c>
      <c r="G112" s="46">
        <v>91841</v>
      </c>
      <c r="I112" s="50">
        <v>171</v>
      </c>
      <c r="J112" s="50">
        <v>7262.6</v>
      </c>
      <c r="K112" s="52">
        <f t="shared" ref="K112:K113" si="44">+A112-D112</f>
        <v>1</v>
      </c>
      <c r="L112" s="31">
        <f t="shared" ref="L112" si="45">((+B112/A112)-(E112/D112))/(B112/A112)</f>
        <v>4.7889039422712137E-2</v>
      </c>
    </row>
    <row r="113" spans="1:12" x14ac:dyDescent="0.3">
      <c r="A113" s="871">
        <v>298</v>
      </c>
      <c r="B113" s="873">
        <v>13385.25</v>
      </c>
      <c r="C113" s="873" t="s">
        <v>1703</v>
      </c>
      <c r="D113" s="873">
        <f>+I113+I114</f>
        <v>309</v>
      </c>
      <c r="E113" s="873">
        <f>+J113+J114</f>
        <v>13212.6</v>
      </c>
      <c r="F113" s="39" t="s">
        <v>1704</v>
      </c>
      <c r="G113" s="39">
        <v>91911</v>
      </c>
      <c r="H113" s="40"/>
      <c r="I113" s="39">
        <v>200</v>
      </c>
      <c r="J113" s="41">
        <v>8608.6</v>
      </c>
      <c r="K113" s="877">
        <f t="shared" si="44"/>
        <v>-11</v>
      </c>
      <c r="L113" s="879">
        <f>((+B113/A113)-(E113/D113))/(B113/A113)</f>
        <v>4.8038061023191914E-2</v>
      </c>
    </row>
    <row r="114" spans="1:12" ht="15" thickBot="1" x14ac:dyDescent="0.35">
      <c r="A114" s="872"/>
      <c r="B114" s="874"/>
      <c r="C114" s="874"/>
      <c r="D114" s="874"/>
      <c r="E114" s="874"/>
      <c r="F114" s="42" t="s">
        <v>1704</v>
      </c>
      <c r="G114" s="42">
        <v>91911</v>
      </c>
      <c r="H114" s="43"/>
      <c r="I114" s="42">
        <v>109</v>
      </c>
      <c r="J114" s="44">
        <v>4604</v>
      </c>
      <c r="K114" s="878"/>
      <c r="L114" s="880"/>
    </row>
    <row r="115" spans="1:12" ht="15" thickBot="1" x14ac:dyDescent="0.35">
      <c r="A115" s="174">
        <v>561</v>
      </c>
      <c r="B115" s="12">
        <v>22746</v>
      </c>
      <c r="C115" s="12" t="s">
        <v>1705</v>
      </c>
      <c r="D115" s="12">
        <f>+I115</f>
        <v>561</v>
      </c>
      <c r="E115" s="12">
        <f>+J115</f>
        <v>21731</v>
      </c>
      <c r="F115" s="39" t="s">
        <v>1706</v>
      </c>
      <c r="G115" s="39">
        <v>92071</v>
      </c>
      <c r="H115" s="40"/>
      <c r="I115" s="39">
        <v>561</v>
      </c>
      <c r="J115" s="41">
        <v>21731</v>
      </c>
      <c r="K115" s="52">
        <f t="shared" ref="K115" si="46">+A115-D115</f>
        <v>0</v>
      </c>
      <c r="L115" s="53">
        <f t="shared" ref="L115" si="47">(+B115-E115)/B115</f>
        <v>4.4623230458102521E-2</v>
      </c>
    </row>
    <row r="116" spans="1:12" x14ac:dyDescent="0.3">
      <c r="A116" s="871">
        <v>897</v>
      </c>
      <c r="B116" s="873">
        <v>39202</v>
      </c>
      <c r="C116" s="873" t="s">
        <v>1707</v>
      </c>
      <c r="D116" s="873">
        <v>895</v>
      </c>
      <c r="E116" s="873">
        <v>37775</v>
      </c>
      <c r="F116" s="39" t="s">
        <v>1708</v>
      </c>
      <c r="G116" s="39">
        <v>92141</v>
      </c>
      <c r="H116" s="40"/>
      <c r="I116" s="39">
        <v>118</v>
      </c>
      <c r="J116" s="41">
        <v>4811.6000000000004</v>
      </c>
      <c r="K116" s="877">
        <f t="shared" ref="K116" si="48">+A116-D116</f>
        <v>2</v>
      </c>
      <c r="L116" s="879">
        <f>((+B116/A116)-(E116/D116))/(B116/A116)</f>
        <v>3.4247910621365556E-2</v>
      </c>
    </row>
    <row r="117" spans="1:12" ht="15" thickBot="1" x14ac:dyDescent="0.35">
      <c r="A117" s="872"/>
      <c r="B117" s="874"/>
      <c r="C117" s="874"/>
      <c r="D117" s="874"/>
      <c r="E117" s="874"/>
      <c r="F117" s="42" t="s">
        <v>1708</v>
      </c>
      <c r="G117" s="42">
        <v>92141</v>
      </c>
      <c r="H117" s="43"/>
      <c r="I117" s="42">
        <v>341</v>
      </c>
      <c r="J117" s="44">
        <v>14350.5</v>
      </c>
      <c r="K117" s="878"/>
      <c r="L117" s="880"/>
    </row>
    <row r="118" spans="1:12" x14ac:dyDescent="0.3">
      <c r="A118" s="871">
        <v>1632</v>
      </c>
      <c r="B118" s="873">
        <v>65456.75</v>
      </c>
      <c r="C118" s="873" t="s">
        <v>1800</v>
      </c>
      <c r="D118" s="873">
        <f>+I118+I119+I120</f>
        <v>1632</v>
      </c>
      <c r="E118" s="873">
        <f>+J118+J119+J120</f>
        <v>62944.6</v>
      </c>
      <c r="F118" s="873" t="s">
        <v>1801</v>
      </c>
      <c r="G118" s="873">
        <v>92221</v>
      </c>
      <c r="H118" s="40"/>
      <c r="I118" s="39">
        <v>375</v>
      </c>
      <c r="J118" s="41">
        <v>14959.400000000001</v>
      </c>
      <c r="K118" s="882">
        <f t="shared" ref="K118" si="49">+A118-D118</f>
        <v>0</v>
      </c>
      <c r="L118" s="879">
        <f t="shared" ref="L118" si="50">(+B118-E118)/B118</f>
        <v>3.8378776825919426E-2</v>
      </c>
    </row>
    <row r="119" spans="1:12" x14ac:dyDescent="0.3">
      <c r="A119" s="875"/>
      <c r="B119" s="881"/>
      <c r="C119" s="881"/>
      <c r="D119" s="881"/>
      <c r="E119" s="881"/>
      <c r="F119" s="881"/>
      <c r="G119" s="881"/>
      <c r="I119" s="50">
        <v>513</v>
      </c>
      <c r="J119" s="51">
        <v>20396.3</v>
      </c>
      <c r="K119" s="883"/>
      <c r="L119" s="885"/>
    </row>
    <row r="120" spans="1:12" ht="15" thickBot="1" x14ac:dyDescent="0.35">
      <c r="A120" s="872"/>
      <c r="B120" s="874"/>
      <c r="C120" s="874"/>
      <c r="D120" s="874"/>
      <c r="E120" s="874"/>
      <c r="F120" s="874"/>
      <c r="G120" s="874"/>
      <c r="H120" s="43"/>
      <c r="I120" s="42">
        <v>744</v>
      </c>
      <c r="J120" s="44">
        <v>27588.9</v>
      </c>
      <c r="K120" s="884"/>
      <c r="L120" s="880"/>
    </row>
    <row r="121" spans="1:12" ht="15" thickBot="1" x14ac:dyDescent="0.35">
      <c r="A121" s="175">
        <v>188</v>
      </c>
      <c r="B121" s="8">
        <v>8304.5</v>
      </c>
      <c r="C121" s="8" t="s">
        <v>1802</v>
      </c>
      <c r="D121" s="8">
        <f t="shared" ref="D121:E124" si="51">+I121</f>
        <v>188</v>
      </c>
      <c r="E121" s="8">
        <f t="shared" si="51"/>
        <v>7928.2</v>
      </c>
      <c r="F121" s="45" t="s">
        <v>1803</v>
      </c>
      <c r="G121" s="45">
        <v>92281</v>
      </c>
      <c r="H121" s="14"/>
      <c r="I121" s="45">
        <v>188</v>
      </c>
      <c r="J121" s="46">
        <v>7928.2</v>
      </c>
      <c r="K121" s="52">
        <f t="shared" ref="K121:K128" si="52">+A121-D121</f>
        <v>0</v>
      </c>
      <c r="L121" s="53">
        <f t="shared" ref="L121:L122" si="53">(+B121-E121)/B121</f>
        <v>4.5312782226503721E-2</v>
      </c>
    </row>
    <row r="122" spans="1:12" ht="15" thickBot="1" x14ac:dyDescent="0.35">
      <c r="A122" s="175">
        <v>270</v>
      </c>
      <c r="B122" s="8">
        <v>12765.5</v>
      </c>
      <c r="C122" s="8" t="s">
        <v>1804</v>
      </c>
      <c r="D122" s="8">
        <v>270</v>
      </c>
      <c r="E122" s="8">
        <v>12007.1</v>
      </c>
      <c r="F122" s="45" t="s">
        <v>1805</v>
      </c>
      <c r="G122" s="45">
        <v>92291</v>
      </c>
      <c r="H122" s="14"/>
      <c r="I122" s="45">
        <v>132</v>
      </c>
      <c r="J122" s="46">
        <v>5826.1</v>
      </c>
      <c r="K122" s="52">
        <f t="shared" si="52"/>
        <v>0</v>
      </c>
      <c r="L122" s="53">
        <f t="shared" si="53"/>
        <v>5.9410128862950891E-2</v>
      </c>
    </row>
    <row r="123" spans="1:12" ht="15" thickBot="1" x14ac:dyDescent="0.35">
      <c r="A123" s="175">
        <v>366</v>
      </c>
      <c r="B123" s="8">
        <v>15411</v>
      </c>
      <c r="C123" s="8" t="s">
        <v>1806</v>
      </c>
      <c r="D123" s="8">
        <f t="shared" si="51"/>
        <v>366</v>
      </c>
      <c r="E123" s="8">
        <f t="shared" si="51"/>
        <v>14975.5</v>
      </c>
      <c r="F123" s="45" t="s">
        <v>1807</v>
      </c>
      <c r="G123" s="45">
        <v>92411</v>
      </c>
      <c r="H123" s="14"/>
      <c r="I123" s="45">
        <v>366</v>
      </c>
      <c r="J123" s="46">
        <v>14975.5</v>
      </c>
      <c r="K123" s="52">
        <f t="shared" si="52"/>
        <v>0</v>
      </c>
      <c r="L123" s="53">
        <f t="shared" ref="L123:L125" si="54">(+B123-E123)/B123</f>
        <v>2.8259035753682434E-2</v>
      </c>
    </row>
    <row r="124" spans="1:12" ht="15" thickBot="1" x14ac:dyDescent="0.35">
      <c r="A124" s="178">
        <v>309</v>
      </c>
      <c r="B124" s="8">
        <v>13689.25</v>
      </c>
      <c r="C124" s="45" t="s">
        <v>1808</v>
      </c>
      <c r="D124" s="45">
        <f t="shared" si="51"/>
        <v>309</v>
      </c>
      <c r="E124" s="45">
        <f t="shared" si="51"/>
        <v>13158.4</v>
      </c>
      <c r="F124" s="45" t="s">
        <v>1809</v>
      </c>
      <c r="G124" s="45">
        <v>92471</v>
      </c>
      <c r="H124" s="14"/>
      <c r="I124" s="45">
        <v>309</v>
      </c>
      <c r="J124" s="46">
        <v>13158.4</v>
      </c>
      <c r="K124" s="52">
        <f t="shared" si="52"/>
        <v>0</v>
      </c>
      <c r="L124" s="53">
        <f t="shared" si="54"/>
        <v>3.8778603648848574E-2</v>
      </c>
    </row>
    <row r="125" spans="1:12" ht="15" thickBot="1" x14ac:dyDescent="0.35">
      <c r="A125" s="178">
        <v>250</v>
      </c>
      <c r="B125" s="8">
        <v>10929.5</v>
      </c>
      <c r="C125" s="45" t="s">
        <v>1878</v>
      </c>
      <c r="D125" s="45">
        <v>250</v>
      </c>
      <c r="E125" s="45">
        <v>10564.5</v>
      </c>
      <c r="F125" s="45" t="s">
        <v>1879</v>
      </c>
      <c r="G125" s="45">
        <v>92531</v>
      </c>
      <c r="H125" s="14"/>
      <c r="I125" s="45">
        <v>235</v>
      </c>
      <c r="J125" s="46">
        <v>9934</v>
      </c>
      <c r="K125" s="52">
        <f>+A125-D125</f>
        <v>0</v>
      </c>
      <c r="L125" s="53">
        <f t="shared" si="54"/>
        <v>3.3395855254128734E-2</v>
      </c>
    </row>
    <row r="126" spans="1:12" x14ac:dyDescent="0.3">
      <c r="A126" s="871">
        <v>1209</v>
      </c>
      <c r="B126" s="873">
        <v>59503</v>
      </c>
      <c r="C126" s="873" t="s">
        <v>1880</v>
      </c>
      <c r="D126" s="873">
        <f>+I126+I127</f>
        <v>1210</v>
      </c>
      <c r="E126" s="873">
        <f>+J126+J127</f>
        <v>56082.8</v>
      </c>
      <c r="F126" s="39" t="s">
        <v>1881</v>
      </c>
      <c r="G126" s="39">
        <v>92601</v>
      </c>
      <c r="H126" s="40"/>
      <c r="I126" s="39">
        <v>808</v>
      </c>
      <c r="J126" s="41">
        <v>37548.400000000001</v>
      </c>
      <c r="K126" s="882">
        <f t="shared" si="52"/>
        <v>-1</v>
      </c>
      <c r="L126" s="879">
        <f t="shared" ref="L126" si="55">((+B126/A126)-(E126/D126))/(B126/A126)</f>
        <v>5.8258397416728509E-2</v>
      </c>
    </row>
    <row r="127" spans="1:12" ht="15" thickBot="1" x14ac:dyDescent="0.35">
      <c r="A127" s="872"/>
      <c r="B127" s="874"/>
      <c r="C127" s="874"/>
      <c r="D127" s="874"/>
      <c r="E127" s="874"/>
      <c r="F127" s="42" t="s">
        <v>1881</v>
      </c>
      <c r="G127" s="42">
        <v>92601</v>
      </c>
      <c r="H127" s="43"/>
      <c r="I127" s="42">
        <v>402</v>
      </c>
      <c r="J127" s="44">
        <v>18534.400000000001</v>
      </c>
      <c r="K127" s="884"/>
      <c r="L127" s="880"/>
    </row>
    <row r="128" spans="1:12" x14ac:dyDescent="0.3">
      <c r="A128" s="871">
        <v>1000</v>
      </c>
      <c r="B128" s="873">
        <v>44163.75</v>
      </c>
      <c r="C128" s="873" t="s">
        <v>1882</v>
      </c>
      <c r="D128" s="873">
        <f>+I128+I129</f>
        <v>999</v>
      </c>
      <c r="E128" s="873">
        <f>+J128+J129</f>
        <v>42414.9</v>
      </c>
      <c r="F128" s="39" t="s">
        <v>1883</v>
      </c>
      <c r="G128" s="39">
        <v>92611</v>
      </c>
      <c r="H128" s="40"/>
      <c r="I128" s="39">
        <v>400</v>
      </c>
      <c r="J128" s="41">
        <v>16915.2</v>
      </c>
      <c r="K128" s="877">
        <f t="shared" si="52"/>
        <v>1</v>
      </c>
      <c r="L128" s="879">
        <f t="shared" ref="L128" si="56">((+B128/A128)-(E128/D128))/(B128/A128)</f>
        <v>3.8637856673009889E-2</v>
      </c>
    </row>
    <row r="129" spans="1:12" ht="15" thickBot="1" x14ac:dyDescent="0.35">
      <c r="A129" s="872"/>
      <c r="B129" s="874"/>
      <c r="C129" s="874"/>
      <c r="D129" s="874"/>
      <c r="E129" s="874"/>
      <c r="F129" s="42" t="s">
        <v>1883</v>
      </c>
      <c r="G129" s="42">
        <v>92611</v>
      </c>
      <c r="H129" s="43"/>
      <c r="I129" s="42">
        <v>599</v>
      </c>
      <c r="J129" s="44">
        <v>25499.7</v>
      </c>
      <c r="K129" s="878"/>
      <c r="L129" s="880"/>
    </row>
    <row r="130" spans="1:12" ht="15" thickBot="1" x14ac:dyDescent="0.35">
      <c r="A130" s="178">
        <v>744</v>
      </c>
      <c r="B130" s="251">
        <v>33070.75</v>
      </c>
      <c r="C130" s="45" t="s">
        <v>1926</v>
      </c>
      <c r="D130" s="45">
        <f>+I130</f>
        <v>744</v>
      </c>
      <c r="E130" s="45">
        <f>+J130</f>
        <v>31610.400000000001</v>
      </c>
      <c r="F130" s="45" t="s">
        <v>1927</v>
      </c>
      <c r="G130" s="45">
        <v>92681</v>
      </c>
      <c r="H130" s="14"/>
      <c r="I130" s="45">
        <v>744</v>
      </c>
      <c r="J130" s="46">
        <v>31610.400000000001</v>
      </c>
      <c r="K130" s="52">
        <f t="shared" ref="K130:K139" si="57">+A130-D130</f>
        <v>0</v>
      </c>
      <c r="L130" s="53">
        <f t="shared" ref="L130:L132" si="58">(+B130-E130)/B130</f>
        <v>4.4158357460898183E-2</v>
      </c>
    </row>
    <row r="131" spans="1:12" ht="15" thickBot="1" x14ac:dyDescent="0.35">
      <c r="A131" s="178">
        <v>568</v>
      </c>
      <c r="B131" s="251">
        <v>27454.5</v>
      </c>
      <c r="C131" s="45" t="s">
        <v>1928</v>
      </c>
      <c r="D131" s="45">
        <v>569</v>
      </c>
      <c r="E131" s="45">
        <v>25810.6</v>
      </c>
      <c r="F131" s="45" t="s">
        <v>1929</v>
      </c>
      <c r="G131" s="45">
        <v>92731</v>
      </c>
      <c r="H131" s="14"/>
      <c r="I131" s="45">
        <v>510</v>
      </c>
      <c r="J131" s="46">
        <v>23081.9</v>
      </c>
      <c r="K131" s="52">
        <f t="shared" si="57"/>
        <v>-1</v>
      </c>
      <c r="L131" s="31">
        <f t="shared" ref="L131" si="59">((+B131/A131)-(E131/D131))/(B131/A131)</f>
        <v>6.1529488268831256E-2</v>
      </c>
    </row>
    <row r="132" spans="1:12" ht="15" thickBot="1" x14ac:dyDescent="0.35">
      <c r="A132" s="178">
        <v>671</v>
      </c>
      <c r="B132" s="251">
        <v>29985.75</v>
      </c>
      <c r="C132" s="45" t="s">
        <v>1975</v>
      </c>
      <c r="D132" s="45">
        <f>+I132</f>
        <v>671</v>
      </c>
      <c r="E132" s="45">
        <f>+J132</f>
        <v>29092.799999999999</v>
      </c>
      <c r="F132" s="45" t="s">
        <v>1976</v>
      </c>
      <c r="G132" s="45">
        <v>92901</v>
      </c>
      <c r="H132" s="14"/>
      <c r="I132" s="45">
        <v>671</v>
      </c>
      <c r="J132" s="46">
        <v>29092.799999999999</v>
      </c>
      <c r="K132" s="52">
        <f t="shared" si="57"/>
        <v>0</v>
      </c>
      <c r="L132" s="53">
        <f t="shared" si="58"/>
        <v>2.9779145093919636E-2</v>
      </c>
    </row>
    <row r="133" spans="1:12" x14ac:dyDescent="0.3">
      <c r="A133" s="871">
        <v>432</v>
      </c>
      <c r="B133" s="995">
        <v>19234.25</v>
      </c>
      <c r="C133" s="873" t="s">
        <v>1977</v>
      </c>
      <c r="D133" s="873">
        <f>+I133+I134</f>
        <v>424</v>
      </c>
      <c r="E133" s="873">
        <f>+J133+J134</f>
        <v>18202.599999999999</v>
      </c>
      <c r="F133" s="39" t="s">
        <v>1978</v>
      </c>
      <c r="G133" s="39">
        <v>92911</v>
      </c>
      <c r="H133" s="40"/>
      <c r="I133" s="39">
        <v>129</v>
      </c>
      <c r="J133" s="41">
        <v>5653.8</v>
      </c>
      <c r="K133" s="877">
        <f t="shared" si="57"/>
        <v>8</v>
      </c>
      <c r="L133" s="879">
        <f t="shared" ref="L133" si="60">((+B133/A133)-(E133/D133))/(B133/A133)</f>
        <v>3.5780169072416941E-2</v>
      </c>
    </row>
    <row r="134" spans="1:12" ht="15" thickBot="1" x14ac:dyDescent="0.35">
      <c r="A134" s="872"/>
      <c r="B134" s="996"/>
      <c r="C134" s="874"/>
      <c r="D134" s="874"/>
      <c r="E134" s="874"/>
      <c r="F134" s="42" t="s">
        <v>1978</v>
      </c>
      <c r="G134" s="42">
        <v>92911</v>
      </c>
      <c r="H134" s="43"/>
      <c r="I134" s="42">
        <v>295</v>
      </c>
      <c r="J134" s="44">
        <v>12548.8</v>
      </c>
      <c r="K134" s="878"/>
      <c r="L134" s="880"/>
    </row>
    <row r="135" spans="1:12" ht="15" thickBot="1" x14ac:dyDescent="0.35">
      <c r="A135" s="178">
        <v>360</v>
      </c>
      <c r="B135" s="251">
        <v>17479</v>
      </c>
      <c r="C135" s="45" t="s">
        <v>2023</v>
      </c>
      <c r="D135" s="45">
        <f>+I135</f>
        <v>360</v>
      </c>
      <c r="E135" s="45">
        <f>+J135</f>
        <v>16612.2</v>
      </c>
      <c r="F135" s="45" t="s">
        <v>2024</v>
      </c>
      <c r="G135" s="45">
        <v>92931</v>
      </c>
      <c r="H135" s="14"/>
      <c r="I135" s="45">
        <v>360</v>
      </c>
      <c r="J135" s="46">
        <v>16612.2</v>
      </c>
      <c r="K135" s="52">
        <f t="shared" si="57"/>
        <v>0</v>
      </c>
      <c r="L135" s="53">
        <f t="shared" ref="L135" si="61">(+B135-E135)/B135</f>
        <v>4.9590937696664526E-2</v>
      </c>
    </row>
    <row r="136" spans="1:12" ht="15" thickBot="1" x14ac:dyDescent="0.35">
      <c r="A136" s="177">
        <v>765</v>
      </c>
      <c r="B136" s="252">
        <v>34142</v>
      </c>
      <c r="C136" s="39" t="s">
        <v>2025</v>
      </c>
      <c r="D136" s="39">
        <f>+I136</f>
        <v>761</v>
      </c>
      <c r="E136" s="39">
        <f>+J136</f>
        <v>32657</v>
      </c>
      <c r="F136" s="39" t="s">
        <v>2024</v>
      </c>
      <c r="G136" s="39">
        <v>92931</v>
      </c>
      <c r="H136" s="40"/>
      <c r="I136" s="39">
        <v>761</v>
      </c>
      <c r="J136" s="41">
        <v>32657</v>
      </c>
      <c r="K136" s="52">
        <f t="shared" si="57"/>
        <v>4</v>
      </c>
      <c r="L136" s="31">
        <f t="shared" ref="L136" si="62">((+B136/A136)-(E136/D136))/(B136/A136)</f>
        <v>3.8467193250481709E-2</v>
      </c>
    </row>
    <row r="137" spans="1:12" x14ac:dyDescent="0.3">
      <c r="A137" s="871">
        <v>545</v>
      </c>
      <c r="B137" s="995">
        <v>24414</v>
      </c>
      <c r="C137" s="873" t="s">
        <v>2026</v>
      </c>
      <c r="D137" s="873">
        <f>+I137+I138</f>
        <v>545</v>
      </c>
      <c r="E137" s="873">
        <f>+J137+J138</f>
        <v>23154.000000000004</v>
      </c>
      <c r="F137" s="39" t="s">
        <v>2027</v>
      </c>
      <c r="G137" s="39">
        <v>93121</v>
      </c>
      <c r="H137" s="40"/>
      <c r="I137" s="39">
        <v>445</v>
      </c>
      <c r="J137" s="41">
        <v>18958.300000000003</v>
      </c>
      <c r="K137" s="877">
        <f t="shared" si="57"/>
        <v>0</v>
      </c>
      <c r="L137" s="879">
        <f t="shared" ref="L137" si="63">(+B137-E137)/B137</f>
        <v>5.1609732120914083E-2</v>
      </c>
    </row>
    <row r="138" spans="1:12" ht="15" thickBot="1" x14ac:dyDescent="0.35">
      <c r="A138" s="872"/>
      <c r="B138" s="996"/>
      <c r="C138" s="874"/>
      <c r="D138" s="874"/>
      <c r="E138" s="874"/>
      <c r="F138" s="42" t="s">
        <v>2027</v>
      </c>
      <c r="G138" s="42">
        <v>93121</v>
      </c>
      <c r="H138" s="43"/>
      <c r="I138" s="42">
        <v>100</v>
      </c>
      <c r="J138" s="44">
        <v>4195.7</v>
      </c>
      <c r="K138" s="878"/>
      <c r="L138" s="880"/>
    </row>
    <row r="139" spans="1:12" ht="15" thickBot="1" x14ac:dyDescent="0.35">
      <c r="A139" s="178">
        <v>155</v>
      </c>
      <c r="B139" s="251">
        <v>7060.5</v>
      </c>
      <c r="C139" s="45" t="s">
        <v>2028</v>
      </c>
      <c r="D139" s="45">
        <f>+I139</f>
        <v>157</v>
      </c>
      <c r="E139" s="45">
        <f>+J139</f>
        <v>6779.5</v>
      </c>
      <c r="F139" s="45" t="s">
        <v>2029</v>
      </c>
      <c r="G139" s="45">
        <v>93131</v>
      </c>
      <c r="H139" s="14"/>
      <c r="I139" s="45">
        <v>157</v>
      </c>
      <c r="J139" s="46">
        <v>6779.5</v>
      </c>
      <c r="K139" s="52">
        <f t="shared" si="57"/>
        <v>-2</v>
      </c>
      <c r="L139" s="31">
        <f t="shared" ref="L139" si="64">((+B139/A139)-(E139/D139))/(B139/A139)</f>
        <v>5.2030742486345295E-2</v>
      </c>
    </row>
    <row r="140" spans="1:12" x14ac:dyDescent="0.3">
      <c r="A140" s="871">
        <f>+D140</f>
        <v>588</v>
      </c>
      <c r="B140" s="995">
        <v>28348</v>
      </c>
      <c r="C140" s="873" t="s">
        <v>2062</v>
      </c>
      <c r="D140" s="873">
        <f>+I140+I141</f>
        <v>588</v>
      </c>
      <c r="E140" s="873">
        <f>+J140+J141</f>
        <v>26911.100000000002</v>
      </c>
      <c r="F140" s="39" t="s">
        <v>2063</v>
      </c>
      <c r="G140" s="39">
        <v>93431</v>
      </c>
      <c r="H140" s="40"/>
      <c r="I140" s="39">
        <v>400</v>
      </c>
      <c r="J140" s="41">
        <v>18430.400000000001</v>
      </c>
      <c r="K140" s="877">
        <f t="shared" ref="K140" si="65">+A140-D140</f>
        <v>0</v>
      </c>
      <c r="L140" s="879">
        <f t="shared" ref="L140" si="66">(+B140-E140)/B140</f>
        <v>5.0687879215464859E-2</v>
      </c>
    </row>
    <row r="141" spans="1:12" ht="15" thickBot="1" x14ac:dyDescent="0.35">
      <c r="A141" s="872"/>
      <c r="B141" s="996"/>
      <c r="C141" s="874"/>
      <c r="D141" s="874"/>
      <c r="E141" s="874"/>
      <c r="F141" s="42" t="s">
        <v>2063</v>
      </c>
      <c r="G141" s="42">
        <v>93431</v>
      </c>
      <c r="H141" s="43"/>
      <c r="I141" s="42">
        <v>188</v>
      </c>
      <c r="J141" s="44">
        <v>8480.7000000000007</v>
      </c>
      <c r="K141" s="878"/>
      <c r="L141" s="880"/>
    </row>
    <row r="142" spans="1:12" x14ac:dyDescent="0.3">
      <c r="A142" s="871">
        <f>+D142</f>
        <v>517</v>
      </c>
      <c r="B142" s="873">
        <v>22469.75</v>
      </c>
      <c r="C142" s="873" t="s">
        <v>2064</v>
      </c>
      <c r="D142" s="873">
        <f>+I142+I143</f>
        <v>517</v>
      </c>
      <c r="E142" s="873">
        <f>+J142+J143</f>
        <v>21577.3</v>
      </c>
      <c r="F142" s="39" t="s">
        <v>2065</v>
      </c>
      <c r="G142" s="39">
        <v>93441</v>
      </c>
      <c r="H142" s="40"/>
      <c r="I142" s="39">
        <v>308</v>
      </c>
      <c r="J142" s="41">
        <v>12786.4</v>
      </c>
      <c r="K142" s="877">
        <f t="shared" ref="K142:K144" si="67">+A142-D142</f>
        <v>0</v>
      </c>
      <c r="L142" s="879">
        <f t="shared" ref="L142:L144" si="68">(+B142-E142)/B142</f>
        <v>3.9717842877646646E-2</v>
      </c>
    </row>
    <row r="143" spans="1:12" ht="15" thickBot="1" x14ac:dyDescent="0.35">
      <c r="A143" s="872"/>
      <c r="B143" s="874"/>
      <c r="C143" s="874"/>
      <c r="D143" s="874"/>
      <c r="E143" s="874"/>
      <c r="F143" s="42" t="s">
        <v>2065</v>
      </c>
      <c r="G143" s="42">
        <v>93441</v>
      </c>
      <c r="H143" s="43"/>
      <c r="I143" s="42">
        <v>209</v>
      </c>
      <c r="J143" s="44">
        <v>8790.9</v>
      </c>
      <c r="K143" s="878"/>
      <c r="L143" s="880"/>
    </row>
    <row r="144" spans="1:12" x14ac:dyDescent="0.3">
      <c r="A144" s="871">
        <v>599</v>
      </c>
      <c r="B144" s="995">
        <v>25841.5</v>
      </c>
      <c r="C144" s="873" t="s">
        <v>2066</v>
      </c>
      <c r="D144" s="873">
        <f>+I144+I145+299</f>
        <v>599</v>
      </c>
      <c r="E144" s="873">
        <f>+J144+J145+12158.5</f>
        <v>24462.5</v>
      </c>
      <c r="F144" s="39" t="s">
        <v>2067</v>
      </c>
      <c r="G144" s="39">
        <v>93451</v>
      </c>
      <c r="H144" s="40"/>
      <c r="I144" s="39">
        <v>132</v>
      </c>
      <c r="J144" s="41">
        <v>5397</v>
      </c>
      <c r="K144" s="877">
        <f t="shared" si="67"/>
        <v>0</v>
      </c>
      <c r="L144" s="879">
        <f t="shared" si="68"/>
        <v>5.3363775322639938E-2</v>
      </c>
    </row>
    <row r="145" spans="1:12" ht="15" thickBot="1" x14ac:dyDescent="0.35">
      <c r="A145" s="872"/>
      <c r="B145" s="996"/>
      <c r="C145" s="874"/>
      <c r="D145" s="874"/>
      <c r="E145" s="874"/>
      <c r="F145" s="42" t="s">
        <v>2067</v>
      </c>
      <c r="G145" s="42">
        <v>93451</v>
      </c>
      <c r="H145" s="43"/>
      <c r="I145" s="42">
        <v>168</v>
      </c>
      <c r="J145" s="44">
        <v>6907</v>
      </c>
      <c r="K145" s="878"/>
      <c r="L145" s="880"/>
    </row>
    <row r="146" spans="1:12" ht="15" thickBot="1" x14ac:dyDescent="0.35">
      <c r="A146" s="175">
        <v>542</v>
      </c>
      <c r="B146" s="254">
        <v>24769</v>
      </c>
      <c r="C146" s="8" t="s">
        <v>2150</v>
      </c>
      <c r="D146" s="8">
        <f>+I146</f>
        <v>542</v>
      </c>
      <c r="E146" s="8">
        <f>+J146</f>
        <v>23556.5</v>
      </c>
      <c r="F146" s="45" t="s">
        <v>2151</v>
      </c>
      <c r="G146" s="45">
        <v>93461</v>
      </c>
      <c r="H146" s="14"/>
      <c r="I146" s="45">
        <v>542</v>
      </c>
      <c r="J146" s="46">
        <v>23556.5</v>
      </c>
      <c r="K146" s="52">
        <f t="shared" ref="K146:K151" si="69">+A146-D146</f>
        <v>0</v>
      </c>
      <c r="L146" s="53">
        <f t="shared" ref="L146:L149" si="70">(+B146-E146)/B146</f>
        <v>4.89523194315475E-2</v>
      </c>
    </row>
    <row r="147" spans="1:12" x14ac:dyDescent="0.3">
      <c r="A147" s="935">
        <v>512</v>
      </c>
      <c r="B147" s="1003">
        <v>23449.5</v>
      </c>
      <c r="C147" s="908" t="s">
        <v>2212</v>
      </c>
      <c r="D147" s="873">
        <f>+I147+I148</f>
        <v>512</v>
      </c>
      <c r="E147" s="873">
        <f>+J147+J148</f>
        <v>22299.4</v>
      </c>
      <c r="F147" s="39" t="s">
        <v>2213</v>
      </c>
      <c r="G147" s="39">
        <v>93501</v>
      </c>
      <c r="H147" s="40"/>
      <c r="I147" s="39">
        <v>206</v>
      </c>
      <c r="J147" s="41">
        <v>8883.1</v>
      </c>
      <c r="K147" s="877">
        <f t="shared" si="69"/>
        <v>0</v>
      </c>
      <c r="L147" s="879">
        <f t="shared" si="70"/>
        <v>4.9045821872534534E-2</v>
      </c>
    </row>
    <row r="148" spans="1:12" ht="15" thickBot="1" x14ac:dyDescent="0.35">
      <c r="A148" s="937"/>
      <c r="B148" s="1004"/>
      <c r="C148" s="910"/>
      <c r="D148" s="874"/>
      <c r="E148" s="874"/>
      <c r="F148" s="42" t="s">
        <v>2213</v>
      </c>
      <c r="G148" s="42">
        <v>93501</v>
      </c>
      <c r="H148" s="43"/>
      <c r="I148" s="42">
        <v>306</v>
      </c>
      <c r="J148" s="44">
        <v>13416.3</v>
      </c>
      <c r="K148" s="878"/>
      <c r="L148" s="880"/>
    </row>
    <row r="149" spans="1:12" ht="15" thickBot="1" x14ac:dyDescent="0.35">
      <c r="A149" s="175">
        <v>106</v>
      </c>
      <c r="B149" s="254">
        <v>4547.75</v>
      </c>
      <c r="C149" s="8" t="s">
        <v>2214</v>
      </c>
      <c r="D149" s="8">
        <f t="shared" ref="D149:E151" si="71">+I149</f>
        <v>106</v>
      </c>
      <c r="E149" s="8">
        <f t="shared" si="71"/>
        <v>4381.8</v>
      </c>
      <c r="F149" s="45" t="s">
        <v>2215</v>
      </c>
      <c r="G149" s="45">
        <v>93591</v>
      </c>
      <c r="H149" s="14"/>
      <c r="I149" s="45">
        <v>106</v>
      </c>
      <c r="J149" s="46">
        <v>4381.8</v>
      </c>
      <c r="K149" s="52">
        <f t="shared" si="69"/>
        <v>0</v>
      </c>
      <c r="L149" s="53">
        <f t="shared" si="70"/>
        <v>3.6490572261008151E-2</v>
      </c>
    </row>
    <row r="150" spans="1:12" ht="15" thickBot="1" x14ac:dyDescent="0.35">
      <c r="A150" s="175">
        <v>435</v>
      </c>
      <c r="B150" s="254">
        <v>18823.25</v>
      </c>
      <c r="C150" s="8" t="s">
        <v>2216</v>
      </c>
      <c r="D150" s="8">
        <f t="shared" si="71"/>
        <v>434</v>
      </c>
      <c r="E150" s="8">
        <f t="shared" si="71"/>
        <v>18031.599999999999</v>
      </c>
      <c r="F150" s="45" t="s">
        <v>2217</v>
      </c>
      <c r="G150" s="45">
        <v>93601</v>
      </c>
      <c r="H150" s="14"/>
      <c r="I150" s="45">
        <v>434</v>
      </c>
      <c r="J150" s="46">
        <v>18031.599999999999</v>
      </c>
      <c r="K150" s="52">
        <f t="shared" si="69"/>
        <v>1</v>
      </c>
      <c r="L150" s="31">
        <f t="shared" ref="L150:L151" si="72">((+B150/A150)-(E150/D150))/(B150/A150)</f>
        <v>3.9849788668918203E-2</v>
      </c>
    </row>
    <row r="151" spans="1:12" ht="15" thickBot="1" x14ac:dyDescent="0.35">
      <c r="A151" s="178">
        <v>600</v>
      </c>
      <c r="B151" s="254">
        <v>24974.799999999999</v>
      </c>
      <c r="C151" s="45" t="s">
        <v>2218</v>
      </c>
      <c r="D151" s="45">
        <f t="shared" si="71"/>
        <v>597</v>
      </c>
      <c r="E151" s="45">
        <f t="shared" si="71"/>
        <v>23618.5</v>
      </c>
      <c r="F151" s="45" t="s">
        <v>2219</v>
      </c>
      <c r="G151" s="45">
        <v>93671</v>
      </c>
      <c r="H151" s="14"/>
      <c r="I151" s="45">
        <v>597</v>
      </c>
      <c r="J151" s="46">
        <v>23618.5</v>
      </c>
      <c r="K151" s="52">
        <f t="shared" si="69"/>
        <v>3</v>
      </c>
      <c r="L151" s="31">
        <f t="shared" si="72"/>
        <v>4.9554513763944312E-2</v>
      </c>
    </row>
    <row r="152" spans="1:12" x14ac:dyDescent="0.3">
      <c r="A152" s="871">
        <v>930</v>
      </c>
      <c r="B152" s="995">
        <v>40577.5</v>
      </c>
      <c r="C152" s="873" t="s">
        <v>2220</v>
      </c>
      <c r="D152" s="873">
        <f>+I152+I153</f>
        <v>930</v>
      </c>
      <c r="E152" s="873">
        <f>+J152+J153</f>
        <v>38636.199999999997</v>
      </c>
      <c r="F152" s="39" t="s">
        <v>2221</v>
      </c>
      <c r="G152" s="39">
        <v>93751</v>
      </c>
      <c r="H152" s="40"/>
      <c r="I152" s="39">
        <v>530</v>
      </c>
      <c r="J152" s="41">
        <v>21966.2</v>
      </c>
      <c r="K152" s="877">
        <f t="shared" ref="K152" si="73">+A152-D152</f>
        <v>0</v>
      </c>
      <c r="L152" s="879">
        <f t="shared" ref="L152" si="74">(+B152-E152)/B152</f>
        <v>4.7841784240034574E-2</v>
      </c>
    </row>
    <row r="153" spans="1:12" ht="15" thickBot="1" x14ac:dyDescent="0.35">
      <c r="A153" s="872"/>
      <c r="B153" s="996"/>
      <c r="C153" s="874"/>
      <c r="D153" s="874"/>
      <c r="E153" s="874"/>
      <c r="F153" s="42" t="s">
        <v>2221</v>
      </c>
      <c r="G153" s="42">
        <v>93751</v>
      </c>
      <c r="H153" s="43"/>
      <c r="I153" s="42">
        <v>400</v>
      </c>
      <c r="J153" s="44">
        <v>16670</v>
      </c>
      <c r="K153" s="878"/>
      <c r="L153" s="880"/>
    </row>
    <row r="154" spans="1:12" x14ac:dyDescent="0.3">
      <c r="A154" s="871">
        <v>1194</v>
      </c>
      <c r="B154" s="995">
        <v>49772.3</v>
      </c>
      <c r="C154" s="873" t="s">
        <v>2222</v>
      </c>
      <c r="D154" s="873">
        <f>+I154+I155</f>
        <v>1193</v>
      </c>
      <c r="E154" s="873">
        <f>+J154+J155</f>
        <v>47036.5</v>
      </c>
      <c r="F154" s="39" t="s">
        <v>2223</v>
      </c>
      <c r="G154" s="39">
        <v>93771</v>
      </c>
      <c r="H154" s="40"/>
      <c r="I154" s="39">
        <v>860</v>
      </c>
      <c r="J154" s="41">
        <v>33998.300000000003</v>
      </c>
      <c r="K154" s="877">
        <f t="shared" ref="K154" si="75">+A154-D154</f>
        <v>1</v>
      </c>
      <c r="L154" s="879">
        <f t="shared" ref="L154" si="76">((+B154/A154)-(E154/D154))/(B154/A154)</f>
        <v>5.4174167667521131E-2</v>
      </c>
    </row>
    <row r="155" spans="1:12" ht="15" thickBot="1" x14ac:dyDescent="0.35">
      <c r="A155" s="872"/>
      <c r="B155" s="996"/>
      <c r="C155" s="874"/>
      <c r="D155" s="874"/>
      <c r="E155" s="874"/>
      <c r="F155" s="42" t="s">
        <v>2223</v>
      </c>
      <c r="G155" s="42">
        <v>93771</v>
      </c>
      <c r="H155" s="43"/>
      <c r="I155" s="42">
        <v>333</v>
      </c>
      <c r="J155" s="44">
        <v>13038.2</v>
      </c>
      <c r="K155" s="878"/>
      <c r="L155" s="880"/>
    </row>
    <row r="156" spans="1:12" x14ac:dyDescent="0.3">
      <c r="A156" s="871">
        <v>1846</v>
      </c>
      <c r="B156" s="873">
        <v>82535.399999999994</v>
      </c>
      <c r="C156" s="873" t="s">
        <v>2335</v>
      </c>
      <c r="D156" s="873">
        <f>+I156+I157+I158</f>
        <v>1845</v>
      </c>
      <c r="E156" s="873">
        <f>+J156+J157+J158</f>
        <v>78200.7</v>
      </c>
      <c r="F156" s="39" t="s">
        <v>2336</v>
      </c>
      <c r="G156" s="39">
        <v>93861</v>
      </c>
      <c r="H156" s="40"/>
      <c r="I156" s="39">
        <v>1100</v>
      </c>
      <c r="J156" s="41">
        <v>46698.7</v>
      </c>
      <c r="K156" s="882">
        <f t="shared" ref="K156" si="77">+A156-D156</f>
        <v>1</v>
      </c>
      <c r="L156" s="879">
        <f>((+B156/A156)-(E156/D156))/(B156/A156)</f>
        <v>5.200574295087889E-2</v>
      </c>
    </row>
    <row r="157" spans="1:12" x14ac:dyDescent="0.3">
      <c r="A157" s="875"/>
      <c r="B157" s="881"/>
      <c r="C157" s="881"/>
      <c r="D157" s="881"/>
      <c r="E157" s="881"/>
      <c r="F157" s="50" t="s">
        <v>2336</v>
      </c>
      <c r="G157" s="50">
        <v>93861</v>
      </c>
      <c r="I157" s="50">
        <v>99</v>
      </c>
      <c r="J157" s="51">
        <v>4015.4</v>
      </c>
      <c r="K157" s="883"/>
      <c r="L157" s="885"/>
    </row>
    <row r="158" spans="1:12" ht="15" thickBot="1" x14ac:dyDescent="0.35">
      <c r="A158" s="872"/>
      <c r="B158" s="874"/>
      <c r="C158" s="874"/>
      <c r="D158" s="874"/>
      <c r="E158" s="874"/>
      <c r="F158" s="42" t="s">
        <v>2336</v>
      </c>
      <c r="G158" s="42">
        <v>93861</v>
      </c>
      <c r="H158" s="43"/>
      <c r="I158" s="42">
        <v>646</v>
      </c>
      <c r="J158" s="44">
        <v>27486.6</v>
      </c>
      <c r="K158" s="884"/>
      <c r="L158" s="880"/>
    </row>
    <row r="159" spans="1:12" x14ac:dyDescent="0.3">
      <c r="A159" s="871">
        <v>1203</v>
      </c>
      <c r="B159" s="873">
        <v>54089.25</v>
      </c>
      <c r="C159" s="873" t="s">
        <v>2337</v>
      </c>
      <c r="D159" s="873">
        <f>+I159+I160+I161</f>
        <v>1204</v>
      </c>
      <c r="E159" s="873">
        <f>+J159+J160+J161</f>
        <v>51952</v>
      </c>
      <c r="F159" s="39" t="s">
        <v>2338</v>
      </c>
      <c r="G159" s="39">
        <v>93931</v>
      </c>
      <c r="H159" s="40"/>
      <c r="I159" s="39">
        <v>308</v>
      </c>
      <c r="J159" s="41">
        <v>13048.4</v>
      </c>
      <c r="K159" s="882">
        <f t="shared" ref="K159" si="78">+A159-D159</f>
        <v>-1</v>
      </c>
      <c r="L159" s="879">
        <f>((+B159/A159)-(E159/D159))/(B159/A159)</f>
        <v>4.0311143187622821E-2</v>
      </c>
    </row>
    <row r="160" spans="1:12" x14ac:dyDescent="0.3">
      <c r="A160" s="875"/>
      <c r="B160" s="881"/>
      <c r="C160" s="881"/>
      <c r="D160" s="881"/>
      <c r="E160" s="881"/>
      <c r="F160" s="50" t="s">
        <v>2338</v>
      </c>
      <c r="G160" s="50">
        <v>93931</v>
      </c>
      <c r="I160" s="50">
        <v>474</v>
      </c>
      <c r="J160" s="51">
        <v>20273.5</v>
      </c>
      <c r="K160" s="883"/>
      <c r="L160" s="885"/>
    </row>
    <row r="161" spans="1:12" ht="15" thickBot="1" x14ac:dyDescent="0.35">
      <c r="A161" s="872"/>
      <c r="B161" s="874"/>
      <c r="C161" s="874"/>
      <c r="D161" s="874"/>
      <c r="E161" s="874"/>
      <c r="F161" s="42" t="s">
        <v>2338</v>
      </c>
      <c r="G161" s="42">
        <v>93931</v>
      </c>
      <c r="H161" s="43"/>
      <c r="I161" s="42">
        <v>422</v>
      </c>
      <c r="J161" s="44">
        <v>18630.099999999999</v>
      </c>
      <c r="K161" s="884"/>
      <c r="L161" s="880"/>
    </row>
    <row r="162" spans="1:12" ht="15" thickBot="1" x14ac:dyDescent="0.35">
      <c r="A162" s="175">
        <v>648</v>
      </c>
      <c r="B162" s="8">
        <v>29024.5</v>
      </c>
      <c r="C162" s="8" t="s">
        <v>2339</v>
      </c>
      <c r="D162" s="8">
        <f>+I162</f>
        <v>648</v>
      </c>
      <c r="E162" s="8">
        <f>+J162</f>
        <v>27690.5</v>
      </c>
      <c r="F162" s="45" t="s">
        <v>2340</v>
      </c>
      <c r="G162" s="45">
        <v>94011</v>
      </c>
      <c r="H162" s="14"/>
      <c r="I162" s="45">
        <v>648</v>
      </c>
      <c r="J162" s="46">
        <v>27690.5</v>
      </c>
      <c r="K162" s="52">
        <f t="shared" ref="K162:K167" si="79">+A162-D162</f>
        <v>0</v>
      </c>
      <c r="L162" s="53">
        <f t="shared" ref="L162:L166" si="80">(+B162-E162)/B162</f>
        <v>4.5961170735068647E-2</v>
      </c>
    </row>
    <row r="163" spans="1:12" ht="15" thickBot="1" x14ac:dyDescent="0.35">
      <c r="A163" s="175">
        <v>263</v>
      </c>
      <c r="B163" s="8">
        <v>11446.25</v>
      </c>
      <c r="C163" s="8" t="s">
        <v>2472</v>
      </c>
      <c r="D163" s="8">
        <f t="shared" ref="D163:E166" si="81">+I163</f>
        <v>263</v>
      </c>
      <c r="E163" s="8">
        <f t="shared" si="81"/>
        <v>11053.599999999999</v>
      </c>
      <c r="F163" s="45" t="s">
        <v>2473</v>
      </c>
      <c r="G163" s="45">
        <v>94191</v>
      </c>
      <c r="H163" s="14"/>
      <c r="I163" s="45">
        <v>263</v>
      </c>
      <c r="J163" s="46">
        <v>11053.599999999999</v>
      </c>
      <c r="K163" s="52">
        <f t="shared" si="79"/>
        <v>0</v>
      </c>
      <c r="L163" s="53">
        <f t="shared" si="80"/>
        <v>3.430381129190796E-2</v>
      </c>
    </row>
    <row r="164" spans="1:12" ht="15" thickBot="1" x14ac:dyDescent="0.35">
      <c r="A164" s="175">
        <v>199</v>
      </c>
      <c r="B164" s="8">
        <v>8975.75</v>
      </c>
      <c r="C164" s="8" t="s">
        <v>2509</v>
      </c>
      <c r="D164" s="8">
        <f t="shared" si="81"/>
        <v>199</v>
      </c>
      <c r="E164" s="8">
        <f t="shared" si="81"/>
        <v>8612</v>
      </c>
      <c r="F164" s="45" t="s">
        <v>2510</v>
      </c>
      <c r="G164" s="45">
        <v>94201</v>
      </c>
      <c r="H164" s="14"/>
      <c r="I164" s="45">
        <v>199</v>
      </c>
      <c r="J164" s="46">
        <v>8612</v>
      </c>
      <c r="K164" s="52">
        <f t="shared" si="79"/>
        <v>0</v>
      </c>
      <c r="L164" s="53">
        <f t="shared" si="80"/>
        <v>4.052586134863382E-2</v>
      </c>
    </row>
    <row r="165" spans="1:12" ht="15" thickBot="1" x14ac:dyDescent="0.35">
      <c r="A165" s="175">
        <v>39</v>
      </c>
      <c r="B165" s="8">
        <v>1327.25</v>
      </c>
      <c r="C165" s="8" t="s">
        <v>2511</v>
      </c>
      <c r="D165" s="8">
        <f t="shared" si="81"/>
        <v>39</v>
      </c>
      <c r="E165" s="8">
        <f t="shared" si="81"/>
        <v>1279.2</v>
      </c>
      <c r="F165" s="45" t="s">
        <v>2512</v>
      </c>
      <c r="G165" s="45">
        <v>94241</v>
      </c>
      <c r="H165" s="14"/>
      <c r="I165" s="45">
        <v>39</v>
      </c>
      <c r="J165" s="46">
        <v>1279.2</v>
      </c>
      <c r="K165" s="52">
        <f t="shared" si="79"/>
        <v>0</v>
      </c>
      <c r="L165" s="53">
        <f t="shared" si="80"/>
        <v>3.620267470333393E-2</v>
      </c>
    </row>
    <row r="166" spans="1:12" ht="15" thickBot="1" x14ac:dyDescent="0.35">
      <c r="A166" s="175">
        <v>202</v>
      </c>
      <c r="B166" s="8">
        <v>8766</v>
      </c>
      <c r="C166" s="8" t="s">
        <v>2513</v>
      </c>
      <c r="D166" s="8">
        <f t="shared" si="81"/>
        <v>202</v>
      </c>
      <c r="E166" s="8">
        <f t="shared" si="81"/>
        <v>8461.1</v>
      </c>
      <c r="F166" s="45" t="s">
        <v>2514</v>
      </c>
      <c r="G166" s="45">
        <v>94251</v>
      </c>
      <c r="H166" s="14"/>
      <c r="I166" s="45">
        <v>202</v>
      </c>
      <c r="J166" s="46">
        <v>8461.1</v>
      </c>
      <c r="K166" s="52">
        <f t="shared" si="79"/>
        <v>0</v>
      </c>
      <c r="L166" s="53">
        <f t="shared" si="80"/>
        <v>3.4782112708190698E-2</v>
      </c>
    </row>
    <row r="167" spans="1:12" x14ac:dyDescent="0.3">
      <c r="A167" s="871">
        <v>1363</v>
      </c>
      <c r="B167" s="873">
        <v>61092.5</v>
      </c>
      <c r="C167" s="873" t="s">
        <v>2515</v>
      </c>
      <c r="D167" s="873">
        <f>+I167+I168+I169</f>
        <v>1362</v>
      </c>
      <c r="E167" s="873">
        <f>+J167+J168+J169</f>
        <v>57834.400000000009</v>
      </c>
      <c r="F167" s="39" t="s">
        <v>2516</v>
      </c>
      <c r="G167" s="39">
        <v>94311</v>
      </c>
      <c r="H167" s="40"/>
      <c r="I167" s="39">
        <v>750</v>
      </c>
      <c r="J167" s="41">
        <v>31853.300000000003</v>
      </c>
      <c r="K167" s="882">
        <f t="shared" si="79"/>
        <v>1</v>
      </c>
      <c r="L167" s="879">
        <f>((+B167/A167)-(E167/D167))/(B167/A167)</f>
        <v>5.2635546936991476E-2</v>
      </c>
    </row>
    <row r="168" spans="1:12" x14ac:dyDescent="0.3">
      <c r="A168" s="875"/>
      <c r="B168" s="881"/>
      <c r="C168" s="881"/>
      <c r="D168" s="881"/>
      <c r="E168" s="881"/>
      <c r="F168" s="50" t="s">
        <v>2516</v>
      </c>
      <c r="G168" s="50">
        <v>94311</v>
      </c>
      <c r="I168" s="50">
        <v>462</v>
      </c>
      <c r="J168" s="51">
        <v>19813.600000000002</v>
      </c>
      <c r="K168" s="883"/>
      <c r="L168" s="885"/>
    </row>
    <row r="169" spans="1:12" ht="15" thickBot="1" x14ac:dyDescent="0.35">
      <c r="A169" s="872"/>
      <c r="B169" s="874"/>
      <c r="C169" s="874"/>
      <c r="D169" s="874"/>
      <c r="E169" s="874"/>
      <c r="F169" s="42" t="s">
        <v>2516</v>
      </c>
      <c r="G169" s="42">
        <v>94311</v>
      </c>
      <c r="H169" s="43"/>
      <c r="I169" s="42">
        <v>150</v>
      </c>
      <c r="J169" s="44">
        <v>6167.5</v>
      </c>
      <c r="K169" s="884"/>
      <c r="L169" s="880"/>
    </row>
    <row r="170" spans="1:12" ht="15" thickBot="1" x14ac:dyDescent="0.35">
      <c r="A170" s="175">
        <v>76</v>
      </c>
      <c r="B170" s="8">
        <v>3854.2</v>
      </c>
      <c r="C170" s="8" t="s">
        <v>2517</v>
      </c>
      <c r="D170" s="8">
        <f t="shared" ref="D170:E171" si="82">+I170</f>
        <v>76</v>
      </c>
      <c r="E170" s="8">
        <f t="shared" si="82"/>
        <v>3571.8999999999996</v>
      </c>
      <c r="F170" s="45" t="s">
        <v>2518</v>
      </c>
      <c r="G170" s="45">
        <v>94371</v>
      </c>
      <c r="H170" s="14"/>
      <c r="I170" s="45">
        <v>76</v>
      </c>
      <c r="J170" s="46">
        <v>3571.8999999999996</v>
      </c>
      <c r="K170" s="52">
        <f t="shared" ref="K170:K172" si="83">+A170-D170</f>
        <v>0</v>
      </c>
      <c r="L170" s="53">
        <f t="shared" ref="L170" si="84">(+B170-E170)/B170</f>
        <v>7.3244771937107628E-2</v>
      </c>
    </row>
    <row r="171" spans="1:12" ht="15" thickBot="1" x14ac:dyDescent="0.35">
      <c r="A171" s="175">
        <v>288</v>
      </c>
      <c r="B171" s="8">
        <v>12659.5</v>
      </c>
      <c r="C171" s="8" t="s">
        <v>2519</v>
      </c>
      <c r="D171" s="8">
        <f t="shared" si="82"/>
        <v>289</v>
      </c>
      <c r="E171" s="8">
        <f t="shared" si="82"/>
        <v>12196.6</v>
      </c>
      <c r="F171" s="45" t="s">
        <v>2520</v>
      </c>
      <c r="G171" s="45">
        <v>94451</v>
      </c>
      <c r="H171" s="14"/>
      <c r="I171" s="45">
        <v>289</v>
      </c>
      <c r="J171" s="46">
        <v>12196.6</v>
      </c>
      <c r="K171" s="52">
        <f t="shared" si="83"/>
        <v>-1</v>
      </c>
      <c r="L171" s="31">
        <f t="shared" ref="L171:L172" si="85">((+B171/A171)-(E171/D171))/(B171/A171)</f>
        <v>3.9899108824684164E-2</v>
      </c>
    </row>
    <row r="172" spans="1:12" x14ac:dyDescent="0.3">
      <c r="A172" s="871">
        <v>1068</v>
      </c>
      <c r="B172" s="873">
        <v>47805</v>
      </c>
      <c r="C172" s="873" t="s">
        <v>2663</v>
      </c>
      <c r="D172" s="873">
        <f>+I172+I173</f>
        <v>1066</v>
      </c>
      <c r="E172" s="873">
        <f>+J172+J173</f>
        <v>45921.8</v>
      </c>
      <c r="F172" s="39" t="s">
        <v>2664</v>
      </c>
      <c r="G172" s="39">
        <v>94541</v>
      </c>
      <c r="H172" s="40"/>
      <c r="I172" s="39">
        <v>446</v>
      </c>
      <c r="J172" s="41">
        <v>18848.300000000003</v>
      </c>
      <c r="K172" s="877">
        <f t="shared" si="83"/>
        <v>2</v>
      </c>
      <c r="L172" s="879">
        <f t="shared" si="85"/>
        <v>3.759110504623895E-2</v>
      </c>
    </row>
    <row r="173" spans="1:12" ht="15" thickBot="1" x14ac:dyDescent="0.35">
      <c r="A173" s="872"/>
      <c r="B173" s="874"/>
      <c r="C173" s="874"/>
      <c r="D173" s="874"/>
      <c r="E173" s="874"/>
      <c r="F173" s="42" t="s">
        <v>2664</v>
      </c>
      <c r="G173" s="42">
        <v>94541</v>
      </c>
      <c r="H173" s="43"/>
      <c r="I173" s="42">
        <v>620</v>
      </c>
      <c r="J173" s="44">
        <v>27073.5</v>
      </c>
      <c r="K173" s="878"/>
      <c r="L173" s="880"/>
    </row>
    <row r="174" spans="1:12" x14ac:dyDescent="0.3">
      <c r="A174" s="871">
        <v>820</v>
      </c>
      <c r="B174" s="873">
        <v>36650</v>
      </c>
      <c r="C174" s="873" t="s">
        <v>2665</v>
      </c>
      <c r="D174" s="873">
        <f>+I174+I175</f>
        <v>817</v>
      </c>
      <c r="E174" s="873">
        <f>+J174+J175</f>
        <v>35004.899999999994</v>
      </c>
      <c r="F174" s="50" t="s">
        <v>2666</v>
      </c>
      <c r="G174" s="50">
        <v>94621</v>
      </c>
      <c r="I174" s="50">
        <v>354</v>
      </c>
      <c r="J174" s="51">
        <v>15186.899999999998</v>
      </c>
      <c r="K174" s="877">
        <f t="shared" ref="K174" si="86">+A174-D174</f>
        <v>3</v>
      </c>
      <c r="L174" s="879">
        <f t="shared" ref="L174" si="87">((+B174/A174)-(E174/D174))/(B174/A174)</f>
        <v>4.1379618976690971E-2</v>
      </c>
    </row>
    <row r="175" spans="1:12" ht="15" thickBot="1" x14ac:dyDescent="0.35">
      <c r="A175" s="872"/>
      <c r="B175" s="874"/>
      <c r="C175" s="874"/>
      <c r="D175" s="874"/>
      <c r="E175" s="874"/>
      <c r="F175" s="42" t="s">
        <v>2666</v>
      </c>
      <c r="G175" s="42">
        <v>94621</v>
      </c>
      <c r="H175" s="43"/>
      <c r="I175" s="42">
        <v>463</v>
      </c>
      <c r="J175" s="44">
        <v>19818</v>
      </c>
      <c r="K175" s="878"/>
      <c r="L175" s="880"/>
    </row>
    <row r="176" spans="1:12" ht="15" thickBot="1" x14ac:dyDescent="0.35">
      <c r="A176" s="174">
        <v>345</v>
      </c>
      <c r="B176" s="276">
        <v>15549.25</v>
      </c>
      <c r="C176" s="12" t="s">
        <v>2667</v>
      </c>
      <c r="D176" s="12">
        <f>+I176</f>
        <v>345</v>
      </c>
      <c r="E176" s="12">
        <f>+J176</f>
        <v>15063.2</v>
      </c>
      <c r="F176" s="12" t="s">
        <v>2668</v>
      </c>
      <c r="G176" s="12">
        <v>94811</v>
      </c>
      <c r="H176" s="38"/>
      <c r="I176" s="12">
        <v>345</v>
      </c>
      <c r="J176" s="13">
        <v>15063.2</v>
      </c>
      <c r="K176" s="52">
        <f t="shared" ref="K176" si="88">+A176-D176</f>
        <v>0</v>
      </c>
      <c r="L176" s="53">
        <f t="shared" ref="L176:L177" si="89">(+B176-E176)/B176</f>
        <v>3.1258742383073093E-2</v>
      </c>
    </row>
    <row r="177" spans="1:12" x14ac:dyDescent="0.3">
      <c r="A177" s="871">
        <v>834</v>
      </c>
      <c r="B177" s="995">
        <v>38337.75</v>
      </c>
      <c r="C177" s="873" t="s">
        <v>2669</v>
      </c>
      <c r="D177" s="873">
        <f>+I177+I179+I178</f>
        <v>834</v>
      </c>
      <c r="E177" s="873">
        <f>+J177+J179+J178</f>
        <v>36421.300000000003</v>
      </c>
      <c r="F177" s="12" t="s">
        <v>2670</v>
      </c>
      <c r="G177" s="12">
        <v>94891</v>
      </c>
      <c r="H177" s="38"/>
      <c r="I177" s="12">
        <v>452</v>
      </c>
      <c r="J177" s="13">
        <v>19705.2</v>
      </c>
      <c r="K177" s="882">
        <f t="shared" ref="K177" si="90">+A177-D177</f>
        <v>0</v>
      </c>
      <c r="L177" s="879">
        <f t="shared" si="89"/>
        <v>4.9988588271351268E-2</v>
      </c>
    </row>
    <row r="178" spans="1:12" x14ac:dyDescent="0.3">
      <c r="A178" s="875"/>
      <c r="B178" s="997"/>
      <c r="C178" s="881"/>
      <c r="D178" s="881"/>
      <c r="E178" s="881"/>
      <c r="F178" s="15" t="s">
        <v>2670</v>
      </c>
      <c r="G178" s="15">
        <v>94891</v>
      </c>
      <c r="H178" s="81"/>
      <c r="I178" s="15">
        <v>182</v>
      </c>
      <c r="J178" s="16">
        <v>7887</v>
      </c>
      <c r="K178" s="883"/>
      <c r="L178" s="885"/>
    </row>
    <row r="179" spans="1:12" ht="15" thickBot="1" x14ac:dyDescent="0.35">
      <c r="A179" s="872"/>
      <c r="B179" s="996"/>
      <c r="C179" s="874"/>
      <c r="D179" s="874"/>
      <c r="E179" s="874"/>
      <c r="F179" s="10" t="s">
        <v>2670</v>
      </c>
      <c r="G179" s="10">
        <v>94891</v>
      </c>
      <c r="H179" s="82"/>
      <c r="I179" s="10">
        <v>200</v>
      </c>
      <c r="J179" s="11">
        <v>8829.1</v>
      </c>
      <c r="K179" s="884"/>
      <c r="L179" s="880"/>
    </row>
    <row r="180" spans="1:12" x14ac:dyDescent="0.3">
      <c r="A180" s="871">
        <v>1263</v>
      </c>
      <c r="B180" s="995">
        <v>57175</v>
      </c>
      <c r="C180" s="873" t="s">
        <v>2810</v>
      </c>
      <c r="D180" s="873">
        <f>+I180+I181</f>
        <v>1263</v>
      </c>
      <c r="E180" s="873">
        <f>+J180+J181</f>
        <v>54921.3</v>
      </c>
      <c r="F180" s="12" t="s">
        <v>2811</v>
      </c>
      <c r="G180" s="12">
        <v>94981</v>
      </c>
      <c r="H180" s="38"/>
      <c r="I180" s="12">
        <v>447</v>
      </c>
      <c r="J180" s="13">
        <v>19116.7</v>
      </c>
      <c r="K180" s="877">
        <f t="shared" ref="K180" si="91">+A180-D180</f>
        <v>0</v>
      </c>
      <c r="L180" s="879">
        <f t="shared" ref="L180" si="92">(+B180-E180)/B180</f>
        <v>3.9417577612592868E-2</v>
      </c>
    </row>
    <row r="181" spans="1:12" ht="15" thickBot="1" x14ac:dyDescent="0.35">
      <c r="A181" s="872"/>
      <c r="B181" s="996"/>
      <c r="C181" s="874"/>
      <c r="D181" s="874"/>
      <c r="E181" s="874"/>
      <c r="F181" s="10" t="s">
        <v>2811</v>
      </c>
      <c r="G181" s="10">
        <v>94981</v>
      </c>
      <c r="H181" s="82"/>
      <c r="I181" s="10">
        <v>816</v>
      </c>
      <c r="J181" s="11">
        <v>35804.6</v>
      </c>
      <c r="K181" s="878"/>
      <c r="L181" s="880"/>
    </row>
    <row r="182" spans="1:12" ht="15" thickBot="1" x14ac:dyDescent="0.35">
      <c r="A182" s="175">
        <v>379</v>
      </c>
      <c r="B182" s="254">
        <v>16642.5</v>
      </c>
      <c r="C182" s="8" t="s">
        <v>2812</v>
      </c>
      <c r="D182" s="8">
        <f t="shared" ref="D182:E184" si="93">+I182</f>
        <v>379</v>
      </c>
      <c r="E182" s="8">
        <f t="shared" si="93"/>
        <v>16121.6</v>
      </c>
      <c r="F182" s="8" t="s">
        <v>2813</v>
      </c>
      <c r="G182" s="8">
        <v>95141</v>
      </c>
      <c r="H182" s="80"/>
      <c r="I182" s="8">
        <v>379</v>
      </c>
      <c r="J182" s="9">
        <v>16121.6</v>
      </c>
      <c r="K182" s="52">
        <f t="shared" ref="K182:K188" si="94">+A182-D182</f>
        <v>0</v>
      </c>
      <c r="L182" s="53">
        <f t="shared" ref="L182:L187" si="95">(+B182-E182)/B182</f>
        <v>3.1299384106955062E-2</v>
      </c>
    </row>
    <row r="183" spans="1:12" ht="15" thickBot="1" x14ac:dyDescent="0.35">
      <c r="A183" s="175">
        <v>230</v>
      </c>
      <c r="B183" s="254">
        <v>9864.75</v>
      </c>
      <c r="C183" s="8" t="s">
        <v>2814</v>
      </c>
      <c r="D183" s="8">
        <f t="shared" si="93"/>
        <v>230</v>
      </c>
      <c r="E183" s="8">
        <f t="shared" si="93"/>
        <v>9520.2999999999993</v>
      </c>
      <c r="F183" s="8" t="s">
        <v>2815</v>
      </c>
      <c r="G183" s="8">
        <v>95151</v>
      </c>
      <c r="H183" s="80"/>
      <c r="I183" s="8">
        <v>230</v>
      </c>
      <c r="J183" s="9">
        <v>9520.2999999999993</v>
      </c>
      <c r="K183" s="52">
        <f t="shared" si="94"/>
        <v>0</v>
      </c>
      <c r="L183" s="53">
        <f t="shared" si="95"/>
        <v>3.4917255885856278E-2</v>
      </c>
    </row>
    <row r="184" spans="1:12" ht="15" thickBot="1" x14ac:dyDescent="0.35">
      <c r="A184" s="175">
        <v>40</v>
      </c>
      <c r="B184" s="254">
        <v>1330.25</v>
      </c>
      <c r="C184" s="8" t="s">
        <v>2816</v>
      </c>
      <c r="D184" s="8">
        <f t="shared" si="93"/>
        <v>40</v>
      </c>
      <c r="E184" s="8">
        <f t="shared" si="93"/>
        <v>1284.7</v>
      </c>
      <c r="F184" s="8" t="s">
        <v>2817</v>
      </c>
      <c r="G184" s="8">
        <v>95161</v>
      </c>
      <c r="H184" s="80"/>
      <c r="I184" s="8">
        <v>40</v>
      </c>
      <c r="J184" s="9">
        <v>1284.7</v>
      </c>
      <c r="K184" s="52">
        <f t="shared" si="94"/>
        <v>0</v>
      </c>
      <c r="L184" s="53">
        <f t="shared" si="95"/>
        <v>3.4241683894004851E-2</v>
      </c>
    </row>
    <row r="185" spans="1:12" ht="15" thickBot="1" x14ac:dyDescent="0.35">
      <c r="A185" s="175">
        <v>196</v>
      </c>
      <c r="B185" s="254">
        <v>8529.25</v>
      </c>
      <c r="C185" s="8" t="s">
        <v>2818</v>
      </c>
      <c r="D185" s="8">
        <f>+I185</f>
        <v>196</v>
      </c>
      <c r="E185" s="8">
        <f>+J185</f>
        <v>8287.4</v>
      </c>
      <c r="F185" s="8" t="s">
        <v>2819</v>
      </c>
      <c r="G185" s="8">
        <v>95201</v>
      </c>
      <c r="H185" s="80"/>
      <c r="I185" s="8">
        <v>196</v>
      </c>
      <c r="J185" s="9">
        <v>8287.4</v>
      </c>
      <c r="K185" s="52">
        <f t="shared" si="94"/>
        <v>0</v>
      </c>
      <c r="L185" s="53">
        <f t="shared" si="95"/>
        <v>2.8355365360377568E-2</v>
      </c>
    </row>
    <row r="186" spans="1:12" ht="15" thickBot="1" x14ac:dyDescent="0.35">
      <c r="A186" s="175">
        <v>21</v>
      </c>
      <c r="B186" s="254">
        <v>711.75</v>
      </c>
      <c r="C186" s="8" t="s">
        <v>2990</v>
      </c>
      <c r="D186" s="8">
        <f>+I186</f>
        <v>21</v>
      </c>
      <c r="E186" s="8">
        <f>+J186</f>
        <v>689.4</v>
      </c>
      <c r="F186" s="8" t="s">
        <v>2991</v>
      </c>
      <c r="G186" s="8">
        <v>95211</v>
      </c>
      <c r="H186" s="80"/>
      <c r="I186" s="8">
        <v>21</v>
      </c>
      <c r="J186" s="9">
        <v>689.4</v>
      </c>
      <c r="K186" s="52">
        <f t="shared" ref="K186" si="96">+A186-D186</f>
        <v>0</v>
      </c>
      <c r="L186" s="53">
        <f t="shared" ref="L186" si="97">(+B186-E186)/B186</f>
        <v>3.1401475237091706E-2</v>
      </c>
    </row>
    <row r="187" spans="1:12" ht="15" thickBot="1" x14ac:dyDescent="0.35">
      <c r="A187" s="175">
        <v>478</v>
      </c>
      <c r="B187" s="254">
        <v>20874.75</v>
      </c>
      <c r="C187" s="8" t="s">
        <v>2820</v>
      </c>
      <c r="D187" s="8">
        <v>478</v>
      </c>
      <c r="E187" s="8">
        <v>20358.8</v>
      </c>
      <c r="F187" s="8" t="s">
        <v>2821</v>
      </c>
      <c r="G187" s="8">
        <v>95491</v>
      </c>
      <c r="H187" s="80"/>
      <c r="I187" s="8">
        <v>175</v>
      </c>
      <c r="J187" s="9">
        <v>7477.7</v>
      </c>
      <c r="K187" s="52">
        <f t="shared" si="94"/>
        <v>0</v>
      </c>
      <c r="L187" s="53">
        <f t="shared" si="95"/>
        <v>2.4716463670223631E-2</v>
      </c>
    </row>
    <row r="188" spans="1:12" x14ac:dyDescent="0.3">
      <c r="A188" s="871">
        <v>1106</v>
      </c>
      <c r="B188" s="995">
        <v>49459.25</v>
      </c>
      <c r="C188" s="873" t="s">
        <v>2938</v>
      </c>
      <c r="D188" s="873">
        <f>+I188+I189</f>
        <v>1106</v>
      </c>
      <c r="E188" s="873">
        <f>+J188+J189</f>
        <v>48287.799999999996</v>
      </c>
      <c r="F188" s="12" t="s">
        <v>2939</v>
      </c>
      <c r="G188" s="12">
        <v>95681</v>
      </c>
      <c r="H188" s="38"/>
      <c r="I188" s="12">
        <v>263</v>
      </c>
      <c r="J188" s="13">
        <v>11397.900000000001</v>
      </c>
      <c r="K188" s="877">
        <f t="shared" si="94"/>
        <v>0</v>
      </c>
      <c r="L188" s="879">
        <f t="shared" ref="L188" si="98">(+B188-E188)/B188</f>
        <v>2.3685154950792913E-2</v>
      </c>
    </row>
    <row r="189" spans="1:12" ht="15" thickBot="1" x14ac:dyDescent="0.35">
      <c r="A189" s="875"/>
      <c r="B189" s="997"/>
      <c r="C189" s="881"/>
      <c r="D189" s="881"/>
      <c r="E189" s="881"/>
      <c r="F189" s="15" t="s">
        <v>2939</v>
      </c>
      <c r="G189" s="15">
        <v>95681</v>
      </c>
      <c r="H189" s="81"/>
      <c r="I189" s="15">
        <v>843</v>
      </c>
      <c r="J189" s="16">
        <v>36889.899999999994</v>
      </c>
      <c r="K189" s="878"/>
      <c r="L189" s="880"/>
    </row>
    <row r="190" spans="1:12" x14ac:dyDescent="0.3">
      <c r="A190" s="871">
        <v>300</v>
      </c>
      <c r="B190" s="995">
        <v>13404.25</v>
      </c>
      <c r="C190" s="873" t="s">
        <v>2940</v>
      </c>
      <c r="D190" s="873">
        <f>+I190+I191</f>
        <v>300</v>
      </c>
      <c r="E190" s="873">
        <f>+J190+J191</f>
        <v>12993.3</v>
      </c>
      <c r="F190" s="12" t="s">
        <v>2941</v>
      </c>
      <c r="G190" s="12">
        <v>95821</v>
      </c>
      <c r="H190" s="38"/>
      <c r="I190" s="12">
        <v>201</v>
      </c>
      <c r="J190" s="13">
        <v>8680.1</v>
      </c>
      <c r="K190" s="877">
        <f t="shared" ref="K190" si="99">+A190-D190</f>
        <v>0</v>
      </c>
      <c r="L190" s="879">
        <f t="shared" ref="L190" si="100">(+B190-E190)/B190</f>
        <v>3.0658186769121788E-2</v>
      </c>
    </row>
    <row r="191" spans="1:12" ht="15" thickBot="1" x14ac:dyDescent="0.35">
      <c r="A191" s="872"/>
      <c r="B191" s="996"/>
      <c r="C191" s="874"/>
      <c r="D191" s="874"/>
      <c r="E191" s="874"/>
      <c r="F191" s="10" t="s">
        <v>2941</v>
      </c>
      <c r="G191" s="10">
        <v>95821</v>
      </c>
      <c r="H191" s="82"/>
      <c r="I191" s="10">
        <v>99</v>
      </c>
      <c r="J191" s="281">
        <v>4313.2</v>
      </c>
      <c r="K191" s="878"/>
      <c r="L191" s="880"/>
    </row>
    <row r="192" spans="1:12" ht="15" thickBot="1" x14ac:dyDescent="0.35">
      <c r="A192" s="181">
        <v>200</v>
      </c>
      <c r="B192" s="277">
        <v>8253.5</v>
      </c>
      <c r="C192" s="15" t="s">
        <v>2942</v>
      </c>
      <c r="D192" s="15">
        <f t="shared" ref="D192:E192" si="101">+I192</f>
        <v>200</v>
      </c>
      <c r="E192" s="15">
        <f t="shared" si="101"/>
        <v>7919.8000000000011</v>
      </c>
      <c r="F192" s="15" t="s">
        <v>2943</v>
      </c>
      <c r="G192" s="15">
        <v>95851</v>
      </c>
      <c r="H192" s="81"/>
      <c r="I192" s="15">
        <v>200</v>
      </c>
      <c r="J192" s="16">
        <v>7919.8000000000011</v>
      </c>
      <c r="K192" s="52">
        <f t="shared" ref="K192:K196" si="102">+A192-D192</f>
        <v>0</v>
      </c>
      <c r="L192" s="53">
        <f t="shared" ref="L192" si="103">(+B192-E192)/B192</f>
        <v>4.0431332162112914E-2</v>
      </c>
    </row>
    <row r="193" spans="1:12" ht="15" thickBot="1" x14ac:dyDescent="0.35">
      <c r="A193" s="178">
        <v>1302</v>
      </c>
      <c r="B193" s="254">
        <v>58098</v>
      </c>
      <c r="C193" s="45" t="s">
        <v>2944</v>
      </c>
      <c r="D193" s="45">
        <v>1301</v>
      </c>
      <c r="E193" s="45">
        <v>56664.6</v>
      </c>
      <c r="F193" s="45" t="s">
        <v>2945</v>
      </c>
      <c r="G193" s="45">
        <v>95931</v>
      </c>
      <c r="H193" s="14"/>
      <c r="I193" s="45">
        <v>118</v>
      </c>
      <c r="J193" s="282">
        <v>5068.5</v>
      </c>
      <c r="K193" s="52">
        <f t="shared" si="102"/>
        <v>1</v>
      </c>
      <c r="L193" s="31">
        <f t="shared" ref="L193:L196" si="104">((+B193/A193)-(E193/D193))/(B193/A193)</f>
        <v>2.3922430199507325E-2</v>
      </c>
    </row>
    <row r="194" spans="1:12" ht="15" thickBot="1" x14ac:dyDescent="0.35">
      <c r="A194" s="178">
        <v>386</v>
      </c>
      <c r="B194" s="254">
        <v>16778.75</v>
      </c>
      <c r="C194" s="45" t="s">
        <v>3086</v>
      </c>
      <c r="D194" s="45">
        <f>+I194</f>
        <v>386</v>
      </c>
      <c r="E194" s="45">
        <f>+J194</f>
        <v>16332</v>
      </c>
      <c r="F194" s="45" t="s">
        <v>3087</v>
      </c>
      <c r="G194" s="45">
        <v>96031</v>
      </c>
      <c r="H194" s="14"/>
      <c r="I194" s="45">
        <v>386</v>
      </c>
      <c r="J194" s="46">
        <v>16332</v>
      </c>
      <c r="K194" s="52">
        <f t="shared" si="102"/>
        <v>0</v>
      </c>
      <c r="L194" s="31">
        <f t="shared" si="104"/>
        <v>2.6625940549802558E-2</v>
      </c>
    </row>
    <row r="195" spans="1:12" ht="15" thickBot="1" x14ac:dyDescent="0.35">
      <c r="A195" s="177">
        <v>205</v>
      </c>
      <c r="B195" s="276">
        <v>9009</v>
      </c>
      <c r="C195" s="39" t="s">
        <v>3088</v>
      </c>
      <c r="D195" s="39">
        <f>+I195</f>
        <v>206</v>
      </c>
      <c r="E195" s="39">
        <f>+J195</f>
        <v>8862.4</v>
      </c>
      <c r="F195" s="39" t="s">
        <v>3089</v>
      </c>
      <c r="G195" s="39">
        <v>96121</v>
      </c>
      <c r="H195" s="40"/>
      <c r="I195" s="39">
        <v>206</v>
      </c>
      <c r="J195" s="41">
        <v>8862.4</v>
      </c>
      <c r="K195" s="52">
        <f t="shared" si="102"/>
        <v>-1</v>
      </c>
      <c r="L195" s="31">
        <f t="shared" si="104"/>
        <v>2.1047991921778347E-2</v>
      </c>
    </row>
    <row r="196" spans="1:12" x14ac:dyDescent="0.3">
      <c r="A196" s="871">
        <v>1771</v>
      </c>
      <c r="B196" s="995">
        <v>78379.25</v>
      </c>
      <c r="C196" s="873" t="s">
        <v>3090</v>
      </c>
      <c r="D196" s="873">
        <f>+I196+I197+I198</f>
        <v>1760</v>
      </c>
      <c r="E196" s="873">
        <f>+J196+J197+J198</f>
        <v>75909.8</v>
      </c>
      <c r="F196" s="39" t="s">
        <v>3091</v>
      </c>
      <c r="G196" s="39">
        <v>96191</v>
      </c>
      <c r="H196" s="40"/>
      <c r="I196" s="39">
        <v>801</v>
      </c>
      <c r="J196" s="41">
        <v>34437.1</v>
      </c>
      <c r="K196" s="877">
        <f t="shared" si="102"/>
        <v>11</v>
      </c>
      <c r="L196" s="879">
        <f t="shared" si="104"/>
        <v>2.5453340648194496E-2</v>
      </c>
    </row>
    <row r="197" spans="1:12" x14ac:dyDescent="0.3">
      <c r="A197" s="875"/>
      <c r="B197" s="997"/>
      <c r="C197" s="881"/>
      <c r="D197" s="881"/>
      <c r="E197" s="881"/>
      <c r="F197" s="50" t="s">
        <v>3091</v>
      </c>
      <c r="G197" s="50">
        <v>96191</v>
      </c>
      <c r="I197" s="50">
        <v>359</v>
      </c>
      <c r="J197" s="51">
        <v>15797</v>
      </c>
      <c r="K197" s="886"/>
      <c r="L197" s="885"/>
    </row>
    <row r="198" spans="1:12" ht="15" thickBot="1" x14ac:dyDescent="0.35">
      <c r="A198" s="872"/>
      <c r="B198" s="996"/>
      <c r="C198" s="874"/>
      <c r="D198" s="874"/>
      <c r="E198" s="874"/>
      <c r="F198" s="42" t="s">
        <v>3091</v>
      </c>
      <c r="G198" s="42">
        <v>96191</v>
      </c>
      <c r="H198" s="43"/>
      <c r="I198" s="42">
        <v>600</v>
      </c>
      <c r="J198" s="44">
        <v>25675.7</v>
      </c>
      <c r="K198" s="878"/>
      <c r="L198" s="880"/>
    </row>
    <row r="199" spans="1:12" x14ac:dyDescent="0.3">
      <c r="A199" s="871">
        <v>930</v>
      </c>
      <c r="B199" s="995">
        <v>40163.4</v>
      </c>
      <c r="C199" s="873" t="s">
        <v>3092</v>
      </c>
      <c r="D199" s="873">
        <f>+I199+I200</f>
        <v>930</v>
      </c>
      <c r="E199" s="873">
        <f>+J199+J200</f>
        <v>38797.100000000006</v>
      </c>
      <c r="F199" s="12" t="s">
        <v>3093</v>
      </c>
      <c r="G199" s="12">
        <v>96271</v>
      </c>
      <c r="H199" s="12"/>
      <c r="I199" s="12">
        <v>400</v>
      </c>
      <c r="J199" s="13">
        <v>16570.100000000002</v>
      </c>
      <c r="K199" s="877">
        <f t="shared" ref="K199" si="105">+A199-D199</f>
        <v>0</v>
      </c>
      <c r="L199" s="879">
        <f t="shared" ref="L199" si="106">((+B199/A199)-(E199/D199))/(B199/A199)</f>
        <v>3.4018534287435648E-2</v>
      </c>
    </row>
    <row r="200" spans="1:12" ht="15" thickBot="1" x14ac:dyDescent="0.35">
      <c r="A200" s="872"/>
      <c r="B200" s="996"/>
      <c r="C200" s="874"/>
      <c r="D200" s="874"/>
      <c r="E200" s="874"/>
      <c r="F200" s="10" t="s">
        <v>3093</v>
      </c>
      <c r="G200" s="10">
        <v>96271</v>
      </c>
      <c r="H200" s="10"/>
      <c r="I200" s="10">
        <v>530</v>
      </c>
      <c r="J200" s="11">
        <v>22227</v>
      </c>
      <c r="K200" s="878"/>
      <c r="L200" s="880"/>
    </row>
    <row r="201" spans="1:12" x14ac:dyDescent="0.3">
      <c r="A201" s="871">
        <v>1089</v>
      </c>
      <c r="B201" s="995">
        <v>49390.5</v>
      </c>
      <c r="C201" s="873" t="s">
        <v>3242</v>
      </c>
      <c r="D201" s="873">
        <f>+I201+I202+I203+I204</f>
        <v>1075</v>
      </c>
      <c r="E201" s="873">
        <f>+J201+J202+J203+J204</f>
        <v>46979.299999999996</v>
      </c>
      <c r="F201" s="12" t="s">
        <v>3243</v>
      </c>
      <c r="G201" s="12">
        <v>96441</v>
      </c>
      <c r="H201" s="12"/>
      <c r="I201" s="12">
        <v>233</v>
      </c>
      <c r="J201" s="13">
        <v>10182.699999999999</v>
      </c>
      <c r="K201" s="882">
        <f t="shared" ref="K201" si="107">+A201-D201</f>
        <v>14</v>
      </c>
      <c r="L201" s="879">
        <f t="shared" ref="L201" si="108">((+B201/A201)-(E201/D201))/(B201/A201)</f>
        <v>3.6431632766210885E-2</v>
      </c>
    </row>
    <row r="202" spans="1:12" x14ac:dyDescent="0.3">
      <c r="A202" s="875"/>
      <c r="B202" s="997"/>
      <c r="C202" s="881"/>
      <c r="D202" s="881"/>
      <c r="E202" s="881"/>
      <c r="F202" s="15" t="s">
        <v>3243</v>
      </c>
      <c r="G202" s="15">
        <v>96441</v>
      </c>
      <c r="H202" s="15"/>
      <c r="I202" s="15">
        <v>288</v>
      </c>
      <c r="J202" s="16">
        <v>12637.699999999999</v>
      </c>
      <c r="K202" s="883"/>
      <c r="L202" s="885"/>
    </row>
    <row r="203" spans="1:12" x14ac:dyDescent="0.3">
      <c r="A203" s="875"/>
      <c r="B203" s="997"/>
      <c r="C203" s="881"/>
      <c r="D203" s="881"/>
      <c r="E203" s="881"/>
      <c r="F203" s="15" t="s">
        <v>3243</v>
      </c>
      <c r="G203" s="15">
        <v>96441</v>
      </c>
      <c r="H203" s="15"/>
      <c r="I203" s="15">
        <v>400</v>
      </c>
      <c r="J203" s="16">
        <v>17365.2</v>
      </c>
      <c r="K203" s="883"/>
      <c r="L203" s="885"/>
    </row>
    <row r="204" spans="1:12" ht="15" thickBot="1" x14ac:dyDescent="0.35">
      <c r="A204" s="875"/>
      <c r="B204" s="997"/>
      <c r="C204" s="881"/>
      <c r="D204" s="881"/>
      <c r="E204" s="881"/>
      <c r="F204" s="15" t="s">
        <v>3243</v>
      </c>
      <c r="G204" s="15">
        <v>96441</v>
      </c>
      <c r="H204" s="15"/>
      <c r="I204" s="15">
        <v>154</v>
      </c>
      <c r="J204" s="16">
        <v>6793.7</v>
      </c>
      <c r="K204" s="884"/>
      <c r="L204" s="880"/>
    </row>
    <row r="205" spans="1:12" x14ac:dyDescent="0.3">
      <c r="A205" s="871">
        <v>259</v>
      </c>
      <c r="B205" s="995">
        <v>11370.5</v>
      </c>
      <c r="C205" s="873" t="s">
        <v>3244</v>
      </c>
      <c r="D205" s="873">
        <f>+I205+I206</f>
        <v>259</v>
      </c>
      <c r="E205" s="873">
        <f>+J205+J206</f>
        <v>10950.400000000001</v>
      </c>
      <c r="F205" s="12" t="s">
        <v>3245</v>
      </c>
      <c r="G205" s="12">
        <v>96511</v>
      </c>
      <c r="H205" s="12"/>
      <c r="I205" s="12">
        <v>46</v>
      </c>
      <c r="J205" s="13">
        <v>1948.7</v>
      </c>
      <c r="K205" s="877">
        <f t="shared" ref="K205" si="109">+A205-D205</f>
        <v>0</v>
      </c>
      <c r="L205" s="879">
        <f t="shared" ref="L205" si="110">((+B205/A205)-(E205/D205))/(B205/A205)</f>
        <v>3.6946484323468483E-2</v>
      </c>
    </row>
    <row r="206" spans="1:12" ht="15" thickBot="1" x14ac:dyDescent="0.35">
      <c r="A206" s="872"/>
      <c r="B206" s="996"/>
      <c r="C206" s="874"/>
      <c r="D206" s="874"/>
      <c r="E206" s="874"/>
      <c r="F206" s="10" t="s">
        <v>3245</v>
      </c>
      <c r="G206" s="10">
        <v>96511</v>
      </c>
      <c r="H206" s="10"/>
      <c r="I206" s="10">
        <v>213</v>
      </c>
      <c r="J206" s="11">
        <v>9001.7000000000007</v>
      </c>
      <c r="K206" s="878"/>
      <c r="L206" s="880"/>
    </row>
    <row r="207" spans="1:12" ht="15" thickBot="1" x14ac:dyDescent="0.35">
      <c r="A207" s="175">
        <v>300</v>
      </c>
      <c r="B207" s="254">
        <v>13350.75</v>
      </c>
      <c r="C207" s="8" t="s">
        <v>3348</v>
      </c>
      <c r="D207" s="8">
        <f>+I207</f>
        <v>300</v>
      </c>
      <c r="E207" s="8">
        <f>+J207</f>
        <v>12589.6</v>
      </c>
      <c r="F207" s="8" t="s">
        <v>3349</v>
      </c>
      <c r="G207" s="8">
        <v>96871</v>
      </c>
      <c r="H207" s="8"/>
      <c r="I207" s="8">
        <v>300</v>
      </c>
      <c r="J207" s="9">
        <v>12589.6</v>
      </c>
      <c r="K207" s="52">
        <f t="shared" ref="K207:K208" si="111">+A207-D207</f>
        <v>0</v>
      </c>
      <c r="L207" s="31">
        <f t="shared" ref="L207:L208" si="112">((+B207/A207)-(E207/D207))/(B207/A207)</f>
        <v>5.7011778364511302E-2</v>
      </c>
    </row>
    <row r="208" spans="1:12" x14ac:dyDescent="0.3">
      <c r="A208" s="871">
        <v>868</v>
      </c>
      <c r="B208" s="995">
        <v>38142</v>
      </c>
      <c r="C208" s="873" t="s">
        <v>3350</v>
      </c>
      <c r="D208" s="873">
        <f>+I208+I210+I209</f>
        <v>868</v>
      </c>
      <c r="E208" s="873">
        <f>+J208+J210+J209</f>
        <v>36599.300000000003</v>
      </c>
      <c r="F208" s="12" t="s">
        <v>3351</v>
      </c>
      <c r="G208" s="12">
        <v>96991</v>
      </c>
      <c r="H208" s="12"/>
      <c r="I208" s="12">
        <v>400</v>
      </c>
      <c r="J208" s="13">
        <v>16958.7</v>
      </c>
      <c r="K208" s="877">
        <f t="shared" si="111"/>
        <v>0</v>
      </c>
      <c r="L208" s="879">
        <f t="shared" si="112"/>
        <v>4.0446227256043174E-2</v>
      </c>
    </row>
    <row r="209" spans="1:12" x14ac:dyDescent="0.3">
      <c r="A209" s="875"/>
      <c r="B209" s="997"/>
      <c r="C209" s="881"/>
      <c r="D209" s="881"/>
      <c r="E209" s="881"/>
      <c r="F209" s="15" t="s">
        <v>3351</v>
      </c>
      <c r="G209" s="15">
        <v>96991</v>
      </c>
      <c r="H209" s="15"/>
      <c r="I209" s="15">
        <v>292</v>
      </c>
      <c r="J209" s="16">
        <v>12140.1</v>
      </c>
      <c r="K209" s="886"/>
      <c r="L209" s="885"/>
    </row>
    <row r="210" spans="1:12" ht="15" thickBot="1" x14ac:dyDescent="0.35">
      <c r="A210" s="872"/>
      <c r="B210" s="996"/>
      <c r="C210" s="874"/>
      <c r="D210" s="874"/>
      <c r="E210" s="874"/>
      <c r="F210" s="42" t="s">
        <v>3351</v>
      </c>
      <c r="G210" s="42">
        <v>96991</v>
      </c>
      <c r="H210" s="43"/>
      <c r="I210" s="42">
        <v>176</v>
      </c>
      <c r="J210" s="44">
        <v>7500.5</v>
      </c>
      <c r="K210" s="878"/>
      <c r="L210" s="880"/>
    </row>
    <row r="211" spans="1:12" ht="15" thickBot="1" x14ac:dyDescent="0.35">
      <c r="A211" s="313">
        <v>460</v>
      </c>
      <c r="B211" s="314">
        <v>20302</v>
      </c>
      <c r="C211" s="27" t="s">
        <v>3468</v>
      </c>
      <c r="D211" s="8">
        <f>+I211</f>
        <v>460</v>
      </c>
      <c r="E211" s="8">
        <f>+J211</f>
        <v>19562.599999999999</v>
      </c>
      <c r="F211" s="315" t="s">
        <v>3438</v>
      </c>
      <c r="G211" s="315">
        <v>97161</v>
      </c>
      <c r="H211" s="14"/>
      <c r="I211" s="45">
        <v>460</v>
      </c>
      <c r="J211" s="46">
        <v>19562.599999999999</v>
      </c>
      <c r="K211" s="52">
        <f t="shared" ref="K211:K212" si="113">+A211-D211</f>
        <v>0</v>
      </c>
      <c r="L211" s="31">
        <f t="shared" ref="L211:L212" si="114">((+B211/A211)-(E211/D211))/(B211/A211)</f>
        <v>3.6420057137227915E-2</v>
      </c>
    </row>
    <row r="212" spans="1:12" x14ac:dyDescent="0.3">
      <c r="A212" s="902">
        <v>408</v>
      </c>
      <c r="B212" s="993">
        <v>18611</v>
      </c>
      <c r="C212" s="905" t="s">
        <v>3469</v>
      </c>
      <c r="D212" s="873">
        <f>+I212+I213</f>
        <v>405</v>
      </c>
      <c r="E212" s="873">
        <f>+J212+J213</f>
        <v>17576.3</v>
      </c>
      <c r="F212" s="39" t="s">
        <v>3470</v>
      </c>
      <c r="G212" s="39">
        <v>97241</v>
      </c>
      <c r="H212" s="40"/>
      <c r="I212" s="39">
        <v>349</v>
      </c>
      <c r="J212" s="41">
        <v>15064.1</v>
      </c>
      <c r="K212" s="877">
        <f t="shared" si="113"/>
        <v>3</v>
      </c>
      <c r="L212" s="879">
        <f t="shared" si="114"/>
        <v>4.8600568759614493E-2</v>
      </c>
    </row>
    <row r="213" spans="1:12" ht="15" thickBot="1" x14ac:dyDescent="0.35">
      <c r="A213" s="904"/>
      <c r="B213" s="994"/>
      <c r="C213" s="907"/>
      <c r="D213" s="874"/>
      <c r="E213" s="874"/>
      <c r="F213" s="42" t="s">
        <v>3470</v>
      </c>
      <c r="G213" s="42">
        <v>97241</v>
      </c>
      <c r="H213" s="43"/>
      <c r="I213" s="42">
        <v>56</v>
      </c>
      <c r="J213" s="44">
        <v>2512.1999999999998</v>
      </c>
      <c r="K213" s="878"/>
      <c r="L213" s="880"/>
    </row>
    <row r="214" spans="1:12" ht="15" thickBot="1" x14ac:dyDescent="0.35">
      <c r="A214" s="177">
        <v>301</v>
      </c>
      <c r="B214" s="276">
        <v>12945.5</v>
      </c>
      <c r="C214" s="39" t="s">
        <v>3471</v>
      </c>
      <c r="D214" s="39">
        <f>+I214</f>
        <v>301</v>
      </c>
      <c r="E214" s="39">
        <f>+J214</f>
        <v>12275.2</v>
      </c>
      <c r="F214" s="39" t="s">
        <v>3472</v>
      </c>
      <c r="G214" s="39">
        <v>97311</v>
      </c>
      <c r="H214" s="40"/>
      <c r="I214" s="39">
        <v>301</v>
      </c>
      <c r="J214" s="41">
        <v>12275.2</v>
      </c>
      <c r="K214" s="52">
        <f t="shared" ref="K214:K215" si="115">+A214-D214</f>
        <v>0</v>
      </c>
      <c r="L214" s="31">
        <f t="shared" ref="L214:L215" si="116">((+B214/A214)-(E214/D214))/(B214/A214)</f>
        <v>5.1778610327912998E-2</v>
      </c>
    </row>
    <row r="215" spans="1:12" x14ac:dyDescent="0.3">
      <c r="A215" s="871">
        <v>750</v>
      </c>
      <c r="B215" s="995">
        <v>31296</v>
      </c>
      <c r="C215" s="873" t="s">
        <v>3473</v>
      </c>
      <c r="D215" s="873">
        <f>+I215+I216</f>
        <v>752</v>
      </c>
      <c r="E215" s="873">
        <f>+J215+J216</f>
        <v>29282.399999999998</v>
      </c>
      <c r="F215" s="39" t="s">
        <v>3474</v>
      </c>
      <c r="G215" s="39">
        <v>97371</v>
      </c>
      <c r="H215" s="40"/>
      <c r="I215" s="39">
        <v>100</v>
      </c>
      <c r="J215" s="41">
        <v>3979.1</v>
      </c>
      <c r="K215" s="877">
        <f t="shared" si="115"/>
        <v>-2</v>
      </c>
      <c r="L215" s="879">
        <f t="shared" si="116"/>
        <v>6.6828946939042039E-2</v>
      </c>
    </row>
    <row r="216" spans="1:12" ht="15" thickBot="1" x14ac:dyDescent="0.35">
      <c r="A216" s="872"/>
      <c r="B216" s="996"/>
      <c r="C216" s="874"/>
      <c r="D216" s="874"/>
      <c r="E216" s="874"/>
      <c r="F216" s="42" t="s">
        <v>3474</v>
      </c>
      <c r="G216" s="42">
        <v>97371</v>
      </c>
      <c r="H216" s="43"/>
      <c r="I216" s="42">
        <v>652</v>
      </c>
      <c r="J216" s="44">
        <v>25303.3</v>
      </c>
      <c r="K216" s="878"/>
      <c r="L216" s="880"/>
    </row>
    <row r="217" spans="1:12" ht="15" thickBot="1" x14ac:dyDescent="0.35">
      <c r="A217" s="175">
        <v>811</v>
      </c>
      <c r="B217" s="254">
        <v>34170.9</v>
      </c>
      <c r="C217" s="8" t="s">
        <v>3619</v>
      </c>
      <c r="D217" s="8">
        <f>+I217</f>
        <v>811</v>
      </c>
      <c r="E217" s="8">
        <f>+J217</f>
        <v>31967.199999999997</v>
      </c>
      <c r="F217" s="8" t="s">
        <v>3620</v>
      </c>
      <c r="G217" s="8">
        <v>97491</v>
      </c>
      <c r="H217" s="80"/>
      <c r="I217" s="8">
        <v>811</v>
      </c>
      <c r="J217" s="9">
        <v>31967.199999999997</v>
      </c>
      <c r="K217" s="52">
        <f t="shared" ref="K217" si="117">+A217-D217</f>
        <v>0</v>
      </c>
      <c r="L217" s="31">
        <f t="shared" ref="L217" si="118">((+B217/A217)-(E217/D217))/(B217/A217)</f>
        <v>6.449054604941637E-2</v>
      </c>
    </row>
    <row r="218" spans="1:12" ht="15" thickBot="1" x14ac:dyDescent="0.35">
      <c r="A218" s="175">
        <v>104</v>
      </c>
      <c r="B218" s="254">
        <v>4630.75</v>
      </c>
      <c r="C218" s="8" t="s">
        <v>3779</v>
      </c>
      <c r="D218" s="8">
        <f t="shared" ref="D218:E220" si="119">+I218</f>
        <v>104</v>
      </c>
      <c r="E218" s="8">
        <f t="shared" si="119"/>
        <v>4447.7</v>
      </c>
      <c r="F218" s="45" t="s">
        <v>3780</v>
      </c>
      <c r="G218" s="45">
        <v>97631</v>
      </c>
      <c r="H218" s="14"/>
      <c r="I218" s="45">
        <v>104</v>
      </c>
      <c r="J218" s="46">
        <v>4447.7</v>
      </c>
      <c r="K218" s="52">
        <f t="shared" ref="K218:K221" si="120">+A218-D218</f>
        <v>0</v>
      </c>
      <c r="L218" s="31">
        <f t="shared" ref="L218:L221" si="121">((+B218/A218)-(E218/D218))/(B218/A218)</f>
        <v>3.9529233925390109E-2</v>
      </c>
    </row>
    <row r="219" spans="1:12" ht="15" thickBot="1" x14ac:dyDescent="0.35">
      <c r="A219" s="175">
        <v>307</v>
      </c>
      <c r="B219" s="254">
        <v>14190.5</v>
      </c>
      <c r="C219" s="8" t="s">
        <v>3781</v>
      </c>
      <c r="D219" s="8">
        <f t="shared" si="119"/>
        <v>294</v>
      </c>
      <c r="E219" s="8">
        <f t="shared" si="119"/>
        <v>13117</v>
      </c>
      <c r="F219" s="45" t="s">
        <v>3782</v>
      </c>
      <c r="G219" s="45">
        <v>97781</v>
      </c>
      <c r="H219" s="14"/>
      <c r="I219" s="45">
        <v>294</v>
      </c>
      <c r="J219" s="46">
        <v>13117</v>
      </c>
      <c r="K219" s="52">
        <f t="shared" si="120"/>
        <v>13</v>
      </c>
      <c r="L219" s="31">
        <f t="shared" si="121"/>
        <v>3.4776547594479124E-2</v>
      </c>
    </row>
    <row r="220" spans="1:12" ht="15" thickBot="1" x14ac:dyDescent="0.35">
      <c r="A220" s="175">
        <v>251</v>
      </c>
      <c r="B220" s="254">
        <v>11250</v>
      </c>
      <c r="C220" s="8" t="s">
        <v>3783</v>
      </c>
      <c r="D220" s="8">
        <f t="shared" si="119"/>
        <v>250</v>
      </c>
      <c r="E220" s="8">
        <f t="shared" si="119"/>
        <v>10630.5</v>
      </c>
      <c r="F220" s="45" t="s">
        <v>3784</v>
      </c>
      <c r="G220" s="45">
        <v>97881</v>
      </c>
      <c r="H220" s="14"/>
      <c r="I220" s="45">
        <v>250</v>
      </c>
      <c r="J220" s="46">
        <v>10630.5</v>
      </c>
      <c r="K220" s="52">
        <f t="shared" si="120"/>
        <v>1</v>
      </c>
      <c r="L220" s="31">
        <f t="shared" si="121"/>
        <v>5.1286933333333388E-2</v>
      </c>
    </row>
    <row r="221" spans="1:12" x14ac:dyDescent="0.3">
      <c r="A221" s="871">
        <v>847</v>
      </c>
      <c r="B221" s="967">
        <v>37397.75</v>
      </c>
      <c r="C221" s="873" t="s">
        <v>3785</v>
      </c>
      <c r="D221" s="873">
        <f>+I221+I222+I223</f>
        <v>847</v>
      </c>
      <c r="E221" s="873">
        <f>+J221+J222+J223</f>
        <v>34996.9</v>
      </c>
      <c r="F221" s="39" t="s">
        <v>3786</v>
      </c>
      <c r="G221" s="39">
        <v>97951</v>
      </c>
      <c r="H221" s="40"/>
      <c r="I221" s="39">
        <v>593</v>
      </c>
      <c r="J221" s="41">
        <v>24524.2</v>
      </c>
      <c r="K221" s="877">
        <f t="shared" si="120"/>
        <v>0</v>
      </c>
      <c r="L221" s="879">
        <f t="shared" si="121"/>
        <v>6.4197712429223605E-2</v>
      </c>
    </row>
    <row r="222" spans="1:12" x14ac:dyDescent="0.3">
      <c r="A222" s="875"/>
      <c r="B222" s="986"/>
      <c r="C222" s="881"/>
      <c r="D222" s="881"/>
      <c r="E222" s="881"/>
      <c r="F222" s="50" t="s">
        <v>3786</v>
      </c>
      <c r="G222" s="50">
        <v>97951</v>
      </c>
      <c r="I222" s="50">
        <v>200</v>
      </c>
      <c r="J222" s="51">
        <v>8258.2000000000007</v>
      </c>
      <c r="K222" s="886"/>
      <c r="L222" s="885"/>
    </row>
    <row r="223" spans="1:12" ht="15" thickBot="1" x14ac:dyDescent="0.35">
      <c r="A223" s="875"/>
      <c r="B223" s="986"/>
      <c r="C223" s="881"/>
      <c r="D223" s="881"/>
      <c r="E223" s="881"/>
      <c r="F223" s="50" t="s">
        <v>3786</v>
      </c>
      <c r="G223" s="50">
        <v>97951</v>
      </c>
      <c r="I223" s="50">
        <v>54</v>
      </c>
      <c r="J223" s="51">
        <v>2214.5</v>
      </c>
      <c r="K223" s="878"/>
      <c r="L223" s="880"/>
    </row>
    <row r="224" spans="1:12" x14ac:dyDescent="0.3">
      <c r="A224" s="871">
        <v>250</v>
      </c>
      <c r="B224" s="967">
        <v>11605.5</v>
      </c>
      <c r="C224" s="873" t="s">
        <v>3787</v>
      </c>
      <c r="D224" s="873">
        <f>+I224+I225</f>
        <v>246</v>
      </c>
      <c r="E224" s="873">
        <f>+J224+J225</f>
        <v>10783.2</v>
      </c>
      <c r="F224" s="39" t="s">
        <v>3788</v>
      </c>
      <c r="G224" s="39">
        <v>98121</v>
      </c>
      <c r="H224" s="40"/>
      <c r="I224" s="39">
        <v>100</v>
      </c>
      <c r="J224" s="41">
        <v>4404.5</v>
      </c>
      <c r="K224" s="877">
        <f t="shared" ref="K224" si="122">+A224-D224</f>
        <v>4</v>
      </c>
      <c r="L224" s="879">
        <f t="shared" ref="L224" si="123">((+B224/A224)-(E224/D224))/(B224/A224)</f>
        <v>5.574627673380253E-2</v>
      </c>
    </row>
    <row r="225" spans="1:12" ht="15" thickBot="1" x14ac:dyDescent="0.35">
      <c r="A225" s="872"/>
      <c r="B225" s="968"/>
      <c r="C225" s="874"/>
      <c r="D225" s="874"/>
      <c r="E225" s="874"/>
      <c r="F225" s="42" t="s">
        <v>3788</v>
      </c>
      <c r="G225" s="42">
        <v>98121</v>
      </c>
      <c r="H225" s="43"/>
      <c r="I225" s="42">
        <v>146</v>
      </c>
      <c r="J225" s="44">
        <v>6378.7</v>
      </c>
      <c r="K225" s="878"/>
      <c r="L225" s="880"/>
    </row>
    <row r="226" spans="1:12" ht="15" thickBot="1" x14ac:dyDescent="0.35">
      <c r="A226" s="175">
        <v>705</v>
      </c>
      <c r="B226" s="216">
        <v>31215.5</v>
      </c>
      <c r="C226" s="8" t="s">
        <v>3789</v>
      </c>
      <c r="D226" s="8">
        <v>705</v>
      </c>
      <c r="E226" s="8">
        <v>30168.799999999999</v>
      </c>
      <c r="F226" s="8" t="s">
        <v>3790</v>
      </c>
      <c r="G226" s="8">
        <v>98201</v>
      </c>
      <c r="H226" s="80"/>
      <c r="I226" s="8">
        <v>368</v>
      </c>
      <c r="J226" s="9">
        <v>15677.699999999999</v>
      </c>
      <c r="K226" s="52">
        <f t="shared" ref="K226:K227" si="124">+A226-D226</f>
        <v>0</v>
      </c>
      <c r="L226" s="31">
        <f t="shared" ref="L226:L227" si="125">((+B226/A226)-(E226/D226))/(B226/A226)</f>
        <v>3.3531418686229567E-2</v>
      </c>
    </row>
    <row r="227" spans="1:12" x14ac:dyDescent="0.3">
      <c r="A227" s="871">
        <v>632</v>
      </c>
      <c r="B227" s="967">
        <v>29313.75</v>
      </c>
      <c r="C227" s="873" t="s">
        <v>4041</v>
      </c>
      <c r="D227" s="873">
        <f>+I227+I228+I229</f>
        <v>631</v>
      </c>
      <c r="E227" s="873">
        <f>+J227+J228+J229</f>
        <v>28195.9</v>
      </c>
      <c r="F227" s="39" t="s">
        <v>4042</v>
      </c>
      <c r="G227" s="39">
        <v>98381</v>
      </c>
      <c r="H227" s="40"/>
      <c r="I227" s="39">
        <v>131</v>
      </c>
      <c r="J227" s="41">
        <v>5862.2</v>
      </c>
      <c r="K227" s="877">
        <f t="shared" si="124"/>
        <v>1</v>
      </c>
      <c r="L227" s="879">
        <f t="shared" si="125"/>
        <v>3.6609629641493342E-2</v>
      </c>
    </row>
    <row r="228" spans="1:12" x14ac:dyDescent="0.3">
      <c r="A228" s="875"/>
      <c r="B228" s="986"/>
      <c r="C228" s="881"/>
      <c r="D228" s="881"/>
      <c r="E228" s="881"/>
      <c r="F228" s="50" t="s">
        <v>4042</v>
      </c>
      <c r="G228" s="50">
        <v>98381</v>
      </c>
      <c r="I228" s="50">
        <v>400</v>
      </c>
      <c r="J228" s="51">
        <v>17830.5</v>
      </c>
      <c r="K228" s="886"/>
      <c r="L228" s="885"/>
    </row>
    <row r="229" spans="1:12" ht="15" thickBot="1" x14ac:dyDescent="0.35">
      <c r="A229" s="875"/>
      <c r="B229" s="986"/>
      <c r="C229" s="881"/>
      <c r="D229" s="881"/>
      <c r="E229" s="881"/>
      <c r="F229" s="50" t="s">
        <v>4042</v>
      </c>
      <c r="G229" s="50">
        <v>98381</v>
      </c>
      <c r="I229" s="50">
        <v>100</v>
      </c>
      <c r="J229" s="51">
        <v>4503.2</v>
      </c>
      <c r="K229" s="878"/>
      <c r="L229" s="880"/>
    </row>
    <row r="230" spans="1:12" x14ac:dyDescent="0.3">
      <c r="A230" s="871">
        <v>290</v>
      </c>
      <c r="B230" s="967">
        <v>13341.9</v>
      </c>
      <c r="C230" s="873" t="s">
        <v>4043</v>
      </c>
      <c r="D230" s="873">
        <f>+I230+I231</f>
        <v>290</v>
      </c>
      <c r="E230" s="873">
        <f>+J230+J231</f>
        <v>12716.3</v>
      </c>
      <c r="F230" s="39" t="s">
        <v>4044</v>
      </c>
      <c r="G230" s="39">
        <v>98571</v>
      </c>
      <c r="H230" s="40"/>
      <c r="I230" s="39">
        <v>200</v>
      </c>
      <c r="J230" s="41">
        <v>8762.0999999999985</v>
      </c>
      <c r="K230" s="877">
        <f t="shared" ref="K230" si="126">+A230-D230</f>
        <v>0</v>
      </c>
      <c r="L230" s="879">
        <f t="shared" ref="L230" si="127">((+B230/A230)-(E230/D230))/(B230/A230)</f>
        <v>4.6889873256432686E-2</v>
      </c>
    </row>
    <row r="231" spans="1:12" ht="15" thickBot="1" x14ac:dyDescent="0.35">
      <c r="A231" s="872"/>
      <c r="B231" s="968"/>
      <c r="C231" s="874"/>
      <c r="D231" s="874"/>
      <c r="E231" s="874"/>
      <c r="F231" s="42" t="s">
        <v>4044</v>
      </c>
      <c r="G231" s="42">
        <v>98571</v>
      </c>
      <c r="H231" s="43"/>
      <c r="I231" s="42">
        <v>90</v>
      </c>
      <c r="J231" s="44">
        <v>3954.2</v>
      </c>
      <c r="K231" s="878"/>
      <c r="L231" s="880"/>
    </row>
    <row r="232" spans="1:12" ht="15" thickBot="1" x14ac:dyDescent="0.35">
      <c r="A232" s="178">
        <v>121</v>
      </c>
      <c r="B232" s="217">
        <v>5264.5</v>
      </c>
      <c r="C232" s="45" t="s">
        <v>4045</v>
      </c>
      <c r="D232" s="45">
        <f>+I232</f>
        <v>121</v>
      </c>
      <c r="E232" s="45">
        <f>+J232</f>
        <v>4973.3999999999996</v>
      </c>
      <c r="F232" s="45" t="s">
        <v>4046</v>
      </c>
      <c r="G232" s="45">
        <v>98581</v>
      </c>
      <c r="H232" s="14"/>
      <c r="I232" s="45">
        <v>121</v>
      </c>
      <c r="J232" s="46">
        <v>4973.3999999999996</v>
      </c>
      <c r="K232" s="52">
        <f t="shared" ref="K232:K236" si="128">+A232-D232</f>
        <v>0</v>
      </c>
      <c r="L232" s="31">
        <f t="shared" ref="L232:L236" si="129">((+B232/A232)-(E232/D232))/(B232/A232)</f>
        <v>5.5294899800550884E-2</v>
      </c>
    </row>
    <row r="233" spans="1:12" ht="15" thickBot="1" x14ac:dyDescent="0.35">
      <c r="A233" s="177">
        <v>77</v>
      </c>
      <c r="B233" s="334">
        <v>3395.25</v>
      </c>
      <c r="C233" s="39" t="s">
        <v>4047</v>
      </c>
      <c r="D233" s="45">
        <f t="shared" ref="D233:E236" si="130">+I233</f>
        <v>77</v>
      </c>
      <c r="E233" s="45">
        <f t="shared" si="130"/>
        <v>3223.6</v>
      </c>
      <c r="F233" s="39" t="s">
        <v>4048</v>
      </c>
      <c r="G233" s="39">
        <v>98641</v>
      </c>
      <c r="H233" s="40"/>
      <c r="I233" s="39">
        <v>77</v>
      </c>
      <c r="J233" s="41">
        <v>3223.6</v>
      </c>
      <c r="K233" s="52">
        <f t="shared" si="128"/>
        <v>0</v>
      </c>
      <c r="L233" s="31">
        <f t="shared" si="129"/>
        <v>5.0555923716957579E-2</v>
      </c>
    </row>
    <row r="234" spans="1:12" ht="15" thickBot="1" x14ac:dyDescent="0.35">
      <c r="A234" s="178">
        <v>142</v>
      </c>
      <c r="B234" s="217">
        <v>6249.5</v>
      </c>
      <c r="C234" s="45" t="s">
        <v>4049</v>
      </c>
      <c r="D234" s="45">
        <f t="shared" si="130"/>
        <v>142</v>
      </c>
      <c r="E234" s="45">
        <f t="shared" si="130"/>
        <v>5924</v>
      </c>
      <c r="F234" s="45" t="s">
        <v>4050</v>
      </c>
      <c r="G234" s="45">
        <v>98651</v>
      </c>
      <c r="H234" s="14"/>
      <c r="I234" s="45">
        <v>142</v>
      </c>
      <c r="J234" s="46">
        <v>5924</v>
      </c>
      <c r="K234" s="52">
        <f t="shared" si="128"/>
        <v>0</v>
      </c>
      <c r="L234" s="31">
        <f t="shared" si="129"/>
        <v>5.2084166733338655E-2</v>
      </c>
    </row>
    <row r="235" spans="1:12" ht="15" thickBot="1" x14ac:dyDescent="0.35">
      <c r="A235" s="179">
        <v>127</v>
      </c>
      <c r="B235" s="335">
        <v>5556.25</v>
      </c>
      <c r="C235" s="42" t="s">
        <v>4051</v>
      </c>
      <c r="D235" s="45">
        <f t="shared" si="130"/>
        <v>127</v>
      </c>
      <c r="E235" s="45">
        <f t="shared" si="130"/>
        <v>5272.6</v>
      </c>
      <c r="F235" s="42" t="s">
        <v>4052</v>
      </c>
      <c r="G235" s="42">
        <v>98761</v>
      </c>
      <c r="H235" s="43"/>
      <c r="I235" s="42">
        <v>127</v>
      </c>
      <c r="J235" s="44">
        <v>5272.6</v>
      </c>
      <c r="K235" s="52">
        <f t="shared" si="128"/>
        <v>0</v>
      </c>
      <c r="L235" s="31">
        <f t="shared" si="129"/>
        <v>5.1050618672665811E-2</v>
      </c>
    </row>
    <row r="236" spans="1:12" ht="15" thickBot="1" x14ac:dyDescent="0.35">
      <c r="A236" s="177">
        <v>250</v>
      </c>
      <c r="B236" s="334">
        <v>12377.75</v>
      </c>
      <c r="C236" s="39" t="s">
        <v>4053</v>
      </c>
      <c r="D236" s="39">
        <f t="shared" si="130"/>
        <v>250</v>
      </c>
      <c r="E236" s="39">
        <f t="shared" si="130"/>
        <v>11797.2</v>
      </c>
      <c r="F236" s="39" t="s">
        <v>4054</v>
      </c>
      <c r="G236" s="39">
        <v>98811</v>
      </c>
      <c r="H236" s="40"/>
      <c r="I236" s="39">
        <v>250</v>
      </c>
      <c r="J236" s="41">
        <v>11797.2</v>
      </c>
      <c r="K236" s="52">
        <f t="shared" si="128"/>
        <v>0</v>
      </c>
      <c r="L236" s="31">
        <f t="shared" si="129"/>
        <v>4.6902708489022685E-2</v>
      </c>
    </row>
    <row r="237" spans="1:12" x14ac:dyDescent="0.3">
      <c r="A237" s="871">
        <v>1099</v>
      </c>
      <c r="B237" s="967">
        <v>53266.5</v>
      </c>
      <c r="C237" s="873" t="s">
        <v>4055</v>
      </c>
      <c r="D237" s="873">
        <f>+I237+I238</f>
        <v>1099</v>
      </c>
      <c r="E237" s="873">
        <f>+J237+J238</f>
        <v>51163.000000000007</v>
      </c>
      <c r="F237" s="39" t="s">
        <v>4056</v>
      </c>
      <c r="G237" s="39">
        <v>98861</v>
      </c>
      <c r="H237" s="40"/>
      <c r="I237" s="39">
        <v>621</v>
      </c>
      <c r="J237" s="41">
        <v>29121.300000000003</v>
      </c>
      <c r="K237" s="877">
        <f t="shared" ref="K237" si="131">+A237-D237</f>
        <v>0</v>
      </c>
      <c r="L237" s="879">
        <f t="shared" ref="L237" si="132">((+B237/A237)-(E237/D237))/(B237/A237)</f>
        <v>3.9490111045403571E-2</v>
      </c>
    </row>
    <row r="238" spans="1:12" ht="15" thickBot="1" x14ac:dyDescent="0.35">
      <c r="A238" s="872"/>
      <c r="B238" s="968"/>
      <c r="C238" s="874"/>
      <c r="D238" s="874"/>
      <c r="E238" s="874"/>
      <c r="F238" s="42" t="s">
        <v>4056</v>
      </c>
      <c r="G238" s="42">
        <v>98861</v>
      </c>
      <c r="H238" s="43"/>
      <c r="I238" s="42">
        <v>478</v>
      </c>
      <c r="J238" s="44">
        <v>22041.700000000004</v>
      </c>
      <c r="K238" s="878"/>
      <c r="L238" s="880"/>
    </row>
    <row r="239" spans="1:12" ht="15" thickBot="1" x14ac:dyDescent="0.35">
      <c r="A239" s="178">
        <v>564</v>
      </c>
      <c r="B239" s="217">
        <v>26483.5</v>
      </c>
      <c r="C239" s="45" t="s">
        <v>4057</v>
      </c>
      <c r="D239" s="45">
        <f>+I239</f>
        <v>563</v>
      </c>
      <c r="E239" s="45">
        <f>+J239</f>
        <v>25274.5</v>
      </c>
      <c r="F239" s="45" t="s">
        <v>4058</v>
      </c>
      <c r="G239" s="45">
        <v>98931</v>
      </c>
      <c r="H239" s="14"/>
      <c r="I239" s="45">
        <v>563</v>
      </c>
      <c r="J239" s="46">
        <v>25274.5</v>
      </c>
      <c r="K239" s="52">
        <f t="shared" ref="K239:K240" si="133">+A239-D239</f>
        <v>1</v>
      </c>
      <c r="L239" s="31">
        <f t="shared" ref="L239:L240" si="134">((+B239/A239)-(E239/D239))/(B239/A239)</f>
        <v>4.3955952197992074E-2</v>
      </c>
    </row>
    <row r="240" spans="1:12" x14ac:dyDescent="0.3">
      <c r="A240" s="871">
        <v>343</v>
      </c>
      <c r="B240" s="967">
        <v>15965.5</v>
      </c>
      <c r="C240" s="873" t="s">
        <v>4280</v>
      </c>
      <c r="D240" s="873">
        <v>343</v>
      </c>
      <c r="E240" s="873">
        <v>15330.4</v>
      </c>
      <c r="F240" s="39" t="s">
        <v>4281</v>
      </c>
      <c r="G240" s="39">
        <v>98971</v>
      </c>
      <c r="H240" s="40"/>
      <c r="I240" s="39">
        <v>200</v>
      </c>
      <c r="J240" s="41">
        <v>8991.2999999999993</v>
      </c>
      <c r="K240" s="877">
        <f t="shared" si="133"/>
        <v>0</v>
      </c>
      <c r="L240" s="879">
        <f t="shared" si="134"/>
        <v>3.9779524599918591E-2</v>
      </c>
    </row>
    <row r="241" spans="1:14" x14ac:dyDescent="0.3">
      <c r="A241" s="875"/>
      <c r="B241" s="986"/>
      <c r="C241" s="881"/>
      <c r="D241" s="881"/>
      <c r="E241" s="881"/>
      <c r="F241" s="50" t="s">
        <v>4281</v>
      </c>
      <c r="G241" s="50">
        <v>98971</v>
      </c>
      <c r="I241" s="50">
        <v>70</v>
      </c>
      <c r="J241" s="51">
        <v>3104.3</v>
      </c>
      <c r="K241" s="886"/>
      <c r="L241" s="885"/>
    </row>
    <row r="242" spans="1:14" ht="15" thickBot="1" x14ac:dyDescent="0.35">
      <c r="A242" s="875"/>
      <c r="B242" s="986"/>
      <c r="C242" s="881"/>
      <c r="D242" s="881"/>
      <c r="E242" s="881"/>
      <c r="F242" s="50" t="s">
        <v>4281</v>
      </c>
      <c r="G242" s="50">
        <v>98971</v>
      </c>
      <c r="I242" s="50">
        <v>50</v>
      </c>
      <c r="J242" s="51">
        <v>2217.1999999999998</v>
      </c>
      <c r="K242" s="878"/>
      <c r="L242" s="880"/>
    </row>
    <row r="243" spans="1:14" x14ac:dyDescent="0.3">
      <c r="A243" s="871">
        <v>438</v>
      </c>
      <c r="B243" s="967">
        <v>19401</v>
      </c>
      <c r="C243" s="873" t="s">
        <v>4282</v>
      </c>
      <c r="D243" s="873">
        <v>436</v>
      </c>
      <c r="E243" s="873">
        <v>18084.3</v>
      </c>
      <c r="F243" s="39" t="s">
        <v>4283</v>
      </c>
      <c r="G243" s="39">
        <v>99001</v>
      </c>
      <c r="H243" s="40"/>
      <c r="I243" s="39">
        <v>150</v>
      </c>
      <c r="J243" s="41">
        <v>6239.2</v>
      </c>
      <c r="K243" s="877">
        <f t="shared" ref="K243" si="135">+A243-D243</f>
        <v>2</v>
      </c>
      <c r="L243" s="879">
        <f t="shared" ref="L243" si="136">((+B243/A243)-(E243/D243))/(B243/A243)</f>
        <v>6.3591799155344825E-2</v>
      </c>
    </row>
    <row r="244" spans="1:14" ht="15" thickBot="1" x14ac:dyDescent="0.35">
      <c r="A244" s="872"/>
      <c r="B244" s="968"/>
      <c r="C244" s="874"/>
      <c r="D244" s="874"/>
      <c r="E244" s="874"/>
      <c r="F244" s="42" t="s">
        <v>4283</v>
      </c>
      <c r="G244" s="42">
        <v>99001</v>
      </c>
      <c r="H244" s="43"/>
      <c r="I244" s="42">
        <v>109</v>
      </c>
      <c r="J244" s="44">
        <v>4382.3</v>
      </c>
      <c r="K244" s="878"/>
      <c r="L244" s="880"/>
    </row>
    <row r="245" spans="1:14" ht="15" thickBot="1" x14ac:dyDescent="0.35">
      <c r="A245" s="178">
        <v>76</v>
      </c>
      <c r="B245" s="217">
        <v>3287.25</v>
      </c>
      <c r="C245" s="45" t="s">
        <v>4353</v>
      </c>
      <c r="D245" s="8">
        <f t="shared" ref="D245:E249" si="137">+I245</f>
        <v>76</v>
      </c>
      <c r="E245" s="8">
        <f t="shared" si="137"/>
        <v>3109.6</v>
      </c>
      <c r="F245" s="45" t="s">
        <v>4354</v>
      </c>
      <c r="G245" s="45">
        <v>99251</v>
      </c>
      <c r="H245" s="14"/>
      <c r="I245" s="45">
        <v>76</v>
      </c>
      <c r="J245" s="46">
        <v>3109.6</v>
      </c>
      <c r="K245" s="52">
        <f t="shared" ref="K245:K248" si="138">+A245-D245</f>
        <v>0</v>
      </c>
      <c r="L245" s="31">
        <f t="shared" ref="L245:L248" si="139">((+B245/A245)-(E245/D245))/(B245/A245)</f>
        <v>5.4042132481557661E-2</v>
      </c>
    </row>
    <row r="246" spans="1:14" ht="15" thickBot="1" x14ac:dyDescent="0.35">
      <c r="A246" s="178">
        <v>154</v>
      </c>
      <c r="B246" s="217">
        <v>5157.5</v>
      </c>
      <c r="C246" s="45" t="s">
        <v>4355</v>
      </c>
      <c r="D246" s="8">
        <f t="shared" si="137"/>
        <v>124</v>
      </c>
      <c r="E246" s="8">
        <f t="shared" si="137"/>
        <v>4877.2</v>
      </c>
      <c r="F246" s="45" t="s">
        <v>4356</v>
      </c>
      <c r="G246" s="45">
        <v>99261</v>
      </c>
      <c r="H246" s="14"/>
      <c r="I246" s="45">
        <v>124</v>
      </c>
      <c r="J246" s="46">
        <v>4877.2</v>
      </c>
      <c r="K246" s="52">
        <f t="shared" si="138"/>
        <v>30</v>
      </c>
      <c r="L246" s="31">
        <f t="shared" si="139"/>
        <v>-0.17443872844119898</v>
      </c>
    </row>
    <row r="247" spans="1:14" ht="15" thickBot="1" x14ac:dyDescent="0.35">
      <c r="A247" s="178">
        <v>502</v>
      </c>
      <c r="B247" s="217">
        <v>21525.75</v>
      </c>
      <c r="C247" s="45" t="s">
        <v>4553</v>
      </c>
      <c r="D247" s="8">
        <v>502</v>
      </c>
      <c r="E247" s="8">
        <v>21687.1</v>
      </c>
      <c r="F247" s="45" t="s">
        <v>4554</v>
      </c>
      <c r="G247" s="45">
        <v>99331</v>
      </c>
      <c r="H247" s="14"/>
      <c r="I247" s="45">
        <v>124</v>
      </c>
      <c r="J247" s="46">
        <v>4877.2</v>
      </c>
      <c r="K247" s="52">
        <f t="shared" ref="K247" si="140">+A247-D247</f>
        <v>0</v>
      </c>
      <c r="L247" s="31">
        <f t="shared" ref="L247" si="141">((+B247/A247)-(E247/D247))/(B247/A247)</f>
        <v>-7.4956737860469207E-3</v>
      </c>
    </row>
    <row r="248" spans="1:14" ht="15" thickBot="1" x14ac:dyDescent="0.35">
      <c r="A248" s="178">
        <v>638</v>
      </c>
      <c r="B248" s="217">
        <v>28006.25</v>
      </c>
      <c r="C248" s="45" t="s">
        <v>4357</v>
      </c>
      <c r="D248" s="8">
        <f t="shared" si="137"/>
        <v>638</v>
      </c>
      <c r="E248" s="8">
        <f t="shared" si="137"/>
        <v>26876.2</v>
      </c>
      <c r="F248" s="45" t="s">
        <v>4358</v>
      </c>
      <c r="G248" s="45">
        <v>99481</v>
      </c>
      <c r="H248" s="14"/>
      <c r="I248" s="45">
        <v>638</v>
      </c>
      <c r="J248" s="46">
        <v>26876.2</v>
      </c>
      <c r="K248" s="52">
        <f t="shared" si="138"/>
        <v>0</v>
      </c>
      <c r="L248" s="31">
        <f t="shared" si="139"/>
        <v>4.0349921892434776E-2</v>
      </c>
    </row>
    <row r="249" spans="1:14" ht="15" thickBot="1" x14ac:dyDescent="0.35">
      <c r="A249" s="348">
        <v>335</v>
      </c>
      <c r="B249" s="217">
        <v>14657.5</v>
      </c>
      <c r="C249" s="45" t="s">
        <v>4555</v>
      </c>
      <c r="D249" s="45">
        <f t="shared" si="137"/>
        <v>335</v>
      </c>
      <c r="E249" s="45">
        <f t="shared" si="137"/>
        <v>13973.2</v>
      </c>
      <c r="F249" s="45" t="s">
        <v>4556</v>
      </c>
      <c r="G249" s="45">
        <v>99741</v>
      </c>
      <c r="H249" s="14"/>
      <c r="I249" s="45">
        <v>335</v>
      </c>
      <c r="J249" s="46">
        <v>13973.2</v>
      </c>
      <c r="K249" s="52">
        <f t="shared" ref="K249:K250" si="142">+A249-D249</f>
        <v>0</v>
      </c>
      <c r="L249" s="31">
        <f t="shared" ref="L249:L250" si="143">((+B249/A249)-(E249/D249))/(B249/A249)</f>
        <v>4.6685996929899276E-2</v>
      </c>
    </row>
    <row r="250" spans="1:14" x14ac:dyDescent="0.3">
      <c r="A250" s="901">
        <v>276</v>
      </c>
      <c r="B250" s="967">
        <v>12967</v>
      </c>
      <c r="C250" s="873" t="s">
        <v>4557</v>
      </c>
      <c r="D250" s="873">
        <f>+I250+I251</f>
        <v>276</v>
      </c>
      <c r="E250" s="873">
        <f>+J250+J251</f>
        <v>12584</v>
      </c>
      <c r="F250" s="39" t="s">
        <v>4558</v>
      </c>
      <c r="G250" s="39">
        <v>99901</v>
      </c>
      <c r="H250" s="40"/>
      <c r="I250" s="39">
        <v>225</v>
      </c>
      <c r="J250" s="41">
        <v>10354.700000000001</v>
      </c>
      <c r="K250" s="877">
        <f t="shared" si="142"/>
        <v>0</v>
      </c>
      <c r="L250" s="879">
        <f t="shared" si="143"/>
        <v>2.9536515770802792E-2</v>
      </c>
    </row>
    <row r="251" spans="1:14" ht="15" thickBot="1" x14ac:dyDescent="0.35">
      <c r="A251" s="888"/>
      <c r="B251" s="968"/>
      <c r="C251" s="874"/>
      <c r="D251" s="874"/>
      <c r="E251" s="874"/>
      <c r="F251" s="42" t="s">
        <v>4558</v>
      </c>
      <c r="G251" s="42">
        <v>99901</v>
      </c>
      <c r="H251" s="43"/>
      <c r="I251" s="42">
        <v>51</v>
      </c>
      <c r="J251" s="44">
        <v>2229.3000000000002</v>
      </c>
      <c r="K251" s="878"/>
      <c r="L251" s="880"/>
    </row>
    <row r="252" spans="1:14" ht="15" thickBot="1" x14ac:dyDescent="0.35">
      <c r="A252" s="348">
        <v>275</v>
      </c>
      <c r="B252" s="217">
        <v>11701</v>
      </c>
      <c r="C252" s="45" t="s">
        <v>4559</v>
      </c>
      <c r="D252" s="45">
        <f>+I252</f>
        <v>275</v>
      </c>
      <c r="E252" s="45">
        <f>+J252</f>
        <v>11266.6</v>
      </c>
      <c r="F252" s="45" t="s">
        <v>4560</v>
      </c>
      <c r="G252" s="45">
        <v>99911</v>
      </c>
      <c r="H252" s="14"/>
      <c r="I252" s="45">
        <v>275</v>
      </c>
      <c r="J252" s="46">
        <v>11266.6</v>
      </c>
      <c r="K252" s="52">
        <f t="shared" ref="K252" si="144">+A252-D252</f>
        <v>0</v>
      </c>
      <c r="L252" s="31">
        <f t="shared" ref="L252" si="145">((+B252/A252)-(E252/D252))/(B252/A252)</f>
        <v>3.7125032048542797E-2</v>
      </c>
      <c r="N252" s="351"/>
    </row>
    <row r="253" spans="1:14" ht="15" thickBot="1" x14ac:dyDescent="0.35">
      <c r="A253" s="348">
        <v>434</v>
      </c>
      <c r="B253" s="217">
        <v>19209</v>
      </c>
      <c r="C253" s="45" t="s">
        <v>4603</v>
      </c>
      <c r="D253" s="45">
        <v>434</v>
      </c>
      <c r="E253" s="45">
        <v>18495.5</v>
      </c>
      <c r="F253" s="45" t="s">
        <v>4604</v>
      </c>
      <c r="G253" s="45">
        <v>99971</v>
      </c>
      <c r="H253" s="14"/>
      <c r="I253" s="45">
        <v>275</v>
      </c>
      <c r="J253" s="46">
        <v>11266.6</v>
      </c>
      <c r="K253" s="52">
        <f t="shared" ref="K253:K254" si="146">+A253-D253</f>
        <v>0</v>
      </c>
      <c r="L253" s="31">
        <f t="shared" ref="L253:L254" si="147">((+B253/A253)-(E253/D253))/(B253/A253)</f>
        <v>3.714404706127343E-2</v>
      </c>
      <c r="N253" s="351"/>
    </row>
    <row r="254" spans="1:14" x14ac:dyDescent="0.3">
      <c r="A254" s="871">
        <v>564</v>
      </c>
      <c r="B254" s="967">
        <v>31582.3</v>
      </c>
      <c r="C254" s="873" t="s">
        <v>4647</v>
      </c>
      <c r="D254" s="873">
        <f>+I254+I255</f>
        <v>563</v>
      </c>
      <c r="E254" s="873">
        <f>+J254+J255</f>
        <v>30036.199999999997</v>
      </c>
      <c r="F254" s="50" t="s">
        <v>4648</v>
      </c>
      <c r="G254" s="50">
        <v>100021</v>
      </c>
      <c r="I254" s="50">
        <v>200</v>
      </c>
      <c r="J254" s="51">
        <v>10272.4</v>
      </c>
      <c r="K254" s="877">
        <f t="shared" si="146"/>
        <v>1</v>
      </c>
      <c r="L254" s="879">
        <f t="shared" si="147"/>
        <v>4.7265390220793277E-2</v>
      </c>
      <c r="N254" s="351"/>
    </row>
    <row r="255" spans="1:14" ht="15" thickBot="1" x14ac:dyDescent="0.35">
      <c r="A255" s="872"/>
      <c r="B255" s="968"/>
      <c r="C255" s="874"/>
      <c r="D255" s="874"/>
      <c r="E255" s="874"/>
      <c r="F255" s="42" t="s">
        <v>4648</v>
      </c>
      <c r="G255" s="42">
        <v>100021</v>
      </c>
      <c r="H255" s="43"/>
      <c r="I255" s="42">
        <v>363</v>
      </c>
      <c r="J255" s="44">
        <v>19763.8</v>
      </c>
      <c r="K255" s="878"/>
      <c r="L255" s="880"/>
      <c r="N255" s="351"/>
    </row>
    <row r="256" spans="1:14" ht="15" thickBot="1" x14ac:dyDescent="0.35">
      <c r="A256" s="175">
        <v>48</v>
      </c>
      <c r="B256" s="216">
        <v>2052.5</v>
      </c>
      <c r="C256" s="8" t="s">
        <v>4649</v>
      </c>
      <c r="D256" s="8">
        <f>+I256</f>
        <v>48</v>
      </c>
      <c r="E256" s="8">
        <f>+J256</f>
        <v>1974.1</v>
      </c>
      <c r="F256" s="45" t="s">
        <v>4650</v>
      </c>
      <c r="G256" s="45">
        <v>100111</v>
      </c>
      <c r="H256" s="14"/>
      <c r="I256" s="45">
        <v>48</v>
      </c>
      <c r="J256" s="46">
        <v>1974.1</v>
      </c>
      <c r="K256" s="52">
        <f t="shared" ref="K256:K259" si="148">+A256-D256</f>
        <v>0</v>
      </c>
      <c r="L256" s="31">
        <f t="shared" ref="L256:L259" si="149">((+B256/A256)-(E256/D256))/(B256/A256)</f>
        <v>3.8197320341047496E-2</v>
      </c>
      <c r="N256" s="351"/>
    </row>
    <row r="257" spans="1:14" ht="15" thickBot="1" x14ac:dyDescent="0.35">
      <c r="A257" s="175">
        <v>479</v>
      </c>
      <c r="B257" s="216">
        <v>20308.25</v>
      </c>
      <c r="C257" s="8" t="s">
        <v>4651</v>
      </c>
      <c r="D257" s="8">
        <f>+I257</f>
        <v>478</v>
      </c>
      <c r="E257" s="8">
        <f>+J257</f>
        <v>19344.599999999999</v>
      </c>
      <c r="F257" s="45" t="s">
        <v>4652</v>
      </c>
      <c r="G257" s="45">
        <v>100171</v>
      </c>
      <c r="H257" s="14"/>
      <c r="I257" s="45">
        <v>478</v>
      </c>
      <c r="J257" s="46">
        <v>19344.599999999999</v>
      </c>
      <c r="K257" s="52">
        <f t="shared" si="148"/>
        <v>1</v>
      </c>
      <c r="L257" s="31">
        <f t="shared" si="149"/>
        <v>4.5458379009664228E-2</v>
      </c>
      <c r="N257" s="351"/>
    </row>
    <row r="258" spans="1:14" ht="15" thickBot="1" x14ac:dyDescent="0.35">
      <c r="A258" s="190">
        <v>1888</v>
      </c>
      <c r="B258" s="216">
        <v>72195.3</v>
      </c>
      <c r="C258" s="8" t="s">
        <v>4653</v>
      </c>
      <c r="D258" s="8">
        <v>1888</v>
      </c>
      <c r="E258" s="8">
        <v>69191</v>
      </c>
      <c r="F258" s="45" t="s">
        <v>4654</v>
      </c>
      <c r="G258" s="45">
        <v>100251</v>
      </c>
      <c r="H258" s="14"/>
      <c r="I258" s="45">
        <v>440</v>
      </c>
      <c r="J258" s="45">
        <v>16124.4</v>
      </c>
      <c r="K258" s="52">
        <f t="shared" si="148"/>
        <v>0</v>
      </c>
      <c r="L258" s="31">
        <f t="shared" si="149"/>
        <v>4.1613512236946211E-2</v>
      </c>
      <c r="N258" s="351"/>
    </row>
    <row r="259" spans="1:14" x14ac:dyDescent="0.3">
      <c r="A259" s="871">
        <v>1040</v>
      </c>
      <c r="B259" s="967">
        <v>44838.75</v>
      </c>
      <c r="C259" s="873" t="s">
        <v>4721</v>
      </c>
      <c r="D259" s="873">
        <f>+I259+I260</f>
        <v>1040</v>
      </c>
      <c r="E259" s="873">
        <f>+J259+J260</f>
        <v>42709.899999999994</v>
      </c>
      <c r="F259" s="39" t="s">
        <v>4722</v>
      </c>
      <c r="G259" s="39">
        <v>10031</v>
      </c>
      <c r="H259" s="40"/>
      <c r="I259" s="39">
        <v>700</v>
      </c>
      <c r="J259" s="41">
        <v>28891.699999999997</v>
      </c>
      <c r="K259" s="877">
        <f t="shared" si="148"/>
        <v>0</v>
      </c>
      <c r="L259" s="879">
        <f t="shared" si="149"/>
        <v>4.7477906944328387E-2</v>
      </c>
      <c r="N259" s="351"/>
    </row>
    <row r="260" spans="1:14" ht="15" thickBot="1" x14ac:dyDescent="0.35">
      <c r="A260" s="872"/>
      <c r="B260" s="968"/>
      <c r="C260" s="874"/>
      <c r="D260" s="874"/>
      <c r="E260" s="874"/>
      <c r="F260" s="42" t="s">
        <v>4722</v>
      </c>
      <c r="G260" s="42">
        <v>10031</v>
      </c>
      <c r="H260" s="43"/>
      <c r="I260" s="42">
        <v>340</v>
      </c>
      <c r="J260" s="44">
        <v>13818.199999999999</v>
      </c>
      <c r="K260" s="878"/>
      <c r="L260" s="880"/>
    </row>
    <row r="261" spans="1:14" x14ac:dyDescent="0.3">
      <c r="A261" s="871">
        <v>415</v>
      </c>
      <c r="B261" s="967">
        <v>19304</v>
      </c>
      <c r="C261" s="873" t="s">
        <v>4804</v>
      </c>
      <c r="D261" s="873">
        <f>+I261+I262</f>
        <v>415</v>
      </c>
      <c r="E261" s="873">
        <f>+J261+J262</f>
        <v>18514.599999999999</v>
      </c>
      <c r="F261" s="39" t="s">
        <v>4805</v>
      </c>
      <c r="G261" s="39">
        <v>100411</v>
      </c>
      <c r="H261" s="40"/>
      <c r="I261" s="39">
        <v>200</v>
      </c>
      <c r="J261" s="41">
        <v>8773</v>
      </c>
      <c r="K261" s="877">
        <f t="shared" ref="K261" si="150">+A261-D261</f>
        <v>0</v>
      </c>
      <c r="L261" s="879">
        <f t="shared" ref="L261" si="151">((+B261/A261)-(E261/D261))/(B261/A261)</f>
        <v>4.0893079154579459E-2</v>
      </c>
    </row>
    <row r="262" spans="1:14" ht="15" thickBot="1" x14ac:dyDescent="0.35">
      <c r="A262" s="875"/>
      <c r="B262" s="986"/>
      <c r="C262" s="881"/>
      <c r="D262" s="881"/>
      <c r="E262" s="881"/>
      <c r="F262" s="50" t="s">
        <v>4805</v>
      </c>
      <c r="G262" s="50">
        <v>100411</v>
      </c>
      <c r="I262" s="50">
        <v>215</v>
      </c>
      <c r="J262" s="51">
        <v>9741.6</v>
      </c>
      <c r="K262" s="878"/>
      <c r="L262" s="880"/>
    </row>
    <row r="263" spans="1:14" x14ac:dyDescent="0.3">
      <c r="A263" s="871">
        <v>457</v>
      </c>
      <c r="B263" s="967">
        <v>19762.25</v>
      </c>
      <c r="C263" s="873" t="s">
        <v>4806</v>
      </c>
      <c r="D263" s="873">
        <f>+I263+I264</f>
        <v>457</v>
      </c>
      <c r="E263" s="873">
        <f>+J263+J264</f>
        <v>18872.100000000002</v>
      </c>
      <c r="F263" s="39" t="s">
        <v>4807</v>
      </c>
      <c r="G263" s="39">
        <v>100451</v>
      </c>
      <c r="H263" s="40"/>
      <c r="I263" s="39">
        <v>50</v>
      </c>
      <c r="J263" s="41">
        <v>2048.1999999999998</v>
      </c>
      <c r="K263" s="877">
        <f t="shared" ref="K263" si="152">+A263-D263</f>
        <v>0</v>
      </c>
      <c r="L263" s="879">
        <f t="shared" ref="L263" si="153">((+B263/A263)-(E263/D263))/(B263/A263)</f>
        <v>4.5042948044883437E-2</v>
      </c>
    </row>
    <row r="264" spans="1:14" ht="15" thickBot="1" x14ac:dyDescent="0.35">
      <c r="A264" s="872"/>
      <c r="B264" s="968"/>
      <c r="C264" s="874"/>
      <c r="D264" s="874"/>
      <c r="E264" s="874"/>
      <c r="F264" s="42" t="s">
        <v>4807</v>
      </c>
      <c r="G264" s="42">
        <v>100451</v>
      </c>
      <c r="H264" s="43"/>
      <c r="I264" s="42">
        <v>407</v>
      </c>
      <c r="J264" s="44">
        <v>16823.900000000001</v>
      </c>
      <c r="K264" s="878"/>
      <c r="L264" s="880"/>
    </row>
    <row r="265" spans="1:14" ht="15" thickBot="1" x14ac:dyDescent="0.35">
      <c r="A265" s="199">
        <v>283</v>
      </c>
      <c r="B265" s="352">
        <v>13560</v>
      </c>
      <c r="C265" s="10" t="s">
        <v>4808</v>
      </c>
      <c r="D265" s="10">
        <f t="shared" ref="D265:E265" si="154">+I265</f>
        <v>283</v>
      </c>
      <c r="E265" s="10">
        <f t="shared" si="154"/>
        <v>13143.5</v>
      </c>
      <c r="F265" s="42" t="s">
        <v>4809</v>
      </c>
      <c r="G265" s="42">
        <v>100461</v>
      </c>
      <c r="H265" s="43"/>
      <c r="I265" s="42">
        <v>283</v>
      </c>
      <c r="J265" s="44">
        <v>13143.5</v>
      </c>
      <c r="K265" s="52">
        <f t="shared" ref="K265:K267" si="155">+A265-D265</f>
        <v>0</v>
      </c>
      <c r="L265" s="31">
        <f t="shared" ref="L265:L267" si="156">((+B265/A265)-(E265/D265))/(B265/A265)</f>
        <v>3.0715339233038343E-2</v>
      </c>
    </row>
    <row r="266" spans="1:14" ht="15" thickBot="1" x14ac:dyDescent="0.35">
      <c r="A266" s="175">
        <v>460</v>
      </c>
      <c r="B266" s="216">
        <v>22165.25</v>
      </c>
      <c r="C266" s="8" t="s">
        <v>4810</v>
      </c>
      <c r="D266" s="8">
        <f>+I266+397</f>
        <v>464</v>
      </c>
      <c r="E266" s="8">
        <f>+J266+18488.2</f>
        <v>21590.7</v>
      </c>
      <c r="F266" s="8" t="s">
        <v>4811</v>
      </c>
      <c r="G266" s="8">
        <v>100511</v>
      </c>
      <c r="H266" s="80"/>
      <c r="I266" s="8">
        <v>67</v>
      </c>
      <c r="J266" s="9">
        <v>3102.5</v>
      </c>
      <c r="K266" s="52">
        <f t="shared" si="155"/>
        <v>-4</v>
      </c>
      <c r="L266" s="31">
        <f t="shared" si="156"/>
        <v>3.4318436477726671E-2</v>
      </c>
    </row>
    <row r="267" spans="1:14" x14ac:dyDescent="0.3">
      <c r="A267" s="882">
        <v>300</v>
      </c>
      <c r="B267" s="991">
        <v>14029.25</v>
      </c>
      <c r="C267" s="982" t="s">
        <v>4907</v>
      </c>
      <c r="D267" s="873">
        <f>+I267+I268</f>
        <v>300</v>
      </c>
      <c r="E267" s="873">
        <f>+J267+J268</f>
        <v>13628.900000000001</v>
      </c>
      <c r="F267" s="12" t="s">
        <v>4908</v>
      </c>
      <c r="G267" s="12">
        <v>100601</v>
      </c>
      <c r="H267" s="38"/>
      <c r="I267" s="12">
        <v>101</v>
      </c>
      <c r="J267" s="13">
        <v>4564.3</v>
      </c>
      <c r="K267" s="877">
        <f t="shared" si="155"/>
        <v>0</v>
      </c>
      <c r="L267" s="879">
        <f t="shared" si="156"/>
        <v>2.8536807028173246E-2</v>
      </c>
    </row>
    <row r="268" spans="1:14" ht="15" thickBot="1" x14ac:dyDescent="0.35">
      <c r="A268" s="884"/>
      <c r="B268" s="992"/>
      <c r="C268" s="983"/>
      <c r="D268" s="874"/>
      <c r="E268" s="874"/>
      <c r="F268" s="42" t="s">
        <v>4908</v>
      </c>
      <c r="G268" s="42">
        <v>100601</v>
      </c>
      <c r="H268" s="43"/>
      <c r="I268" s="42">
        <v>199</v>
      </c>
      <c r="J268" s="44">
        <v>9064.6</v>
      </c>
      <c r="K268" s="878"/>
      <c r="L268" s="880"/>
    </row>
    <row r="269" spans="1:14" ht="15" thickBot="1" x14ac:dyDescent="0.35">
      <c r="A269" s="177">
        <v>158</v>
      </c>
      <c r="B269" s="334">
        <v>6826</v>
      </c>
      <c r="C269" s="39" t="s">
        <v>4909</v>
      </c>
      <c r="D269" s="39">
        <f>+I269</f>
        <v>158</v>
      </c>
      <c r="E269" s="39">
        <f>+J269</f>
        <v>6543.5</v>
      </c>
      <c r="F269" s="39" t="s">
        <v>4910</v>
      </c>
      <c r="G269" s="39">
        <v>100661</v>
      </c>
      <c r="H269" s="40"/>
      <c r="I269" s="39">
        <v>158</v>
      </c>
      <c r="J269" s="41">
        <v>6543.5</v>
      </c>
      <c r="K269" s="52">
        <f t="shared" ref="K269" si="157">+A269-D269</f>
        <v>0</v>
      </c>
      <c r="L269" s="31">
        <f t="shared" ref="L269" si="158">((+B269/A269)-(E269/D269))/(B269/A269)</f>
        <v>4.1385877527102301E-2</v>
      </c>
    </row>
    <row r="270" spans="1:14" x14ac:dyDescent="0.3">
      <c r="A270" s="871">
        <v>400</v>
      </c>
      <c r="B270" s="967">
        <v>17167.25</v>
      </c>
      <c r="C270" s="873" t="s">
        <v>4911</v>
      </c>
      <c r="D270" s="873">
        <f>+I270+I271</f>
        <v>400</v>
      </c>
      <c r="E270" s="873">
        <f>+J270+J271</f>
        <v>16456.099999999999</v>
      </c>
      <c r="F270" s="39" t="s">
        <v>4912</v>
      </c>
      <c r="G270" s="39">
        <v>100751</v>
      </c>
      <c r="H270" s="40"/>
      <c r="I270" s="39">
        <v>243</v>
      </c>
      <c r="J270" s="41">
        <v>10035.700000000001</v>
      </c>
      <c r="K270" s="877">
        <f t="shared" ref="K270" si="159">+A270-D270</f>
        <v>0</v>
      </c>
      <c r="L270" s="879">
        <f t="shared" ref="L270" si="160">((+B270/A270)-(E270/D270))/(B270/A270)</f>
        <v>4.1424805953195969E-2</v>
      </c>
    </row>
    <row r="271" spans="1:14" ht="15" thickBot="1" x14ac:dyDescent="0.35">
      <c r="A271" s="872"/>
      <c r="B271" s="968"/>
      <c r="C271" s="874"/>
      <c r="D271" s="874"/>
      <c r="E271" s="874"/>
      <c r="F271" s="42" t="s">
        <v>4912</v>
      </c>
      <c r="G271" s="42">
        <v>100751</v>
      </c>
      <c r="H271" s="43"/>
      <c r="I271" s="42">
        <v>157</v>
      </c>
      <c r="J271" s="44">
        <v>6420.4</v>
      </c>
      <c r="K271" s="878"/>
      <c r="L271" s="880"/>
    </row>
    <row r="272" spans="1:14" ht="15" thickBot="1" x14ac:dyDescent="0.35">
      <c r="A272" s="178">
        <v>708</v>
      </c>
      <c r="B272" s="217">
        <v>29703</v>
      </c>
      <c r="C272" s="45" t="s">
        <v>4913</v>
      </c>
      <c r="D272" s="45">
        <f>+I272</f>
        <v>708</v>
      </c>
      <c r="E272" s="45">
        <f>+J272</f>
        <v>28692.2</v>
      </c>
      <c r="F272" s="45" t="s">
        <v>4914</v>
      </c>
      <c r="G272" s="45">
        <v>100801</v>
      </c>
      <c r="H272" s="14"/>
      <c r="I272" s="45">
        <v>708</v>
      </c>
      <c r="J272" s="46">
        <v>28692.2</v>
      </c>
      <c r="K272" s="52">
        <f t="shared" ref="K272:K273" si="161">+A272-D272</f>
        <v>0</v>
      </c>
      <c r="L272" s="31">
        <f t="shared" ref="L272:L273" si="162">((+B272/A272)-(E272/D272))/(B272/A272)</f>
        <v>3.4030232636434114E-2</v>
      </c>
    </row>
    <row r="273" spans="1:12" x14ac:dyDescent="0.3">
      <c r="A273" s="871">
        <v>903</v>
      </c>
      <c r="B273" s="967">
        <v>37971.75</v>
      </c>
      <c r="C273" s="873" t="s">
        <v>5015</v>
      </c>
      <c r="D273" s="873">
        <f>+I273+I274</f>
        <v>901</v>
      </c>
      <c r="E273" s="873">
        <f>+J273+J274</f>
        <v>36473.9</v>
      </c>
      <c r="F273" s="39" t="s">
        <v>5016</v>
      </c>
      <c r="G273" s="39">
        <v>100871</v>
      </c>
      <c r="H273" s="40"/>
      <c r="I273" s="39">
        <v>658</v>
      </c>
      <c r="J273" s="41">
        <v>26714.2</v>
      </c>
      <c r="K273" s="877">
        <f t="shared" si="161"/>
        <v>2</v>
      </c>
      <c r="L273" s="879">
        <f t="shared" si="162"/>
        <v>3.7314236187342607E-2</v>
      </c>
    </row>
    <row r="274" spans="1:12" ht="15" thickBot="1" x14ac:dyDescent="0.35">
      <c r="A274" s="872"/>
      <c r="B274" s="968"/>
      <c r="C274" s="874"/>
      <c r="D274" s="874"/>
      <c r="E274" s="874"/>
      <c r="F274" s="42" t="s">
        <v>5016</v>
      </c>
      <c r="G274" s="42">
        <v>100871</v>
      </c>
      <c r="H274" s="43"/>
      <c r="I274" s="42">
        <v>243</v>
      </c>
      <c r="J274" s="44">
        <v>9759.7000000000007</v>
      </c>
      <c r="K274" s="878"/>
      <c r="L274" s="880"/>
    </row>
    <row r="275" spans="1:12" ht="15" thickBot="1" x14ac:dyDescent="0.35">
      <c r="A275" s="178">
        <v>200</v>
      </c>
      <c r="B275" s="217">
        <v>8650.75</v>
      </c>
      <c r="C275" s="45" t="s">
        <v>5087</v>
      </c>
      <c r="D275" s="45">
        <f t="shared" ref="D275:E277" si="163">+I275</f>
        <v>200</v>
      </c>
      <c r="E275" s="45">
        <f t="shared" si="163"/>
        <v>8425</v>
      </c>
      <c r="F275" s="45" t="s">
        <v>5088</v>
      </c>
      <c r="G275" s="45">
        <v>100991</v>
      </c>
      <c r="H275" s="14"/>
      <c r="I275" s="45">
        <v>200</v>
      </c>
      <c r="J275" s="46">
        <v>8425</v>
      </c>
      <c r="K275" s="52">
        <f t="shared" ref="K275:K278" si="164">+A275-D275</f>
        <v>0</v>
      </c>
      <c r="L275" s="31">
        <f t="shared" ref="L275:L278" si="165">((+B275/A275)-(E275/D275))/(B275/A275)</f>
        <v>2.6096003236713503E-2</v>
      </c>
    </row>
    <row r="276" spans="1:12" ht="15" thickBot="1" x14ac:dyDescent="0.35">
      <c r="A276" s="178">
        <v>240</v>
      </c>
      <c r="B276" s="217">
        <v>10487.25</v>
      </c>
      <c r="C276" s="45" t="s">
        <v>5089</v>
      </c>
      <c r="D276" s="45">
        <f t="shared" si="163"/>
        <v>241</v>
      </c>
      <c r="E276" s="45">
        <f t="shared" si="163"/>
        <v>10251.800000000001</v>
      </c>
      <c r="F276" s="45" t="s">
        <v>5090</v>
      </c>
      <c r="G276" s="45">
        <v>101001</v>
      </c>
      <c r="H276" s="14"/>
      <c r="I276" s="45">
        <v>241</v>
      </c>
      <c r="J276" s="46">
        <v>10251.800000000001</v>
      </c>
      <c r="K276" s="52">
        <f t="shared" si="164"/>
        <v>-1</v>
      </c>
      <c r="L276" s="31">
        <f t="shared" si="165"/>
        <v>2.650729115941906E-2</v>
      </c>
    </row>
    <row r="277" spans="1:12" ht="15" thickBot="1" x14ac:dyDescent="0.35">
      <c r="A277" s="178">
        <v>576</v>
      </c>
      <c r="B277" s="217">
        <v>25497.75</v>
      </c>
      <c r="C277" s="45" t="s">
        <v>5091</v>
      </c>
      <c r="D277" s="45">
        <f t="shared" si="163"/>
        <v>576</v>
      </c>
      <c r="E277" s="45">
        <f t="shared" si="163"/>
        <v>25474.400000000001</v>
      </c>
      <c r="F277" s="45" t="s">
        <v>5092</v>
      </c>
      <c r="G277" s="45">
        <v>101061</v>
      </c>
      <c r="H277" s="14"/>
      <c r="I277" s="45">
        <v>576</v>
      </c>
      <c r="J277" s="46">
        <v>25474.400000000001</v>
      </c>
      <c r="K277" s="52">
        <f t="shared" si="164"/>
        <v>0</v>
      </c>
      <c r="L277" s="31">
        <f t="shared" si="165"/>
        <v>9.1576707748722568E-4</v>
      </c>
    </row>
    <row r="278" spans="1:12" ht="15" thickBot="1" x14ac:dyDescent="0.35">
      <c r="A278" s="178">
        <v>306</v>
      </c>
      <c r="B278" s="217">
        <v>13172</v>
      </c>
      <c r="C278" s="45" t="s">
        <v>5093</v>
      </c>
      <c r="D278" s="45">
        <v>306</v>
      </c>
      <c r="E278" s="45">
        <v>13102.4</v>
      </c>
      <c r="F278" s="45" t="s">
        <v>5094</v>
      </c>
      <c r="G278" s="45">
        <v>101221</v>
      </c>
      <c r="H278" s="14"/>
      <c r="I278" s="45">
        <v>216</v>
      </c>
      <c r="J278" s="46">
        <v>9220.8000000000011</v>
      </c>
      <c r="K278" s="52">
        <f t="shared" si="164"/>
        <v>0</v>
      </c>
      <c r="L278" s="31">
        <f t="shared" si="165"/>
        <v>5.2839356210144187E-3</v>
      </c>
    </row>
    <row r="279" spans="1:12" ht="15" thickBot="1" x14ac:dyDescent="0.35">
      <c r="A279" s="178">
        <v>552</v>
      </c>
      <c r="B279" s="217">
        <v>24173.75</v>
      </c>
      <c r="C279" s="45" t="s">
        <v>5228</v>
      </c>
      <c r="D279" s="45">
        <f t="shared" ref="D279:E279" si="166">+I279</f>
        <v>552</v>
      </c>
      <c r="E279" s="45">
        <f t="shared" si="166"/>
        <v>23204.399999999998</v>
      </c>
      <c r="F279" s="45" t="s">
        <v>5229</v>
      </c>
      <c r="G279" s="45">
        <v>101271</v>
      </c>
      <c r="H279" s="14"/>
      <c r="I279" s="45">
        <v>552</v>
      </c>
      <c r="J279" s="46">
        <v>23204.399999999998</v>
      </c>
      <c r="K279" s="52">
        <f t="shared" ref="K279" si="167">+A279-D279</f>
        <v>0</v>
      </c>
      <c r="L279" s="31">
        <f t="shared" ref="L279" si="168">((+B279/A279)-(E279/D279))/(B279/A279)</f>
        <v>4.0099281245152392E-2</v>
      </c>
    </row>
    <row r="280" spans="1:12" ht="15" thickBot="1" x14ac:dyDescent="0.35">
      <c r="A280" s="178">
        <v>572</v>
      </c>
      <c r="B280" s="217">
        <v>22369.4</v>
      </c>
      <c r="C280" s="45" t="s">
        <v>5155</v>
      </c>
      <c r="D280" s="45">
        <f>+I280</f>
        <v>571</v>
      </c>
      <c r="E280" s="45">
        <f>+J280</f>
        <v>21581.200000000001</v>
      </c>
      <c r="F280" s="45" t="s">
        <v>5156</v>
      </c>
      <c r="G280" s="45">
        <v>101321</v>
      </c>
      <c r="H280" s="14"/>
      <c r="I280" s="45">
        <v>571</v>
      </c>
      <c r="J280" s="45">
        <v>21581.200000000001</v>
      </c>
      <c r="K280" s="52">
        <f t="shared" ref="K280" si="169">+A280-D280</f>
        <v>1</v>
      </c>
      <c r="L280" s="31">
        <f t="shared" ref="L280" si="170">((+B280/A280)-(E280/D280))/(B280/A280)</f>
        <v>3.3546029549968513E-2</v>
      </c>
    </row>
    <row r="281" spans="1:12" ht="15" thickBot="1" x14ac:dyDescent="0.35">
      <c r="A281" s="178">
        <v>257</v>
      </c>
      <c r="B281" s="217">
        <v>11026</v>
      </c>
      <c r="C281" s="45" t="s">
        <v>5380</v>
      </c>
      <c r="D281" s="45">
        <f t="shared" ref="D281:E281" si="171">+I281</f>
        <v>257</v>
      </c>
      <c r="E281" s="45">
        <f t="shared" si="171"/>
        <v>10583.5</v>
      </c>
      <c r="F281" s="45" t="s">
        <v>5381</v>
      </c>
      <c r="G281" s="45">
        <v>101501</v>
      </c>
      <c r="H281" s="14"/>
      <c r="I281" s="45">
        <v>257</v>
      </c>
      <c r="J281" s="46">
        <v>10583.5</v>
      </c>
      <c r="K281" s="52">
        <f t="shared" ref="K281" si="172">+A281-D281</f>
        <v>0</v>
      </c>
      <c r="L281" s="31">
        <f t="shared" ref="L281" si="173">((+B281/A281)-(E281/D281))/(B281/A281)</f>
        <v>4.0132414293488024E-2</v>
      </c>
    </row>
    <row r="282" spans="1:12" ht="15" thickBot="1" x14ac:dyDescent="0.35">
      <c r="A282" s="178">
        <v>1929</v>
      </c>
      <c r="B282" s="217">
        <v>88729.25</v>
      </c>
      <c r="C282" s="45" t="s">
        <v>5226</v>
      </c>
      <c r="D282" s="45">
        <v>1928</v>
      </c>
      <c r="E282" s="45">
        <v>83103.100000000006</v>
      </c>
      <c r="F282" s="45" t="s">
        <v>5227</v>
      </c>
      <c r="G282" s="45">
        <v>101631</v>
      </c>
      <c r="H282" s="14"/>
      <c r="I282" s="45">
        <v>571</v>
      </c>
      <c r="J282" s="45">
        <v>21581.200000000001</v>
      </c>
      <c r="K282" s="52">
        <f t="shared" ref="K282" si="174">+A282-D282</f>
        <v>1</v>
      </c>
      <c r="L282" s="31">
        <f t="shared" ref="L282" si="175">((+B282/A282)-(E282/D282))/(B282/A282)</f>
        <v>6.2922280221743593E-2</v>
      </c>
    </row>
    <row r="283" spans="1:12" ht="15" thickBot="1" x14ac:dyDescent="0.35">
      <c r="A283" s="175">
        <v>129</v>
      </c>
      <c r="B283" s="216">
        <v>6101</v>
      </c>
      <c r="C283" s="8" t="s">
        <v>5312</v>
      </c>
      <c r="D283" s="8">
        <f t="shared" ref="D283:E286" si="176">+I283</f>
        <v>129</v>
      </c>
      <c r="E283" s="8">
        <f t="shared" si="176"/>
        <v>5864.1</v>
      </c>
      <c r="F283" s="8" t="s">
        <v>5313</v>
      </c>
      <c r="G283" s="8">
        <v>101671</v>
      </c>
      <c r="H283" s="80"/>
      <c r="I283" s="8">
        <v>129</v>
      </c>
      <c r="J283" s="9">
        <v>5864.1</v>
      </c>
      <c r="K283" s="52">
        <f t="shared" ref="K283:K286" si="177">+A283-D283</f>
        <v>0</v>
      </c>
      <c r="L283" s="31">
        <f t="shared" ref="L283:L286" si="178">((+B283/A283)-(E283/D283))/(B283/A283)</f>
        <v>3.8829700049172217E-2</v>
      </c>
    </row>
    <row r="284" spans="1:12" ht="15" thickBot="1" x14ac:dyDescent="0.35">
      <c r="A284" s="385">
        <v>226</v>
      </c>
      <c r="B284" s="391">
        <v>8520.7999999999993</v>
      </c>
      <c r="C284" s="387" t="s">
        <v>5314</v>
      </c>
      <c r="D284" s="8">
        <f t="shared" si="176"/>
        <v>226</v>
      </c>
      <c r="E284" s="8">
        <f t="shared" si="176"/>
        <v>8232.5</v>
      </c>
      <c r="F284" s="387" t="s">
        <v>5315</v>
      </c>
      <c r="G284" s="387">
        <v>101731</v>
      </c>
      <c r="H284" s="82"/>
      <c r="I284" s="387">
        <v>226</v>
      </c>
      <c r="J284" s="11">
        <v>8232.5</v>
      </c>
      <c r="K284" s="52">
        <f t="shared" si="177"/>
        <v>0</v>
      </c>
      <c r="L284" s="31">
        <f t="shared" si="178"/>
        <v>3.3834851187681876E-2</v>
      </c>
    </row>
    <row r="285" spans="1:12" ht="15" thickBot="1" x14ac:dyDescent="0.35">
      <c r="A285" s="399">
        <v>263</v>
      </c>
      <c r="B285" s="216">
        <v>13378.5</v>
      </c>
      <c r="C285" s="8" t="s">
        <v>5316</v>
      </c>
      <c r="D285" s="8">
        <f t="shared" si="176"/>
        <v>263</v>
      </c>
      <c r="E285" s="8">
        <f t="shared" si="176"/>
        <v>12874.900000000001</v>
      </c>
      <c r="F285" s="45" t="s">
        <v>5317</v>
      </c>
      <c r="G285" s="45">
        <v>101741</v>
      </c>
      <c r="H285" s="14"/>
      <c r="I285" s="45">
        <v>263</v>
      </c>
      <c r="J285" s="46">
        <v>12874.900000000001</v>
      </c>
      <c r="K285" s="52">
        <f t="shared" si="177"/>
        <v>0</v>
      </c>
      <c r="L285" s="31">
        <f t="shared" si="178"/>
        <v>3.764248607840924E-2</v>
      </c>
    </row>
    <row r="286" spans="1:12" ht="15" thickBot="1" x14ac:dyDescent="0.35">
      <c r="A286" s="386">
        <v>72</v>
      </c>
      <c r="B286" s="390">
        <v>3014.4</v>
      </c>
      <c r="C286" s="382" t="s">
        <v>5318</v>
      </c>
      <c r="D286" s="382">
        <f t="shared" si="176"/>
        <v>72</v>
      </c>
      <c r="E286" s="382">
        <f t="shared" si="176"/>
        <v>2928.2</v>
      </c>
      <c r="F286" s="392" t="s">
        <v>5319</v>
      </c>
      <c r="G286" s="392">
        <v>101821</v>
      </c>
      <c r="H286" s="40"/>
      <c r="I286" s="392">
        <v>72</v>
      </c>
      <c r="J286" s="41">
        <v>2928.2</v>
      </c>
      <c r="K286" s="52">
        <f t="shared" si="177"/>
        <v>0</v>
      </c>
      <c r="L286" s="31">
        <f t="shared" si="178"/>
        <v>2.8596072186836533E-2</v>
      </c>
    </row>
    <row r="287" spans="1:12" x14ac:dyDescent="0.3">
      <c r="A287" s="871">
        <v>585</v>
      </c>
      <c r="B287" s="967">
        <v>24977.75</v>
      </c>
      <c r="C287" s="873" t="s">
        <v>5320</v>
      </c>
      <c r="D287" s="873">
        <f>+I287+I288</f>
        <v>585</v>
      </c>
      <c r="E287" s="873">
        <f>+J287+J288</f>
        <v>24378</v>
      </c>
      <c r="F287" s="392" t="s">
        <v>5321</v>
      </c>
      <c r="G287" s="392">
        <v>101891</v>
      </c>
      <c r="H287" s="40"/>
      <c r="I287" s="392">
        <v>128</v>
      </c>
      <c r="J287" s="41">
        <v>5121</v>
      </c>
      <c r="K287" s="877">
        <f t="shared" ref="K287" si="179">+A287-D287</f>
        <v>0</v>
      </c>
      <c r="L287" s="879">
        <f t="shared" ref="L287" si="180">((+B287/A287)-(E287/D287))/(B287/A287)</f>
        <v>2.4011370119406166E-2</v>
      </c>
    </row>
    <row r="288" spans="1:12" ht="15" thickBot="1" x14ac:dyDescent="0.35">
      <c r="A288" s="872"/>
      <c r="B288" s="968"/>
      <c r="C288" s="874"/>
      <c r="D288" s="874"/>
      <c r="E288" s="874"/>
      <c r="F288" s="393" t="s">
        <v>5321</v>
      </c>
      <c r="G288" s="393">
        <v>101891</v>
      </c>
      <c r="H288" s="394"/>
      <c r="I288" s="393">
        <v>457</v>
      </c>
      <c r="J288" s="44">
        <v>19257</v>
      </c>
      <c r="K288" s="878"/>
      <c r="L288" s="880"/>
    </row>
    <row r="289" spans="1:12" ht="15" thickBot="1" x14ac:dyDescent="0.35">
      <c r="A289" s="178">
        <v>100</v>
      </c>
      <c r="B289" s="217">
        <v>5046.8999999999996</v>
      </c>
      <c r="C289" s="45" t="s">
        <v>5322</v>
      </c>
      <c r="D289" s="382">
        <v>100</v>
      </c>
      <c r="E289" s="382">
        <v>4803.3</v>
      </c>
      <c r="F289" s="45" t="s">
        <v>5323</v>
      </c>
      <c r="G289" s="45">
        <v>101901</v>
      </c>
      <c r="H289" s="14"/>
      <c r="I289" s="45">
        <v>39</v>
      </c>
      <c r="J289" s="46">
        <v>1860.1</v>
      </c>
      <c r="K289" s="52">
        <f t="shared" ref="K289:K291" si="181">+A289-D289</f>
        <v>0</v>
      </c>
      <c r="L289" s="31">
        <f t="shared" ref="L289:L291" si="182">((+B289/A289)-(E289/D289))/(B289/A289)</f>
        <v>4.8267253165309262E-2</v>
      </c>
    </row>
    <row r="290" spans="1:12" ht="15" thickBot="1" x14ac:dyDescent="0.35">
      <c r="A290" s="389">
        <v>200</v>
      </c>
      <c r="B290" s="335">
        <v>8702</v>
      </c>
      <c r="C290" s="393" t="s">
        <v>5324</v>
      </c>
      <c r="D290" s="8">
        <f t="shared" ref="D290:E290" si="183">+I290</f>
        <v>200</v>
      </c>
      <c r="E290" s="8">
        <f t="shared" si="183"/>
        <v>8479.9</v>
      </c>
      <c r="F290" s="45" t="s">
        <v>5325</v>
      </c>
      <c r="G290" s="393">
        <v>101991</v>
      </c>
      <c r="H290" s="394"/>
      <c r="I290" s="393">
        <v>200</v>
      </c>
      <c r="J290" s="44">
        <v>8479.9</v>
      </c>
      <c r="K290" s="52">
        <f t="shared" si="181"/>
        <v>0</v>
      </c>
      <c r="L290" s="31">
        <f t="shared" si="182"/>
        <v>2.5522868306136565E-2</v>
      </c>
    </row>
    <row r="291" spans="1:12" ht="15" thickBot="1" x14ac:dyDescent="0.35">
      <c r="A291" s="178">
        <v>843</v>
      </c>
      <c r="B291" s="217">
        <v>36926.75</v>
      </c>
      <c r="C291" s="45" t="s">
        <v>5326</v>
      </c>
      <c r="D291" s="8">
        <v>843</v>
      </c>
      <c r="E291" s="8">
        <v>36708.300000000003</v>
      </c>
      <c r="F291" s="45" t="s">
        <v>5327</v>
      </c>
      <c r="G291" s="45">
        <v>102081</v>
      </c>
      <c r="H291" s="14"/>
      <c r="I291" s="45">
        <v>200</v>
      </c>
      <c r="J291" s="46">
        <v>8767.9</v>
      </c>
      <c r="K291" s="52">
        <f t="shared" si="181"/>
        <v>0</v>
      </c>
      <c r="L291" s="31">
        <f t="shared" si="182"/>
        <v>5.9157656712274676E-3</v>
      </c>
    </row>
    <row r="292" spans="1:12" ht="15" thickBot="1" x14ac:dyDescent="0.35">
      <c r="A292" s="178">
        <v>456</v>
      </c>
      <c r="B292" s="217">
        <v>20533</v>
      </c>
      <c r="C292" s="45" t="s">
        <v>5456</v>
      </c>
      <c r="D292" s="8">
        <f t="shared" ref="D292:E292" si="184">+I292</f>
        <v>456</v>
      </c>
      <c r="E292" s="8">
        <f t="shared" si="184"/>
        <v>20045.2</v>
      </c>
      <c r="F292" s="45" t="s">
        <v>5457</v>
      </c>
      <c r="G292" s="45">
        <v>102171</v>
      </c>
      <c r="H292" s="14"/>
      <c r="I292" s="45">
        <v>456</v>
      </c>
      <c r="J292" s="46">
        <v>20045.2</v>
      </c>
      <c r="K292" s="52">
        <f t="shared" ref="K292:K293" si="185">+A292-D292</f>
        <v>0</v>
      </c>
      <c r="L292" s="31">
        <f t="shared" ref="L292:L293" si="186">((+B292/A292)-(E292/D292))/(B292/A292)</f>
        <v>2.375687917011627E-2</v>
      </c>
    </row>
    <row r="293" spans="1:12" x14ac:dyDescent="0.3">
      <c r="A293" s="871">
        <v>290</v>
      </c>
      <c r="B293" s="967">
        <v>11758.5</v>
      </c>
      <c r="C293" s="873" t="s">
        <v>5458</v>
      </c>
      <c r="D293" s="873">
        <f>+I293+I294</f>
        <v>290</v>
      </c>
      <c r="E293" s="873">
        <f>+J293+J294</f>
        <v>11463.5</v>
      </c>
      <c r="F293" s="413" t="s">
        <v>5459</v>
      </c>
      <c r="G293" s="413">
        <v>102291</v>
      </c>
      <c r="H293" s="40"/>
      <c r="I293" s="413">
        <v>144</v>
      </c>
      <c r="J293" s="41">
        <v>5682.6</v>
      </c>
      <c r="K293" s="877">
        <f t="shared" si="185"/>
        <v>0</v>
      </c>
      <c r="L293" s="879">
        <f t="shared" si="186"/>
        <v>2.5088234043458019E-2</v>
      </c>
    </row>
    <row r="294" spans="1:12" ht="15" thickBot="1" x14ac:dyDescent="0.35">
      <c r="A294" s="875"/>
      <c r="B294" s="986"/>
      <c r="C294" s="881"/>
      <c r="D294" s="881"/>
      <c r="E294" s="881"/>
      <c r="F294" s="50" t="s">
        <v>5459</v>
      </c>
      <c r="G294" s="50">
        <v>102291</v>
      </c>
      <c r="I294" s="50">
        <v>146</v>
      </c>
      <c r="J294" s="51">
        <v>5780.9</v>
      </c>
      <c r="K294" s="878"/>
      <c r="L294" s="880"/>
    </row>
    <row r="295" spans="1:12" x14ac:dyDescent="0.3">
      <c r="A295" s="410">
        <v>520</v>
      </c>
      <c r="B295" s="334">
        <v>23560.25</v>
      </c>
      <c r="C295" s="413" t="s">
        <v>5460</v>
      </c>
      <c r="D295" s="404">
        <f>+I295+I296</f>
        <v>520</v>
      </c>
      <c r="E295" s="404">
        <f>+J295+J296</f>
        <v>23275.9</v>
      </c>
      <c r="F295" s="413" t="s">
        <v>5461</v>
      </c>
      <c r="G295" s="413">
        <v>102301</v>
      </c>
      <c r="H295" s="40"/>
      <c r="I295" s="413">
        <v>443</v>
      </c>
      <c r="J295" s="41">
        <v>19862</v>
      </c>
      <c r="K295" s="877">
        <f t="shared" ref="K295" si="187">+A295-D295</f>
        <v>0</v>
      </c>
      <c r="L295" s="879">
        <f t="shared" ref="L295" si="188">((+B295/A295)-(E295/D295))/(B295/A295)</f>
        <v>1.2069056992179578E-2</v>
      </c>
    </row>
    <row r="296" spans="1:12" ht="15" thickBot="1" x14ac:dyDescent="0.35">
      <c r="A296" s="411"/>
      <c r="B296" s="335"/>
      <c r="C296" s="414"/>
      <c r="D296" s="407"/>
      <c r="E296" s="407"/>
      <c r="F296" s="414" t="s">
        <v>5461</v>
      </c>
      <c r="G296" s="414">
        <v>102301</v>
      </c>
      <c r="H296" s="415"/>
      <c r="I296" s="414">
        <v>77</v>
      </c>
      <c r="J296" s="44">
        <v>3413.9</v>
      </c>
      <c r="K296" s="878"/>
      <c r="L296" s="880"/>
    </row>
    <row r="297" spans="1:12" ht="15" thickBot="1" x14ac:dyDescent="0.35">
      <c r="A297" s="178">
        <v>620</v>
      </c>
      <c r="B297" s="217">
        <v>25140.6</v>
      </c>
      <c r="C297" s="45" t="s">
        <v>5462</v>
      </c>
      <c r="D297" s="8">
        <f>+I297</f>
        <v>620</v>
      </c>
      <c r="E297" s="8">
        <f>+J297</f>
        <v>24252.799999999999</v>
      </c>
      <c r="F297" s="45" t="s">
        <v>5463</v>
      </c>
      <c r="G297" s="46">
        <v>102371</v>
      </c>
      <c r="I297" s="50">
        <v>620</v>
      </c>
      <c r="J297" s="50">
        <v>24252.799999999999</v>
      </c>
      <c r="K297" s="52">
        <f t="shared" ref="K297" si="189">+A297-D297</f>
        <v>0</v>
      </c>
      <c r="L297" s="31">
        <f t="shared" ref="L297" si="190">((+B297/A297)-(E297/D297))/(B297/A297)</f>
        <v>3.5313397452725818E-2</v>
      </c>
    </row>
    <row r="298" spans="1:12" ht="15" thickBot="1" x14ac:dyDescent="0.35">
      <c r="A298" s="432">
        <v>396</v>
      </c>
      <c r="B298" s="335">
        <v>16019.3</v>
      </c>
      <c r="C298" s="436" t="s">
        <v>5564</v>
      </c>
      <c r="D298" s="8">
        <f t="shared" ref="D298:E299" si="191">+I298</f>
        <v>393</v>
      </c>
      <c r="E298" s="8">
        <f t="shared" si="191"/>
        <v>15679.699999999999</v>
      </c>
      <c r="F298" s="436" t="s">
        <v>5565</v>
      </c>
      <c r="G298" s="436">
        <v>102451</v>
      </c>
      <c r="H298" s="437"/>
      <c r="I298" s="436">
        <v>393</v>
      </c>
      <c r="J298" s="44">
        <v>15679.699999999999</v>
      </c>
      <c r="K298" s="52">
        <f t="shared" ref="K298:K301" si="192">+A298-D298</f>
        <v>3</v>
      </c>
      <c r="L298" s="31">
        <f t="shared" ref="L298:L301" si="193">((+B298/A298)-(E298/D298))/(B298/A298)</f>
        <v>1.3727668099591549E-2</v>
      </c>
    </row>
    <row r="299" spans="1:12" ht="15" thickBot="1" x14ac:dyDescent="0.35">
      <c r="A299" s="178">
        <v>232</v>
      </c>
      <c r="B299" s="217">
        <v>9788.75</v>
      </c>
      <c r="C299" s="45" t="s">
        <v>5566</v>
      </c>
      <c r="D299" s="8">
        <f t="shared" si="191"/>
        <v>232</v>
      </c>
      <c r="E299" s="8">
        <f t="shared" si="191"/>
        <v>9297.7999999999993</v>
      </c>
      <c r="F299" s="45" t="s">
        <v>5567</v>
      </c>
      <c r="G299" s="45">
        <v>102601</v>
      </c>
      <c r="H299" s="14"/>
      <c r="I299" s="45">
        <v>232</v>
      </c>
      <c r="J299" s="46">
        <v>9297.7999999999993</v>
      </c>
      <c r="K299" s="52">
        <f t="shared" si="192"/>
        <v>0</v>
      </c>
      <c r="L299" s="31">
        <f t="shared" si="193"/>
        <v>5.0154514110586253E-2</v>
      </c>
    </row>
    <row r="300" spans="1:12" ht="15" thickBot="1" x14ac:dyDescent="0.35">
      <c r="A300" s="178">
        <v>303</v>
      </c>
      <c r="B300" s="217">
        <v>13831.5</v>
      </c>
      <c r="C300" s="45" t="s">
        <v>5568</v>
      </c>
      <c r="D300" s="8">
        <v>303</v>
      </c>
      <c r="E300" s="8">
        <v>13386.5</v>
      </c>
      <c r="F300" s="45" t="s">
        <v>5569</v>
      </c>
      <c r="G300" s="45">
        <v>102621</v>
      </c>
      <c r="H300" s="14"/>
      <c r="I300" s="45">
        <v>168</v>
      </c>
      <c r="J300" s="46">
        <v>7356.3</v>
      </c>
      <c r="K300" s="52">
        <f t="shared" si="192"/>
        <v>0</v>
      </c>
      <c r="L300" s="31">
        <f t="shared" si="193"/>
        <v>3.2172938582221762E-2</v>
      </c>
    </row>
    <row r="301" spans="1:12" x14ac:dyDescent="0.3">
      <c r="A301" s="871">
        <v>1544</v>
      </c>
      <c r="B301" s="967">
        <v>67409.75</v>
      </c>
      <c r="C301" s="873" t="s">
        <v>5642</v>
      </c>
      <c r="D301" s="873">
        <f>+I301+I304+I302+I303</f>
        <v>1544</v>
      </c>
      <c r="E301" s="873">
        <f>+J301+J304+J302+J303</f>
        <v>66067</v>
      </c>
      <c r="F301" s="448" t="s">
        <v>5643</v>
      </c>
      <c r="G301" s="448">
        <v>102751</v>
      </c>
      <c r="H301" s="40"/>
      <c r="I301" s="448">
        <v>165</v>
      </c>
      <c r="J301" s="41">
        <v>7065.9</v>
      </c>
      <c r="K301" s="882">
        <f t="shared" si="192"/>
        <v>0</v>
      </c>
      <c r="L301" s="879">
        <f t="shared" si="193"/>
        <v>1.9919225334613981E-2</v>
      </c>
    </row>
    <row r="302" spans="1:12" x14ac:dyDescent="0.3">
      <c r="A302" s="875"/>
      <c r="B302" s="986"/>
      <c r="C302" s="881"/>
      <c r="D302" s="881"/>
      <c r="E302" s="881"/>
      <c r="F302" s="50" t="s">
        <v>5643</v>
      </c>
      <c r="G302" s="50">
        <v>102752</v>
      </c>
      <c r="I302" s="50">
        <v>415</v>
      </c>
      <c r="J302" s="51">
        <v>17465.300000000003</v>
      </c>
      <c r="K302" s="883"/>
      <c r="L302" s="885"/>
    </row>
    <row r="303" spans="1:12" x14ac:dyDescent="0.3">
      <c r="A303" s="875"/>
      <c r="B303" s="986"/>
      <c r="C303" s="881"/>
      <c r="D303" s="881"/>
      <c r="E303" s="881"/>
      <c r="F303" s="50" t="s">
        <v>5643</v>
      </c>
      <c r="G303" s="50">
        <v>102752</v>
      </c>
      <c r="I303" s="50">
        <v>299</v>
      </c>
      <c r="J303" s="51">
        <v>12823</v>
      </c>
      <c r="K303" s="883"/>
      <c r="L303" s="885"/>
    </row>
    <row r="304" spans="1:12" ht="15" thickBot="1" x14ac:dyDescent="0.35">
      <c r="A304" s="872"/>
      <c r="B304" s="968"/>
      <c r="C304" s="874"/>
      <c r="D304" s="874"/>
      <c r="E304" s="874"/>
      <c r="F304" s="449" t="s">
        <v>5643</v>
      </c>
      <c r="G304" s="449">
        <v>102751</v>
      </c>
      <c r="H304" s="450"/>
      <c r="I304" s="449">
        <v>665</v>
      </c>
      <c r="J304" s="44">
        <v>28712.799999999999</v>
      </c>
      <c r="K304" s="884"/>
      <c r="L304" s="880"/>
    </row>
    <row r="305" spans="1:12" x14ac:dyDescent="0.3">
      <c r="A305" s="875">
        <v>882</v>
      </c>
      <c r="B305" s="986">
        <v>39447.75</v>
      </c>
      <c r="C305" s="881" t="s">
        <v>5620</v>
      </c>
      <c r="D305" s="881">
        <f>+I306+I305</f>
        <v>882</v>
      </c>
      <c r="E305" s="881">
        <f>+J306+J305</f>
        <v>38323.300000000003</v>
      </c>
      <c r="F305" s="50" t="s">
        <v>5644</v>
      </c>
      <c r="G305" s="50">
        <v>102791</v>
      </c>
      <c r="I305" s="50">
        <v>400</v>
      </c>
      <c r="J305" s="51">
        <v>17630.5</v>
      </c>
      <c r="K305" s="877">
        <f t="shared" ref="K305" si="194">+A305-D305</f>
        <v>0</v>
      </c>
      <c r="L305" s="879">
        <f t="shared" ref="L305" si="195">((+B305/A305)-(E305/D305))/(B305/A305)</f>
        <v>2.8504794316532567E-2</v>
      </c>
    </row>
    <row r="306" spans="1:12" ht="15" thickBot="1" x14ac:dyDescent="0.35">
      <c r="A306" s="872"/>
      <c r="B306" s="968"/>
      <c r="C306" s="874"/>
      <c r="D306" s="874"/>
      <c r="E306" s="874"/>
      <c r="F306" s="449" t="s">
        <v>5644</v>
      </c>
      <c r="G306" s="449">
        <v>102791</v>
      </c>
      <c r="H306" s="450"/>
      <c r="I306" s="449">
        <v>482</v>
      </c>
      <c r="J306" s="44">
        <v>20692.8</v>
      </c>
      <c r="K306" s="878"/>
      <c r="L306" s="880"/>
    </row>
    <row r="307" spans="1:12" ht="15" thickBot="1" x14ac:dyDescent="0.35">
      <c r="A307" s="178">
        <v>200</v>
      </c>
      <c r="B307" s="217">
        <v>9378.75</v>
      </c>
      <c r="C307" s="45" t="s">
        <v>5645</v>
      </c>
      <c r="D307" s="45">
        <f>+I307</f>
        <v>200</v>
      </c>
      <c r="E307" s="45">
        <f>+J307</f>
        <v>8988.5</v>
      </c>
      <c r="F307" s="45" t="s">
        <v>5646</v>
      </c>
      <c r="G307" s="45">
        <v>102821</v>
      </c>
      <c r="H307" s="14"/>
      <c r="I307" s="45">
        <v>200</v>
      </c>
      <c r="J307" s="46">
        <v>8988.5</v>
      </c>
      <c r="K307" s="52">
        <f t="shared" ref="K307:K308" si="196">+A307-D307</f>
        <v>0</v>
      </c>
      <c r="L307" s="31">
        <f t="shared" ref="L307:L308" si="197">((+B307/A307)-(E307/D307))/(B307/A307)</f>
        <v>4.161002265760351E-2</v>
      </c>
    </row>
    <row r="308" spans="1:12" x14ac:dyDescent="0.3">
      <c r="A308" s="871">
        <v>1146</v>
      </c>
      <c r="B308" s="967">
        <v>52615.25</v>
      </c>
      <c r="C308" s="873" t="s">
        <v>5778</v>
      </c>
      <c r="D308" s="873">
        <f>+I308+I309</f>
        <v>1146</v>
      </c>
      <c r="E308" s="873">
        <f>+J308+J309</f>
        <v>50883</v>
      </c>
      <c r="F308" s="465" t="s">
        <v>5779</v>
      </c>
      <c r="G308" s="465">
        <v>102831</v>
      </c>
      <c r="H308" s="40"/>
      <c r="I308" s="465">
        <v>700</v>
      </c>
      <c r="J308" s="41">
        <v>30937.5</v>
      </c>
      <c r="K308" s="877">
        <f t="shared" si="196"/>
        <v>0</v>
      </c>
      <c r="L308" s="879">
        <f t="shared" si="197"/>
        <v>3.2922964349689485E-2</v>
      </c>
    </row>
    <row r="309" spans="1:12" ht="15" thickBot="1" x14ac:dyDescent="0.35">
      <c r="A309" s="875"/>
      <c r="B309" s="986"/>
      <c r="C309" s="881"/>
      <c r="D309" s="881"/>
      <c r="E309" s="881"/>
      <c r="F309" s="50" t="s">
        <v>5779</v>
      </c>
      <c r="G309" s="50">
        <v>102831</v>
      </c>
      <c r="I309" s="50">
        <v>446</v>
      </c>
      <c r="J309" s="51">
        <v>19945.5</v>
      </c>
      <c r="K309" s="878"/>
      <c r="L309" s="880"/>
    </row>
    <row r="310" spans="1:12" x14ac:dyDescent="0.3">
      <c r="A310" s="871">
        <v>734</v>
      </c>
      <c r="B310" s="967">
        <v>34075.75</v>
      </c>
      <c r="C310" s="873" t="s">
        <v>5780</v>
      </c>
      <c r="D310" s="873">
        <f>+I310+I311</f>
        <v>733</v>
      </c>
      <c r="E310" s="873">
        <f>+J310+J311</f>
        <v>33308.800000000003</v>
      </c>
      <c r="F310" s="465" t="s">
        <v>5781</v>
      </c>
      <c r="G310" s="465">
        <v>103031</v>
      </c>
      <c r="H310" s="40"/>
      <c r="I310" s="465">
        <v>600</v>
      </c>
      <c r="J310" s="41">
        <v>27532.300000000003</v>
      </c>
      <c r="K310" s="877">
        <f t="shared" ref="K310" si="198">+A310-D310</f>
        <v>1</v>
      </c>
      <c r="L310" s="879">
        <f t="shared" ref="L310" si="199">((+B310/A310)-(E310/D310))/(B310/A310)</f>
        <v>2.1173657329675799E-2</v>
      </c>
    </row>
    <row r="311" spans="1:12" ht="15" thickBot="1" x14ac:dyDescent="0.35">
      <c r="A311" s="872"/>
      <c r="B311" s="968"/>
      <c r="C311" s="874"/>
      <c r="D311" s="874"/>
      <c r="E311" s="874"/>
      <c r="F311" s="466" t="s">
        <v>5781</v>
      </c>
      <c r="G311" s="466">
        <v>103031</v>
      </c>
      <c r="H311" s="467"/>
      <c r="I311" s="466">
        <v>133</v>
      </c>
      <c r="J311" s="44">
        <v>5776.5</v>
      </c>
      <c r="K311" s="878"/>
      <c r="L311" s="880"/>
    </row>
    <row r="312" spans="1:12" ht="15" thickBot="1" x14ac:dyDescent="0.35">
      <c r="A312" s="178">
        <v>1000</v>
      </c>
      <c r="B312" s="217">
        <v>46795.75</v>
      </c>
      <c r="C312" s="45" t="s">
        <v>5849</v>
      </c>
      <c r="D312" s="45">
        <f>783+200</f>
        <v>983</v>
      </c>
      <c r="E312" s="45">
        <f>36130.7+9042.6</f>
        <v>45173.299999999996</v>
      </c>
      <c r="F312" s="45" t="s">
        <v>5850</v>
      </c>
      <c r="G312" s="45">
        <v>103231</v>
      </c>
      <c r="H312" s="14"/>
      <c r="I312" s="45">
        <v>200</v>
      </c>
      <c r="J312" s="46">
        <v>8988.5</v>
      </c>
      <c r="K312" s="52">
        <f t="shared" ref="K312" si="200">+A312-D312</f>
        <v>17</v>
      </c>
      <c r="L312" s="31">
        <f t="shared" ref="L312" si="201">((+B312/A312)-(E312/D312))/(B312/A312)</f>
        <v>1.7976483798401714E-2</v>
      </c>
    </row>
    <row r="313" spans="1:12" ht="15" thickBot="1" x14ac:dyDescent="0.35">
      <c r="A313" s="484">
        <v>238</v>
      </c>
      <c r="B313" s="334">
        <v>9226.2999999999993</v>
      </c>
      <c r="C313" s="480" t="s">
        <v>5907</v>
      </c>
      <c r="D313" s="480">
        <f t="shared" ref="D313:E313" si="202">+I313</f>
        <v>238</v>
      </c>
      <c r="E313" s="480">
        <f t="shared" si="202"/>
        <v>8929.5</v>
      </c>
      <c r="F313" s="487" t="s">
        <v>5908</v>
      </c>
      <c r="G313" s="487">
        <v>103321</v>
      </c>
      <c r="H313" s="40"/>
      <c r="I313" s="487">
        <v>238</v>
      </c>
      <c r="J313" s="41">
        <v>8929.5</v>
      </c>
      <c r="K313" s="52">
        <f t="shared" ref="K313:K314" si="203">+A313-D313</f>
        <v>0</v>
      </c>
      <c r="L313" s="31">
        <f t="shared" ref="L313:L314" si="204">((+B313/A313)-(E313/D313))/(B313/A313)</f>
        <v>3.2168908446506071E-2</v>
      </c>
    </row>
    <row r="314" spans="1:12" x14ac:dyDescent="0.3">
      <c r="A314" s="871">
        <v>880</v>
      </c>
      <c r="B314" s="967">
        <v>35765.300000000003</v>
      </c>
      <c r="C314" s="873" t="s">
        <v>5909</v>
      </c>
      <c r="D314" s="873">
        <f>+I314+I315</f>
        <v>880</v>
      </c>
      <c r="E314" s="873">
        <f>+J314+J315</f>
        <v>34606.100000000006</v>
      </c>
      <c r="F314" s="480" t="s">
        <v>5910</v>
      </c>
      <c r="G314" s="480">
        <v>103401</v>
      </c>
      <c r="H314" s="38"/>
      <c r="I314" s="480">
        <v>660</v>
      </c>
      <c r="J314" s="13">
        <v>25980.9</v>
      </c>
      <c r="K314" s="877">
        <f t="shared" si="203"/>
        <v>0</v>
      </c>
      <c r="L314" s="879">
        <f t="shared" si="204"/>
        <v>3.2411303693803663E-2</v>
      </c>
    </row>
    <row r="315" spans="1:12" ht="15" thickBot="1" x14ac:dyDescent="0.35">
      <c r="A315" s="872"/>
      <c r="B315" s="968"/>
      <c r="C315" s="874"/>
      <c r="D315" s="874"/>
      <c r="E315" s="874"/>
      <c r="F315" s="488" t="s">
        <v>5910</v>
      </c>
      <c r="G315" s="488">
        <v>103401</v>
      </c>
      <c r="H315" s="491"/>
      <c r="I315" s="488">
        <v>220</v>
      </c>
      <c r="J315" s="44">
        <v>8625.2000000000007</v>
      </c>
      <c r="K315" s="878"/>
      <c r="L315" s="880"/>
    </row>
    <row r="316" spans="1:12" ht="15" thickBot="1" x14ac:dyDescent="0.35">
      <c r="A316" s="175">
        <v>220</v>
      </c>
      <c r="B316" s="216">
        <v>8325.1</v>
      </c>
      <c r="C316" s="8" t="s">
        <v>6032</v>
      </c>
      <c r="D316" s="8">
        <f t="shared" ref="D316:E317" si="205">+I316</f>
        <v>220</v>
      </c>
      <c r="E316" s="8">
        <f t="shared" si="205"/>
        <v>7818.9</v>
      </c>
      <c r="F316" s="45" t="s">
        <v>6033</v>
      </c>
      <c r="G316" s="45">
        <v>103551</v>
      </c>
      <c r="H316" s="14"/>
      <c r="I316" s="45">
        <v>220</v>
      </c>
      <c r="J316" s="46">
        <v>7818.9</v>
      </c>
      <c r="K316" s="52">
        <f t="shared" ref="K316:K318" si="206">+A316-D316</f>
        <v>0</v>
      </c>
      <c r="L316" s="31">
        <f t="shared" ref="L316:L318" si="207">((+B316/A316)-(E316/D316))/(B316/A316)</f>
        <v>6.0804074425532512E-2</v>
      </c>
    </row>
    <row r="317" spans="1:12" ht="15" thickBot="1" x14ac:dyDescent="0.35">
      <c r="A317" s="175">
        <v>220</v>
      </c>
      <c r="B317" s="216">
        <v>8558.2000000000007</v>
      </c>
      <c r="C317" s="8" t="s">
        <v>6034</v>
      </c>
      <c r="D317" s="8">
        <f t="shared" si="205"/>
        <v>221</v>
      </c>
      <c r="E317" s="8">
        <f t="shared" si="205"/>
        <v>8123.6</v>
      </c>
      <c r="F317" s="45" t="s">
        <v>6035</v>
      </c>
      <c r="G317" s="45">
        <v>103621</v>
      </c>
      <c r="H317" s="14"/>
      <c r="I317" s="45">
        <v>221</v>
      </c>
      <c r="J317" s="46">
        <v>8123.6</v>
      </c>
      <c r="K317" s="52">
        <f t="shared" si="206"/>
        <v>-1</v>
      </c>
      <c r="L317" s="31">
        <f t="shared" si="207"/>
        <v>5.5076811834348816E-2</v>
      </c>
    </row>
    <row r="318" spans="1:12" x14ac:dyDescent="0.3">
      <c r="A318" s="871">
        <v>305</v>
      </c>
      <c r="B318" s="967">
        <v>13485</v>
      </c>
      <c r="C318" s="873" t="s">
        <v>6135</v>
      </c>
      <c r="D318" s="873">
        <f>+I318+I319</f>
        <v>305</v>
      </c>
      <c r="E318" s="873">
        <f>+J318+J319</f>
        <v>13150</v>
      </c>
      <c r="F318" s="516" t="s">
        <v>6136</v>
      </c>
      <c r="G318" s="516">
        <v>103771</v>
      </c>
      <c r="H318" s="40"/>
      <c r="I318" s="516">
        <v>200</v>
      </c>
      <c r="J318" s="41">
        <v>8541.7000000000007</v>
      </c>
      <c r="K318" s="877">
        <f t="shared" si="206"/>
        <v>0</v>
      </c>
      <c r="L318" s="879">
        <f t="shared" si="207"/>
        <v>2.4842417500927007E-2</v>
      </c>
    </row>
    <row r="319" spans="1:12" ht="15" thickBot="1" x14ac:dyDescent="0.35">
      <c r="A319" s="872"/>
      <c r="B319" s="968"/>
      <c r="C319" s="874"/>
      <c r="D319" s="874"/>
      <c r="E319" s="874"/>
      <c r="F319" s="517" t="s">
        <v>6136</v>
      </c>
      <c r="G319" s="517">
        <v>103771</v>
      </c>
      <c r="H319" s="519"/>
      <c r="I319" s="517">
        <v>105</v>
      </c>
      <c r="J319" s="44">
        <v>4608.3</v>
      </c>
      <c r="K319" s="878"/>
      <c r="L319" s="880"/>
    </row>
    <row r="320" spans="1:12" x14ac:dyDescent="0.3">
      <c r="A320" s="871">
        <v>774</v>
      </c>
      <c r="B320" s="967">
        <v>37927.25</v>
      </c>
      <c r="C320" s="873" t="s">
        <v>6137</v>
      </c>
      <c r="D320" s="873">
        <f>+I320+I321</f>
        <v>773</v>
      </c>
      <c r="E320" s="873">
        <f>+J320+J321</f>
        <v>36493.500000000007</v>
      </c>
      <c r="F320" s="516" t="s">
        <v>6138</v>
      </c>
      <c r="G320" s="516">
        <v>103781</v>
      </c>
      <c r="H320" s="40"/>
      <c r="I320" s="516">
        <v>220</v>
      </c>
      <c r="J320" s="41">
        <v>10358.6</v>
      </c>
      <c r="K320" s="877">
        <f t="shared" ref="K320" si="208">+A320-D320</f>
        <v>1</v>
      </c>
      <c r="L320" s="879">
        <f t="shared" ref="L320" si="209">((+B320/A320)-(E320/D320))/(B320/A320)</f>
        <v>3.6557878044878325E-2</v>
      </c>
    </row>
    <row r="321" spans="1:12" ht="15" thickBot="1" x14ac:dyDescent="0.35">
      <c r="A321" s="872"/>
      <c r="B321" s="968"/>
      <c r="C321" s="874"/>
      <c r="D321" s="874"/>
      <c r="E321" s="874"/>
      <c r="F321" s="517" t="s">
        <v>6138</v>
      </c>
      <c r="G321" s="517">
        <v>103781</v>
      </c>
      <c r="H321" s="519"/>
      <c r="I321" s="517">
        <v>553</v>
      </c>
      <c r="J321" s="44">
        <v>26134.900000000005</v>
      </c>
      <c r="K321" s="878"/>
      <c r="L321" s="880"/>
    </row>
    <row r="322" spans="1:12" ht="15" thickBot="1" x14ac:dyDescent="0.35">
      <c r="A322" s="239">
        <v>440</v>
      </c>
      <c r="B322" s="238">
        <v>20484.25</v>
      </c>
      <c r="C322" s="238" t="s">
        <v>6123</v>
      </c>
      <c r="D322" s="8">
        <f>+I322+221</f>
        <v>441</v>
      </c>
      <c r="E322" s="8">
        <f>+J322+10067.2</f>
        <v>19752.600000000002</v>
      </c>
      <c r="F322" s="8" t="s">
        <v>6139</v>
      </c>
      <c r="G322" s="8">
        <v>104051</v>
      </c>
      <c r="H322" s="80"/>
      <c r="I322" s="8">
        <v>220</v>
      </c>
      <c r="J322" s="9">
        <v>9685.4000000000015</v>
      </c>
      <c r="K322" s="52">
        <f t="shared" ref="K322:K323" si="210">+A322-D322</f>
        <v>-1</v>
      </c>
      <c r="L322" s="31">
        <f t="shared" ref="L322:L323" si="211">((+B322/A322)-(E322/D322))/(B322/A322)</f>
        <v>3.7904266750819413E-2</v>
      </c>
    </row>
    <row r="323" spans="1:12" x14ac:dyDescent="0.3">
      <c r="A323" s="987">
        <v>607</v>
      </c>
      <c r="B323" s="988">
        <v>28376</v>
      </c>
      <c r="C323" s="990" t="s">
        <v>6287</v>
      </c>
      <c r="D323" s="881">
        <f>+I323+I324</f>
        <v>607</v>
      </c>
      <c r="E323" s="881">
        <f>+J323+J324</f>
        <v>27427.5</v>
      </c>
      <c r="F323" s="527" t="s">
        <v>6288</v>
      </c>
      <c r="G323" s="527">
        <v>104231</v>
      </c>
      <c r="I323" s="557">
        <v>200</v>
      </c>
      <c r="J323" s="558">
        <v>9145.9</v>
      </c>
      <c r="K323" s="877">
        <f t="shared" si="210"/>
        <v>0</v>
      </c>
      <c r="L323" s="879">
        <f t="shared" si="211"/>
        <v>3.3426134761770421E-2</v>
      </c>
    </row>
    <row r="324" spans="1:12" ht="15" thickBot="1" x14ac:dyDescent="0.35">
      <c r="A324" s="961"/>
      <c r="B324" s="989"/>
      <c r="C324" s="963"/>
      <c r="D324" s="874"/>
      <c r="E324" s="874"/>
      <c r="F324" s="525" t="s">
        <v>6288</v>
      </c>
      <c r="G324" s="525">
        <v>104231</v>
      </c>
      <c r="H324" s="539"/>
      <c r="I324" s="561">
        <v>407</v>
      </c>
      <c r="J324" s="562">
        <v>18281.599999999999</v>
      </c>
      <c r="K324" s="878"/>
      <c r="L324" s="880"/>
    </row>
    <row r="325" spans="1:12" x14ac:dyDescent="0.3">
      <c r="A325" s="871">
        <v>802</v>
      </c>
      <c r="B325" s="967">
        <v>39658.25</v>
      </c>
      <c r="C325" s="873" t="s">
        <v>6348</v>
      </c>
      <c r="D325" s="873">
        <f>+I325+I326</f>
        <v>802</v>
      </c>
      <c r="E325" s="873">
        <f>+J325+J326</f>
        <v>37875.300000000003</v>
      </c>
      <c r="F325" s="592" t="s">
        <v>6349</v>
      </c>
      <c r="G325" s="592">
        <v>104481</v>
      </c>
      <c r="H325" s="40"/>
      <c r="I325" s="559">
        <v>618</v>
      </c>
      <c r="J325" s="559">
        <v>29558</v>
      </c>
      <c r="K325" s="877">
        <f t="shared" ref="K325" si="212">+A325-D325</f>
        <v>0</v>
      </c>
      <c r="L325" s="879">
        <f t="shared" ref="L325" si="213">((+B325/A325)-(E325/D325))/(B325/A325)</f>
        <v>4.4957858705313422E-2</v>
      </c>
    </row>
    <row r="326" spans="1:12" ht="15" thickBot="1" x14ac:dyDescent="0.35">
      <c r="A326" s="872"/>
      <c r="B326" s="968"/>
      <c r="C326" s="874"/>
      <c r="D326" s="874"/>
      <c r="E326" s="874"/>
      <c r="F326" s="594" t="s">
        <v>6349</v>
      </c>
      <c r="G326" s="594">
        <v>104481</v>
      </c>
      <c r="H326" s="600"/>
      <c r="I326" s="561">
        <v>184</v>
      </c>
      <c r="J326" s="561">
        <v>8317.2999999999993</v>
      </c>
      <c r="K326" s="878"/>
      <c r="L326" s="880"/>
    </row>
    <row r="327" spans="1:12" ht="15" thickBot="1" x14ac:dyDescent="0.35">
      <c r="A327" s="175">
        <v>405</v>
      </c>
      <c r="B327" s="216">
        <v>19047.25</v>
      </c>
      <c r="C327" s="8" t="s">
        <v>6350</v>
      </c>
      <c r="D327" s="8">
        <f>+I327</f>
        <v>405</v>
      </c>
      <c r="E327" s="8">
        <f>+J327</f>
        <v>18509.199999999997</v>
      </c>
      <c r="F327" s="8" t="s">
        <v>6351</v>
      </c>
      <c r="G327" s="8">
        <v>104631</v>
      </c>
      <c r="H327" s="14"/>
      <c r="I327" s="323">
        <v>405</v>
      </c>
      <c r="J327" s="323">
        <v>18509.199999999997</v>
      </c>
      <c r="K327" s="52">
        <f t="shared" ref="K327:K329" si="214">+A327-D327</f>
        <v>0</v>
      </c>
      <c r="L327" s="31">
        <f t="shared" ref="L327:L329" si="215">((+B327/A327)-(E327/D327))/(B327/A327)</f>
        <v>2.8248172308338683E-2</v>
      </c>
    </row>
    <row r="328" spans="1:12" ht="15" thickBot="1" x14ac:dyDescent="0.35">
      <c r="A328" s="178">
        <v>220</v>
      </c>
      <c r="B328" s="217">
        <v>11098.25</v>
      </c>
      <c r="C328" s="45" t="s">
        <v>6352</v>
      </c>
      <c r="D328" s="8">
        <f t="shared" ref="D328:E328" si="216">+I328</f>
        <v>220</v>
      </c>
      <c r="E328" s="8">
        <f t="shared" si="216"/>
        <v>10642.099999999999</v>
      </c>
      <c r="F328" s="45" t="s">
        <v>6353</v>
      </c>
      <c r="G328" s="45">
        <v>104711</v>
      </c>
      <c r="H328" s="14"/>
      <c r="I328" s="45">
        <v>220</v>
      </c>
      <c r="J328" s="45">
        <v>10642.099999999999</v>
      </c>
      <c r="K328" s="52">
        <f t="shared" si="214"/>
        <v>0</v>
      </c>
      <c r="L328" s="31">
        <f t="shared" si="215"/>
        <v>4.1101074493726575E-2</v>
      </c>
    </row>
    <row r="329" spans="1:12" ht="15" thickBot="1" x14ac:dyDescent="0.35">
      <c r="A329" s="178">
        <v>652</v>
      </c>
      <c r="B329" s="217">
        <v>31131.25</v>
      </c>
      <c r="C329" s="45" t="s">
        <v>6354</v>
      </c>
      <c r="D329" s="8">
        <v>652</v>
      </c>
      <c r="E329" s="8">
        <v>30252.9</v>
      </c>
      <c r="F329" s="45" t="s">
        <v>6355</v>
      </c>
      <c r="G329" s="45">
        <v>104791</v>
      </c>
      <c r="H329" s="14"/>
      <c r="I329" s="45">
        <v>200</v>
      </c>
      <c r="J329" s="45">
        <v>9330.6</v>
      </c>
      <c r="K329" s="52">
        <f t="shared" si="214"/>
        <v>0</v>
      </c>
      <c r="L329" s="31">
        <f t="shared" si="215"/>
        <v>2.8214414776149409E-2</v>
      </c>
    </row>
    <row r="330" spans="1:12" ht="15" thickBot="1" x14ac:dyDescent="0.35">
      <c r="A330" s="50">
        <v>220</v>
      </c>
      <c r="B330" s="636">
        <v>11251</v>
      </c>
      <c r="C330" s="50" t="s">
        <v>6513</v>
      </c>
      <c r="D330" s="50">
        <f t="shared" ref="D330:E332" si="217">+I330</f>
        <v>220</v>
      </c>
      <c r="E330" s="50">
        <f t="shared" si="217"/>
        <v>10098.1</v>
      </c>
      <c r="F330" s="50" t="s">
        <v>6514</v>
      </c>
      <c r="G330" s="50">
        <v>104861</v>
      </c>
      <c r="I330" s="50">
        <v>220</v>
      </c>
      <c r="J330" s="50">
        <v>10098.1</v>
      </c>
      <c r="K330" s="52">
        <f t="shared" ref="K330:K333" si="218">+A330-D330</f>
        <v>0</v>
      </c>
      <c r="L330" s="31">
        <f t="shared" ref="L330:L333" si="219">((+B330/A330)-(E330/D330))/(B330/A330)</f>
        <v>0.10247089147631325</v>
      </c>
    </row>
    <row r="331" spans="1:12" ht="15" thickBot="1" x14ac:dyDescent="0.35">
      <c r="A331" s="178">
        <v>210</v>
      </c>
      <c r="B331" s="217">
        <v>9220</v>
      </c>
      <c r="C331" s="45" t="s">
        <v>6515</v>
      </c>
      <c r="D331" s="8">
        <f t="shared" si="217"/>
        <v>210</v>
      </c>
      <c r="E331" s="8">
        <f t="shared" si="217"/>
        <v>9697.6</v>
      </c>
      <c r="F331" s="8" t="s">
        <v>6516</v>
      </c>
      <c r="G331" s="8">
        <v>104981</v>
      </c>
      <c r="H331" s="80"/>
      <c r="I331" s="8">
        <v>210</v>
      </c>
      <c r="J331" s="8">
        <v>9697.6</v>
      </c>
      <c r="K331" s="52">
        <f t="shared" si="218"/>
        <v>0</v>
      </c>
      <c r="L331" s="31">
        <f t="shared" si="219"/>
        <v>-5.1800433839479465E-2</v>
      </c>
    </row>
    <row r="332" spans="1:12" ht="15" thickBot="1" x14ac:dyDescent="0.35">
      <c r="A332" s="607">
        <v>209</v>
      </c>
      <c r="B332" s="335">
        <v>9212.75</v>
      </c>
      <c r="C332" s="615" t="s">
        <v>6517</v>
      </c>
      <c r="D332" s="8">
        <f t="shared" si="217"/>
        <v>209</v>
      </c>
      <c r="E332" s="8">
        <f t="shared" si="217"/>
        <v>8941.7999999999993</v>
      </c>
      <c r="F332" s="603" t="s">
        <v>6491</v>
      </c>
      <c r="G332" s="603">
        <v>105011</v>
      </c>
      <c r="H332" s="82"/>
      <c r="I332" s="603">
        <v>209</v>
      </c>
      <c r="J332" s="603">
        <v>8941.7999999999993</v>
      </c>
      <c r="K332" s="52">
        <f t="shared" si="218"/>
        <v>0</v>
      </c>
      <c r="L332" s="31">
        <f t="shared" si="219"/>
        <v>2.9410328077935564E-2</v>
      </c>
    </row>
    <row r="333" spans="1:12" x14ac:dyDescent="0.3">
      <c r="A333" s="901">
        <v>844</v>
      </c>
      <c r="B333" s="967">
        <v>40257.25</v>
      </c>
      <c r="C333" s="873" t="s">
        <v>6600</v>
      </c>
      <c r="D333" s="873">
        <f>+I333+I334</f>
        <v>844</v>
      </c>
      <c r="E333" s="873">
        <f>+J333+J334</f>
        <v>39151.199999999997</v>
      </c>
      <c r="F333" s="652" t="s">
        <v>6601</v>
      </c>
      <c r="G333" s="652">
        <v>105111</v>
      </c>
      <c r="H333" s="40"/>
      <c r="I333" s="652">
        <v>604</v>
      </c>
      <c r="J333" s="652">
        <v>27782.600000000002</v>
      </c>
      <c r="K333" s="877">
        <f t="shared" si="218"/>
        <v>0</v>
      </c>
      <c r="L333" s="879">
        <f t="shared" si="219"/>
        <v>2.7474554272833004E-2</v>
      </c>
    </row>
    <row r="334" spans="1:12" ht="15" thickBot="1" x14ac:dyDescent="0.35">
      <c r="A334" s="887"/>
      <c r="B334" s="986"/>
      <c r="C334" s="881"/>
      <c r="D334" s="881"/>
      <c r="E334" s="881"/>
      <c r="F334" s="50" t="s">
        <v>6601</v>
      </c>
      <c r="G334" s="50">
        <v>105111</v>
      </c>
      <c r="I334" s="50">
        <v>240</v>
      </c>
      <c r="J334" s="50">
        <v>11368.599999999999</v>
      </c>
      <c r="K334" s="878"/>
      <c r="L334" s="880"/>
    </row>
    <row r="335" spans="1:12" x14ac:dyDescent="0.3">
      <c r="A335" s="901">
        <v>658</v>
      </c>
      <c r="B335" s="967">
        <v>32038.75</v>
      </c>
      <c r="C335" s="873" t="s">
        <v>6602</v>
      </c>
      <c r="D335" s="873">
        <v>658</v>
      </c>
      <c r="E335" s="873">
        <v>31523.599999999999</v>
      </c>
      <c r="F335" s="652" t="s">
        <v>6603</v>
      </c>
      <c r="G335" s="652">
        <v>105181</v>
      </c>
      <c r="H335" s="40"/>
      <c r="I335" s="652">
        <v>174</v>
      </c>
      <c r="J335" s="652">
        <v>8292.6</v>
      </c>
      <c r="K335" s="877">
        <f t="shared" ref="K335" si="220">+A335-D335</f>
        <v>0</v>
      </c>
      <c r="L335" s="879">
        <f t="shared" ref="L335" si="221">((+B335/A335)-(E335/D335))/(B335/A335)</f>
        <v>1.6078966876048675E-2</v>
      </c>
    </row>
    <row r="336" spans="1:12" ht="15" thickBot="1" x14ac:dyDescent="0.35">
      <c r="A336" s="888"/>
      <c r="B336" s="968"/>
      <c r="C336" s="874"/>
      <c r="D336" s="874"/>
      <c r="E336" s="874"/>
      <c r="F336" s="653" t="s">
        <v>6603</v>
      </c>
      <c r="G336" s="653">
        <v>105181</v>
      </c>
      <c r="H336" s="654"/>
      <c r="I336" s="653">
        <v>178</v>
      </c>
      <c r="J336" s="653">
        <v>8289</v>
      </c>
      <c r="K336" s="878"/>
      <c r="L336" s="880"/>
    </row>
    <row r="337" spans="1:12" ht="15" thickBot="1" x14ac:dyDescent="0.35">
      <c r="A337" s="197">
        <v>330</v>
      </c>
      <c r="B337" s="216">
        <v>17083.25</v>
      </c>
      <c r="C337" s="8" t="s">
        <v>6704</v>
      </c>
      <c r="D337" s="8">
        <f>+I337</f>
        <v>331</v>
      </c>
      <c r="E337" s="8">
        <f>+J337</f>
        <v>16552.099999999999</v>
      </c>
      <c r="F337" s="45" t="s">
        <v>6705</v>
      </c>
      <c r="G337" s="45">
        <v>105291</v>
      </c>
      <c r="H337" s="14"/>
      <c r="I337" s="45">
        <v>331</v>
      </c>
      <c r="J337" s="45">
        <v>16552.099999999999</v>
      </c>
      <c r="K337" s="52">
        <f t="shared" ref="K337:K338" si="222">+A337-D337</f>
        <v>-1</v>
      </c>
      <c r="L337" s="31">
        <f t="shared" ref="L337:L338" si="223">((+B337/A337)-(E337/D337))/(B337/A337)</f>
        <v>3.4019073912216702E-2</v>
      </c>
    </row>
    <row r="338" spans="1:12" x14ac:dyDescent="0.3">
      <c r="A338" s="901">
        <v>824</v>
      </c>
      <c r="B338" s="967">
        <v>40802.75</v>
      </c>
      <c r="C338" s="873" t="s">
        <v>6706</v>
      </c>
      <c r="D338" s="873">
        <v>824</v>
      </c>
      <c r="E338" s="873">
        <v>39857.300000000003</v>
      </c>
      <c r="F338" s="671" t="s">
        <v>6707</v>
      </c>
      <c r="G338" s="671">
        <v>105401</v>
      </c>
      <c r="H338" s="40"/>
      <c r="I338" s="682">
        <v>206</v>
      </c>
      <c r="J338" s="671">
        <v>8901.5</v>
      </c>
      <c r="K338" s="877">
        <f t="shared" si="222"/>
        <v>0</v>
      </c>
      <c r="L338" s="879">
        <f t="shared" si="223"/>
        <v>2.3171232331153955E-2</v>
      </c>
    </row>
    <row r="339" spans="1:12" x14ac:dyDescent="0.3">
      <c r="A339" s="887"/>
      <c r="B339" s="986"/>
      <c r="C339" s="881"/>
      <c r="D339" s="881"/>
      <c r="E339" s="881"/>
      <c r="F339" s="50" t="s">
        <v>6707</v>
      </c>
      <c r="G339" s="50">
        <v>105401</v>
      </c>
      <c r="I339" s="680">
        <v>204</v>
      </c>
      <c r="J339" s="50">
        <v>10271</v>
      </c>
      <c r="K339" s="886"/>
      <c r="L339" s="885"/>
    </row>
    <row r="340" spans="1:12" x14ac:dyDescent="0.3">
      <c r="A340" s="887"/>
      <c r="B340" s="986"/>
      <c r="C340" s="881"/>
      <c r="D340" s="881"/>
      <c r="E340" s="881"/>
      <c r="F340" s="50" t="s">
        <v>6707</v>
      </c>
      <c r="G340" s="50">
        <v>105401</v>
      </c>
      <c r="I340" s="680">
        <v>69</v>
      </c>
      <c r="J340" s="50">
        <v>3454.8</v>
      </c>
      <c r="K340" s="886"/>
      <c r="L340" s="885"/>
    </row>
    <row r="341" spans="1:12" ht="15" thickBot="1" x14ac:dyDescent="0.35">
      <c r="A341" s="888"/>
      <c r="B341" s="968"/>
      <c r="C341" s="874"/>
      <c r="D341" s="874"/>
      <c r="E341" s="874"/>
      <c r="F341" s="672" t="s">
        <v>6707</v>
      </c>
      <c r="G341" s="672">
        <v>105401</v>
      </c>
      <c r="H341" s="674"/>
      <c r="I341" s="681">
        <v>70</v>
      </c>
      <c r="J341" s="672">
        <v>3514.4</v>
      </c>
      <c r="K341" s="878"/>
      <c r="L341" s="880"/>
    </row>
    <row r="342" spans="1:12" x14ac:dyDescent="0.3">
      <c r="A342" s="901">
        <v>570</v>
      </c>
      <c r="B342" s="967">
        <v>25865.25</v>
      </c>
      <c r="C342" s="873" t="s">
        <v>6856</v>
      </c>
      <c r="D342" s="873">
        <f>+I342+I343</f>
        <v>569</v>
      </c>
      <c r="E342" s="873">
        <f>+J342+J343</f>
        <v>25392.5</v>
      </c>
      <c r="F342" s="697" t="s">
        <v>6857</v>
      </c>
      <c r="G342" s="697">
        <v>105811</v>
      </c>
      <c r="H342" s="40"/>
      <c r="I342" s="552">
        <v>87</v>
      </c>
      <c r="J342" s="697">
        <v>3868.5</v>
      </c>
      <c r="K342" s="877">
        <f t="shared" ref="K342" si="224">+A342-D342</f>
        <v>1</v>
      </c>
      <c r="L342" s="879">
        <f t="shared" ref="L342" si="225">((+B342/A342)-(E342/D342))/(B342/A342)</f>
        <v>1.6552071300853836E-2</v>
      </c>
    </row>
    <row r="343" spans="1:12" ht="15" thickBot="1" x14ac:dyDescent="0.35">
      <c r="A343" s="888"/>
      <c r="B343" s="968"/>
      <c r="C343" s="874"/>
      <c r="D343" s="874"/>
      <c r="E343" s="874"/>
      <c r="F343" s="698" t="s">
        <v>6857</v>
      </c>
      <c r="G343" s="698">
        <v>105811</v>
      </c>
      <c r="H343" s="700"/>
      <c r="I343" s="553">
        <v>482</v>
      </c>
      <c r="J343" s="698">
        <v>21524</v>
      </c>
      <c r="K343" s="878"/>
      <c r="L343" s="880"/>
    </row>
    <row r="344" spans="1:12" ht="15" thickBot="1" x14ac:dyDescent="0.35">
      <c r="A344" s="694">
        <v>183</v>
      </c>
      <c r="B344" s="699">
        <v>9579.25</v>
      </c>
      <c r="C344" s="693" t="s">
        <v>6858</v>
      </c>
      <c r="D344" s="693">
        <f t="shared" ref="D344:E344" si="226">+I344</f>
        <v>183</v>
      </c>
      <c r="E344" s="693">
        <f t="shared" si="226"/>
        <v>9306.6</v>
      </c>
      <c r="F344" s="698" t="s">
        <v>6859</v>
      </c>
      <c r="G344" s="698">
        <v>105931</v>
      </c>
      <c r="H344" s="700"/>
      <c r="I344" s="553">
        <v>183</v>
      </c>
      <c r="J344" s="698">
        <v>9306.6</v>
      </c>
      <c r="K344" s="52">
        <f t="shared" ref="K344" si="227">+A344-D344</f>
        <v>0</v>
      </c>
      <c r="L344" s="31">
        <f t="shared" ref="L344" si="228">((+B344/A344)-(E344/D344))/(B344/A344)</f>
        <v>2.8462562309157766E-2</v>
      </c>
    </row>
    <row r="345" spans="1:12" ht="15" thickBot="1" x14ac:dyDescent="0.35">
      <c r="A345" s="724">
        <v>342</v>
      </c>
      <c r="B345" s="725">
        <v>17638.5</v>
      </c>
      <c r="C345" s="723" t="s">
        <v>6923</v>
      </c>
      <c r="D345" s="723">
        <v>344</v>
      </c>
      <c r="E345" s="723">
        <v>17189.099999999999</v>
      </c>
      <c r="F345" s="726" t="s">
        <v>6924</v>
      </c>
      <c r="G345" s="726">
        <v>106011</v>
      </c>
      <c r="H345" s="727"/>
      <c r="I345" s="553">
        <v>183</v>
      </c>
      <c r="J345" s="726">
        <v>9306.6</v>
      </c>
      <c r="K345" s="52">
        <f t="shared" ref="K345" si="229">+A345-D345</f>
        <v>-2</v>
      </c>
      <c r="L345" s="31">
        <f t="shared" ref="L345" si="230">((+B345/A345)-(E345/D345))/(B345/A345)</f>
        <v>3.1144180508942278E-2</v>
      </c>
    </row>
    <row r="346" spans="1:12" ht="15" thickBot="1" x14ac:dyDescent="0.35">
      <c r="A346" s="197">
        <v>374</v>
      </c>
      <c r="B346" s="216">
        <v>16972</v>
      </c>
      <c r="C346" s="8" t="s">
        <v>7019</v>
      </c>
      <c r="D346" s="8">
        <f t="shared" ref="D346:E347" si="231">+I346</f>
        <v>374</v>
      </c>
      <c r="E346" s="8">
        <f t="shared" si="231"/>
        <v>16784.2</v>
      </c>
      <c r="F346" s="45" t="s">
        <v>7020</v>
      </c>
      <c r="G346" s="45">
        <v>106091</v>
      </c>
      <c r="H346" s="14"/>
      <c r="I346" s="760">
        <v>374</v>
      </c>
      <c r="J346" s="45">
        <v>16784.2</v>
      </c>
      <c r="K346" s="52">
        <f t="shared" ref="K346:K352" si="232">+A346-D346</f>
        <v>0</v>
      </c>
      <c r="L346" s="31">
        <f t="shared" ref="L346:L352" si="233">((+B346/A346)-(E346/D346))/(B346/A346)</f>
        <v>1.1065283997171769E-2</v>
      </c>
    </row>
    <row r="347" spans="1:12" ht="15" thickBot="1" x14ac:dyDescent="0.35">
      <c r="A347" s="197">
        <v>351</v>
      </c>
      <c r="B347" s="216">
        <v>16438.25</v>
      </c>
      <c r="C347" s="8" t="s">
        <v>7021</v>
      </c>
      <c r="D347" s="8">
        <f t="shared" si="231"/>
        <v>351</v>
      </c>
      <c r="E347" s="8">
        <f t="shared" si="231"/>
        <v>16264.199999999999</v>
      </c>
      <c r="F347" s="45" t="s">
        <v>7022</v>
      </c>
      <c r="G347" s="45">
        <v>106231</v>
      </c>
      <c r="H347" s="14"/>
      <c r="I347" s="760">
        <v>351</v>
      </c>
      <c r="J347" s="45">
        <v>16264.199999999999</v>
      </c>
      <c r="K347" s="52">
        <f t="shared" si="232"/>
        <v>0</v>
      </c>
      <c r="L347" s="31">
        <f t="shared" si="233"/>
        <v>1.0588110048210798E-2</v>
      </c>
    </row>
    <row r="348" spans="1:12" ht="15" thickBot="1" x14ac:dyDescent="0.35">
      <c r="A348" s="197">
        <v>366</v>
      </c>
      <c r="B348" s="216">
        <v>18349.5</v>
      </c>
      <c r="C348" s="45" t="s">
        <v>7023</v>
      </c>
      <c r="D348" s="8">
        <v>365</v>
      </c>
      <c r="E348" s="8">
        <v>18192.400000000001</v>
      </c>
      <c r="F348" s="45" t="s">
        <v>7024</v>
      </c>
      <c r="G348" s="45">
        <v>106301</v>
      </c>
      <c r="H348" s="14"/>
      <c r="I348" s="760">
        <v>240</v>
      </c>
      <c r="J348" s="45">
        <v>11764.5</v>
      </c>
      <c r="K348" s="52">
        <f t="shared" si="232"/>
        <v>1</v>
      </c>
      <c r="L348" s="31">
        <f t="shared" si="233"/>
        <v>5.8452714362340627E-3</v>
      </c>
    </row>
    <row r="349" spans="1:12" ht="15" thickBot="1" x14ac:dyDescent="0.35">
      <c r="A349" s="197">
        <v>55</v>
      </c>
      <c r="B349" s="216">
        <v>2497.35</v>
      </c>
      <c r="C349" s="45" t="s">
        <v>7172</v>
      </c>
      <c r="D349" s="8">
        <f>+I349</f>
        <v>55</v>
      </c>
      <c r="E349" s="8">
        <f>+J349</f>
        <v>2417.8000000000002</v>
      </c>
      <c r="F349" s="45" t="s">
        <v>7173</v>
      </c>
      <c r="G349" s="45">
        <v>106361</v>
      </c>
      <c r="H349" s="14"/>
      <c r="I349" s="773">
        <v>55</v>
      </c>
      <c r="J349" s="45">
        <v>2417.8000000000002</v>
      </c>
      <c r="K349" s="52">
        <f t="shared" ref="K349:K350" si="234">+A349-D349</f>
        <v>0</v>
      </c>
      <c r="L349" s="31">
        <f t="shared" ref="L349:L350" si="235">((+B349/A349)-(E349/D349))/(B349/A349)</f>
        <v>3.1853764990890321E-2</v>
      </c>
    </row>
    <row r="350" spans="1:12" ht="15" thickBot="1" x14ac:dyDescent="0.35">
      <c r="A350" s="801">
        <v>155</v>
      </c>
      <c r="B350" s="805">
        <v>7361.75</v>
      </c>
      <c r="C350" s="803" t="s">
        <v>7174</v>
      </c>
      <c r="D350" s="798">
        <f>+I350</f>
        <v>155</v>
      </c>
      <c r="E350" s="798">
        <f>+J350</f>
        <v>7297.4</v>
      </c>
      <c r="F350" s="803" t="s">
        <v>7175</v>
      </c>
      <c r="G350" s="803">
        <v>106371</v>
      </c>
      <c r="H350" s="40"/>
      <c r="I350" s="770">
        <v>155</v>
      </c>
      <c r="J350" s="803">
        <v>7297.4</v>
      </c>
      <c r="K350" s="52">
        <f t="shared" si="234"/>
        <v>0</v>
      </c>
      <c r="L350" s="31">
        <f t="shared" si="235"/>
        <v>8.7411281285020345E-3</v>
      </c>
    </row>
    <row r="351" spans="1:12" ht="15" thickBot="1" x14ac:dyDescent="0.35">
      <c r="A351" s="197">
        <v>539</v>
      </c>
      <c r="B351" s="216">
        <v>25114.5</v>
      </c>
      <c r="C351" s="45" t="s">
        <v>7025</v>
      </c>
      <c r="D351" s="8">
        <v>539</v>
      </c>
      <c r="E351" s="8">
        <v>24489.599999999999</v>
      </c>
      <c r="F351" s="45" t="s">
        <v>7026</v>
      </c>
      <c r="G351" s="45">
        <v>106531</v>
      </c>
      <c r="H351" s="14"/>
      <c r="I351" s="45">
        <v>75</v>
      </c>
      <c r="J351" s="45">
        <v>3258.6</v>
      </c>
      <c r="K351" s="52">
        <f t="shared" si="232"/>
        <v>0</v>
      </c>
      <c r="L351" s="31">
        <f t="shared" si="233"/>
        <v>2.4882040255629345E-2</v>
      </c>
    </row>
    <row r="352" spans="1:12" x14ac:dyDescent="0.3">
      <c r="A352" s="901">
        <v>700</v>
      </c>
      <c r="B352" s="967">
        <v>36031.5</v>
      </c>
      <c r="C352" s="873" t="s">
        <v>7027</v>
      </c>
      <c r="D352" s="873">
        <v>700</v>
      </c>
      <c r="E352" s="873">
        <v>35616.6</v>
      </c>
      <c r="F352" s="748" t="s">
        <v>7028</v>
      </c>
      <c r="G352" s="748">
        <v>106581</v>
      </c>
      <c r="H352" s="40"/>
      <c r="I352" s="748">
        <v>343</v>
      </c>
      <c r="J352" s="748">
        <v>16940.699999999997</v>
      </c>
      <c r="K352" s="877">
        <f t="shared" si="232"/>
        <v>0</v>
      </c>
      <c r="L352" s="879">
        <f t="shared" si="233"/>
        <v>1.1514924441114047E-2</v>
      </c>
    </row>
    <row r="353" spans="1:12" ht="15" thickBot="1" x14ac:dyDescent="0.35">
      <c r="A353" s="888"/>
      <c r="B353" s="968"/>
      <c r="C353" s="874"/>
      <c r="D353" s="874"/>
      <c r="E353" s="874"/>
      <c r="F353" s="749" t="s">
        <v>7028</v>
      </c>
      <c r="G353" s="749">
        <v>106581</v>
      </c>
      <c r="H353" s="754"/>
      <c r="I353" s="749">
        <v>179</v>
      </c>
      <c r="J353" s="749">
        <v>9411.7999999999993</v>
      </c>
      <c r="K353" s="878"/>
      <c r="L353" s="880"/>
    </row>
    <row r="354" spans="1:12" ht="15" thickBot="1" x14ac:dyDescent="0.35">
      <c r="A354" s="239">
        <v>145</v>
      </c>
      <c r="B354" s="849">
        <v>6637.75</v>
      </c>
      <c r="C354" s="555" t="s">
        <v>7184</v>
      </c>
      <c r="D354" s="555">
        <f>+I354</f>
        <v>145</v>
      </c>
      <c r="E354" s="555">
        <f>+J354</f>
        <v>6542.2000000000007</v>
      </c>
      <c r="F354" s="555" t="s">
        <v>7185</v>
      </c>
      <c r="G354" s="555">
        <v>106641</v>
      </c>
      <c r="H354" s="850"/>
      <c r="I354" s="851">
        <v>145</v>
      </c>
      <c r="J354" s="555">
        <v>6542.2000000000007</v>
      </c>
      <c r="K354" s="852">
        <f t="shared" ref="K354:K357" si="236">+A354-D354</f>
        <v>0</v>
      </c>
      <c r="L354" s="853">
        <f t="shared" ref="L354:L357" si="237">((+B354/A354)-(E354/D354))/(B354/A354)</f>
        <v>1.4394938043764627E-2</v>
      </c>
    </row>
    <row r="355" spans="1:12" ht="15" thickBot="1" x14ac:dyDescent="0.35">
      <c r="A355" s="802">
        <v>461</v>
      </c>
      <c r="B355" s="806">
        <v>21484.75</v>
      </c>
      <c r="C355" s="804" t="s">
        <v>7186</v>
      </c>
      <c r="D355" s="804">
        <f t="shared" ref="D355:E356" si="238">+I355</f>
        <v>461</v>
      </c>
      <c r="E355" s="804">
        <f t="shared" si="238"/>
        <v>21597.4</v>
      </c>
      <c r="F355" s="804" t="s">
        <v>7328</v>
      </c>
      <c r="G355" s="804">
        <v>106651</v>
      </c>
      <c r="H355" s="807"/>
      <c r="I355" s="772">
        <v>461</v>
      </c>
      <c r="J355" s="804">
        <v>21597.4</v>
      </c>
      <c r="K355" s="52">
        <f t="shared" si="236"/>
        <v>0</v>
      </c>
      <c r="L355" s="31">
        <f t="shared" si="237"/>
        <v>-5.2432539359313479E-3</v>
      </c>
    </row>
    <row r="356" spans="1:12" ht="15" thickBot="1" x14ac:dyDescent="0.35">
      <c r="A356" s="197">
        <v>206</v>
      </c>
      <c r="B356" s="216">
        <v>9236</v>
      </c>
      <c r="C356" s="45" t="s">
        <v>7187</v>
      </c>
      <c r="D356" s="45">
        <f t="shared" si="238"/>
        <v>203</v>
      </c>
      <c r="E356" s="45">
        <f t="shared" si="238"/>
        <v>9053.1</v>
      </c>
      <c r="F356" s="45" t="s">
        <v>7185</v>
      </c>
      <c r="G356" s="46">
        <v>106721</v>
      </c>
      <c r="I356" s="771">
        <v>203</v>
      </c>
      <c r="J356" s="50">
        <v>9053.1</v>
      </c>
      <c r="K356" s="52">
        <f t="shared" si="236"/>
        <v>3</v>
      </c>
      <c r="L356" s="31">
        <f t="shared" si="237"/>
        <v>5.3172742342556794E-3</v>
      </c>
    </row>
    <row r="357" spans="1:12" x14ac:dyDescent="0.3">
      <c r="A357" s="901">
        <v>762</v>
      </c>
      <c r="B357" s="967">
        <v>37502.75</v>
      </c>
      <c r="C357" s="873" t="s">
        <v>7233</v>
      </c>
      <c r="D357" s="873">
        <f>+I357+I358</f>
        <v>765</v>
      </c>
      <c r="E357" s="873">
        <f>+J357+J358</f>
        <v>37952.800000000003</v>
      </c>
      <c r="F357" s="815" t="s">
        <v>7234</v>
      </c>
      <c r="G357" s="815">
        <v>106761</v>
      </c>
      <c r="H357" s="40"/>
      <c r="I357" s="770">
        <v>189</v>
      </c>
      <c r="J357" s="815">
        <v>9160.9</v>
      </c>
      <c r="K357" s="877">
        <f t="shared" si="236"/>
        <v>-3</v>
      </c>
      <c r="L357" s="879">
        <f t="shared" si="237"/>
        <v>-8.0318240714635624E-3</v>
      </c>
    </row>
    <row r="358" spans="1:12" ht="15" thickBot="1" x14ac:dyDescent="0.35">
      <c r="A358" s="888"/>
      <c r="B358" s="968"/>
      <c r="C358" s="874"/>
      <c r="D358" s="874"/>
      <c r="E358" s="874"/>
      <c r="F358" s="816" t="s">
        <v>7234</v>
      </c>
      <c r="G358" s="816">
        <v>106761</v>
      </c>
      <c r="H358" s="817"/>
      <c r="I358" s="825">
        <v>576</v>
      </c>
      <c r="J358" s="816">
        <v>28791.9</v>
      </c>
      <c r="K358" s="878"/>
      <c r="L358" s="880"/>
    </row>
    <row r="359" spans="1:12" ht="15" thickBot="1" x14ac:dyDescent="0.35">
      <c r="A359" s="178">
        <v>639</v>
      </c>
      <c r="B359" s="217">
        <v>30202.75</v>
      </c>
      <c r="C359" s="45" t="s">
        <v>7235</v>
      </c>
      <c r="D359" s="45">
        <f>+I359</f>
        <v>639</v>
      </c>
      <c r="E359" s="45">
        <f>+J359</f>
        <v>29550</v>
      </c>
      <c r="F359" s="45" t="s">
        <v>7236</v>
      </c>
      <c r="G359" s="45">
        <v>106821</v>
      </c>
      <c r="H359" s="14"/>
      <c r="I359" s="826">
        <v>639</v>
      </c>
      <c r="J359" s="45">
        <v>29550</v>
      </c>
      <c r="K359" s="52">
        <f t="shared" ref="K359" si="239">+A359-D359</f>
        <v>0</v>
      </c>
      <c r="L359" s="31">
        <f t="shared" ref="L359" si="240">((+B359/A359)-(E359/D359))/(B359/A359)</f>
        <v>2.1612270405840524E-2</v>
      </c>
    </row>
    <row r="360" spans="1:12" ht="15" thickBot="1" x14ac:dyDescent="0.35">
      <c r="A360" s="178">
        <v>113</v>
      </c>
      <c r="B360" s="217">
        <v>4798.5</v>
      </c>
      <c r="C360" s="45" t="s">
        <v>7353</v>
      </c>
      <c r="D360" s="45">
        <f>+I360</f>
        <v>113</v>
      </c>
      <c r="E360" s="45">
        <f>+J360</f>
        <v>4820.8</v>
      </c>
      <c r="F360" s="45" t="s">
        <v>7354</v>
      </c>
      <c r="G360" s="45">
        <v>106971</v>
      </c>
      <c r="H360" s="14"/>
      <c r="I360" s="45">
        <v>113</v>
      </c>
      <c r="J360" s="45">
        <v>4820.8</v>
      </c>
      <c r="K360" s="52">
        <f t="shared" ref="K360:K361" si="241">+A360-D360</f>
        <v>0</v>
      </c>
      <c r="L360" s="31">
        <f t="shared" ref="L360:L361" si="242">((+B360/A360)-(E360/D360))/(B360/A360)</f>
        <v>-4.6472856100865378E-3</v>
      </c>
    </row>
    <row r="361" spans="1:12" x14ac:dyDescent="0.3">
      <c r="A361" s="871">
        <v>862</v>
      </c>
      <c r="B361" s="967">
        <v>35170.300000000003</v>
      </c>
      <c r="C361" s="873" t="s">
        <v>7355</v>
      </c>
      <c r="D361" s="873">
        <f>+I361+I362</f>
        <v>867</v>
      </c>
      <c r="E361" s="873">
        <f>+J361+J362</f>
        <v>35133.600000000006</v>
      </c>
      <c r="F361" s="838" t="s">
        <v>7356</v>
      </c>
      <c r="G361" s="838">
        <v>107041</v>
      </c>
      <c r="H361" s="40"/>
      <c r="I361" s="838">
        <v>487</v>
      </c>
      <c r="J361" s="838">
        <v>19476.200000000004</v>
      </c>
      <c r="K361" s="877">
        <f t="shared" si="241"/>
        <v>-5</v>
      </c>
      <c r="L361" s="879">
        <f t="shared" si="242"/>
        <v>6.8044889283007705E-3</v>
      </c>
    </row>
    <row r="362" spans="1:12" ht="15" thickBot="1" x14ac:dyDescent="0.35">
      <c r="A362" s="872"/>
      <c r="B362" s="968"/>
      <c r="C362" s="874"/>
      <c r="D362" s="874"/>
      <c r="E362" s="874"/>
      <c r="F362" s="839" t="s">
        <v>7356</v>
      </c>
      <c r="G362" s="839">
        <v>107041</v>
      </c>
      <c r="H362" s="842"/>
      <c r="I362" s="839">
        <v>380</v>
      </c>
      <c r="J362" s="839">
        <v>15657.400000000001</v>
      </c>
      <c r="K362" s="878"/>
      <c r="L362" s="880"/>
    </row>
    <row r="363" spans="1:12" x14ac:dyDescent="0.3">
      <c r="A363" s="364"/>
      <c r="B363" s="367"/>
      <c r="C363" s="364"/>
      <c r="D363" s="364"/>
      <c r="E363" s="364"/>
      <c r="F363" s="364"/>
      <c r="G363" s="364"/>
      <c r="H363" s="363"/>
      <c r="I363" s="364"/>
      <c r="J363" s="364"/>
      <c r="K363" s="368"/>
      <c r="L363" s="369"/>
    </row>
    <row r="364" spans="1:12" x14ac:dyDescent="0.3">
      <c r="A364" s="124">
        <f>SUM(A5:A363)</f>
        <v>136176</v>
      </c>
      <c r="B364" s="124">
        <f>SUM(B5:B363)</f>
        <v>6080117.7199999988</v>
      </c>
      <c r="C364" s="124"/>
      <c r="D364" s="124">
        <f>SUM(D5:D363)</f>
        <v>136035</v>
      </c>
      <c r="E364" s="124">
        <f>SUM(E5:E363)</f>
        <v>5836662.299999997</v>
      </c>
    </row>
  </sheetData>
  <mergeCells count="608">
    <mergeCell ref="A318:A319"/>
    <mergeCell ref="B318:B319"/>
    <mergeCell ref="C318:C319"/>
    <mergeCell ref="D318:D319"/>
    <mergeCell ref="E318:E319"/>
    <mergeCell ref="A320:A321"/>
    <mergeCell ref="B320:B321"/>
    <mergeCell ref="C320:C321"/>
    <mergeCell ref="D320:D321"/>
    <mergeCell ref="E320:E321"/>
    <mergeCell ref="K295:K296"/>
    <mergeCell ref="L295:L296"/>
    <mergeCell ref="K305:K306"/>
    <mergeCell ref="K318:K319"/>
    <mergeCell ref="L318:L319"/>
    <mergeCell ref="K320:K321"/>
    <mergeCell ref="L320:L321"/>
    <mergeCell ref="K308:K309"/>
    <mergeCell ref="L308:L309"/>
    <mergeCell ref="K310:K311"/>
    <mergeCell ref="L310:L311"/>
    <mergeCell ref="L305:L306"/>
    <mergeCell ref="K301:K304"/>
    <mergeCell ref="L301:L304"/>
    <mergeCell ref="K224:K225"/>
    <mergeCell ref="L224:L225"/>
    <mergeCell ref="K221:K223"/>
    <mergeCell ref="L221:L223"/>
    <mergeCell ref="A221:A223"/>
    <mergeCell ref="B221:B223"/>
    <mergeCell ref="C221:C223"/>
    <mergeCell ref="D221:D223"/>
    <mergeCell ref="E221:E223"/>
    <mergeCell ref="A224:A225"/>
    <mergeCell ref="B224:B225"/>
    <mergeCell ref="C224:C225"/>
    <mergeCell ref="D224:D225"/>
    <mergeCell ref="E224:E225"/>
    <mergeCell ref="A208:A210"/>
    <mergeCell ref="B208:B210"/>
    <mergeCell ref="C208:C210"/>
    <mergeCell ref="D208:D210"/>
    <mergeCell ref="E208:E210"/>
    <mergeCell ref="K208:K210"/>
    <mergeCell ref="L208:L210"/>
    <mergeCell ref="K196:K198"/>
    <mergeCell ref="L196:L198"/>
    <mergeCell ref="K199:K200"/>
    <mergeCell ref="L199:L200"/>
    <mergeCell ref="A196:A198"/>
    <mergeCell ref="B196:B198"/>
    <mergeCell ref="C196:C198"/>
    <mergeCell ref="D196:D198"/>
    <mergeCell ref="E196:E198"/>
    <mergeCell ref="A199:A200"/>
    <mergeCell ref="B199:B200"/>
    <mergeCell ref="C199:C200"/>
    <mergeCell ref="D199:D200"/>
    <mergeCell ref="E199:E200"/>
    <mergeCell ref="K205:K206"/>
    <mergeCell ref="L205:L206"/>
    <mergeCell ref="K201:K204"/>
    <mergeCell ref="K188:K189"/>
    <mergeCell ref="L188:L189"/>
    <mergeCell ref="K190:K191"/>
    <mergeCell ref="L190:L191"/>
    <mergeCell ref="A188:A189"/>
    <mergeCell ref="B188:B189"/>
    <mergeCell ref="C188:C189"/>
    <mergeCell ref="D188:D189"/>
    <mergeCell ref="E188:E189"/>
    <mergeCell ref="A190:A191"/>
    <mergeCell ref="B190:B191"/>
    <mergeCell ref="C190:C191"/>
    <mergeCell ref="D190:D191"/>
    <mergeCell ref="E190:E191"/>
    <mergeCell ref="L172:L173"/>
    <mergeCell ref="L174:L175"/>
    <mergeCell ref="L177:L179"/>
    <mergeCell ref="A172:A173"/>
    <mergeCell ref="B172:B173"/>
    <mergeCell ref="C172:C173"/>
    <mergeCell ref="D172:D173"/>
    <mergeCell ref="E172:E173"/>
    <mergeCell ref="A174:A175"/>
    <mergeCell ref="B174:B175"/>
    <mergeCell ref="C174:C175"/>
    <mergeCell ref="D174:D175"/>
    <mergeCell ref="E174:E175"/>
    <mergeCell ref="K147:K148"/>
    <mergeCell ref="K152:K153"/>
    <mergeCell ref="K154:K155"/>
    <mergeCell ref="L147:L148"/>
    <mergeCell ref="L152:L153"/>
    <mergeCell ref="L154:L155"/>
    <mergeCell ref="A147:A148"/>
    <mergeCell ref="B147:B148"/>
    <mergeCell ref="C147:C148"/>
    <mergeCell ref="D147:D148"/>
    <mergeCell ref="E147:E148"/>
    <mergeCell ref="A152:A153"/>
    <mergeCell ref="B152:B153"/>
    <mergeCell ref="C152:C153"/>
    <mergeCell ref="D152:D153"/>
    <mergeCell ref="E152:E153"/>
    <mergeCell ref="K140:K141"/>
    <mergeCell ref="L140:L141"/>
    <mergeCell ref="K142:K143"/>
    <mergeCell ref="L142:L143"/>
    <mergeCell ref="K144:K145"/>
    <mergeCell ref="L144:L145"/>
    <mergeCell ref="A140:A141"/>
    <mergeCell ref="B140:B141"/>
    <mergeCell ref="C140:C141"/>
    <mergeCell ref="D140:D141"/>
    <mergeCell ref="E140:E141"/>
    <mergeCell ref="A142:A143"/>
    <mergeCell ref="B142:B143"/>
    <mergeCell ref="C142:C143"/>
    <mergeCell ref="D142:D143"/>
    <mergeCell ref="E142:E143"/>
    <mergeCell ref="A144:A145"/>
    <mergeCell ref="B144:B145"/>
    <mergeCell ref="C144:C145"/>
    <mergeCell ref="D144:D145"/>
    <mergeCell ref="E144:E145"/>
    <mergeCell ref="K137:K138"/>
    <mergeCell ref="L137:L138"/>
    <mergeCell ref="E126:E127"/>
    <mergeCell ref="A128:A129"/>
    <mergeCell ref="B128:B129"/>
    <mergeCell ref="C128:C129"/>
    <mergeCell ref="D128:D129"/>
    <mergeCell ref="E128:E129"/>
    <mergeCell ref="A137:A138"/>
    <mergeCell ref="B137:B138"/>
    <mergeCell ref="C137:C138"/>
    <mergeCell ref="D137:D138"/>
    <mergeCell ref="E137:E138"/>
    <mergeCell ref="A133:A134"/>
    <mergeCell ref="B133:B134"/>
    <mergeCell ref="C133:C134"/>
    <mergeCell ref="D133:D134"/>
    <mergeCell ref="E133:E134"/>
    <mergeCell ref="K133:K134"/>
    <mergeCell ref="L133:L134"/>
    <mergeCell ref="K126:K127"/>
    <mergeCell ref="L126:L127"/>
    <mergeCell ref="K128:K129"/>
    <mergeCell ref="L128:L129"/>
    <mergeCell ref="A80:A81"/>
    <mergeCell ref="B80:B81"/>
    <mergeCell ref="C80:C81"/>
    <mergeCell ref="D80:D81"/>
    <mergeCell ref="E80:E81"/>
    <mergeCell ref="K80:K81"/>
    <mergeCell ref="L80:L81"/>
    <mergeCell ref="K26:K28"/>
    <mergeCell ref="L26:L28"/>
    <mergeCell ref="K29:K31"/>
    <mergeCell ref="L29:L31"/>
    <mergeCell ref="A26:A28"/>
    <mergeCell ref="B26:B28"/>
    <mergeCell ref="C26:C28"/>
    <mergeCell ref="D26:D28"/>
    <mergeCell ref="E26:E28"/>
    <mergeCell ref="A29:A31"/>
    <mergeCell ref="B29:B31"/>
    <mergeCell ref="C29:C31"/>
    <mergeCell ref="D29:D31"/>
    <mergeCell ref="E29:E31"/>
    <mergeCell ref="K44:K45"/>
    <mergeCell ref="K46:K47"/>
    <mergeCell ref="L44:L45"/>
    <mergeCell ref="E12:E13"/>
    <mergeCell ref="A20:A21"/>
    <mergeCell ref="B20:B21"/>
    <mergeCell ref="C20:C21"/>
    <mergeCell ref="D20:D21"/>
    <mergeCell ref="E20:E21"/>
    <mergeCell ref="L20:L21"/>
    <mergeCell ref="L3:L4"/>
    <mergeCell ref="K5:K6"/>
    <mergeCell ref="L5:L6"/>
    <mergeCell ref="K12:K13"/>
    <mergeCell ref="L12:L13"/>
    <mergeCell ref="K15:K17"/>
    <mergeCell ref="L15:L17"/>
    <mergeCell ref="K3:K4"/>
    <mergeCell ref="K20:K21"/>
    <mergeCell ref="K23:K25"/>
    <mergeCell ref="L23:L25"/>
    <mergeCell ref="A23:A25"/>
    <mergeCell ref="B23:B25"/>
    <mergeCell ref="C23:C25"/>
    <mergeCell ref="D23:D25"/>
    <mergeCell ref="E23:E25"/>
    <mergeCell ref="A3:C3"/>
    <mergeCell ref="D3:E3"/>
    <mergeCell ref="G3:G4"/>
    <mergeCell ref="A5:A6"/>
    <mergeCell ref="B5:B6"/>
    <mergeCell ref="C5:C6"/>
    <mergeCell ref="D5:D6"/>
    <mergeCell ref="E5:E6"/>
    <mergeCell ref="A15:A17"/>
    <mergeCell ref="B15:B17"/>
    <mergeCell ref="C15:C17"/>
    <mergeCell ref="D15:D17"/>
    <mergeCell ref="E15:E17"/>
    <mergeCell ref="A12:A13"/>
    <mergeCell ref="B12:B13"/>
    <mergeCell ref="C12:C13"/>
    <mergeCell ref="D12:D13"/>
    <mergeCell ref="L46:L47"/>
    <mergeCell ref="K34:K35"/>
    <mergeCell ref="L34:L35"/>
    <mergeCell ref="A34:A35"/>
    <mergeCell ref="B34:B35"/>
    <mergeCell ref="C34:C35"/>
    <mergeCell ref="D34:D35"/>
    <mergeCell ref="E34:E35"/>
    <mergeCell ref="K55:K56"/>
    <mergeCell ref="L55:L56"/>
    <mergeCell ref="K58:K59"/>
    <mergeCell ref="L58:L59"/>
    <mergeCell ref="A58:A59"/>
    <mergeCell ref="B58:B59"/>
    <mergeCell ref="C58:C59"/>
    <mergeCell ref="D58:D59"/>
    <mergeCell ref="E58:E59"/>
    <mergeCell ref="A55:A56"/>
    <mergeCell ref="B55:B56"/>
    <mergeCell ref="C55:C56"/>
    <mergeCell ref="D55:D56"/>
    <mergeCell ref="E55:E56"/>
    <mergeCell ref="K61:K62"/>
    <mergeCell ref="K64:K66"/>
    <mergeCell ref="L61:L62"/>
    <mergeCell ref="L64:L66"/>
    <mergeCell ref="A64:A66"/>
    <mergeCell ref="B64:B66"/>
    <mergeCell ref="C64:C66"/>
    <mergeCell ref="D64:D66"/>
    <mergeCell ref="E64:E66"/>
    <mergeCell ref="A61:A62"/>
    <mergeCell ref="B61:B62"/>
    <mergeCell ref="C61:C62"/>
    <mergeCell ref="D61:D62"/>
    <mergeCell ref="E61:E62"/>
    <mergeCell ref="K73:K74"/>
    <mergeCell ref="L73:L74"/>
    <mergeCell ref="K77:K79"/>
    <mergeCell ref="L77:L79"/>
    <mergeCell ref="A77:A79"/>
    <mergeCell ref="B77:B79"/>
    <mergeCell ref="C77:C79"/>
    <mergeCell ref="D77:D79"/>
    <mergeCell ref="E77:E79"/>
    <mergeCell ref="A73:A74"/>
    <mergeCell ref="B73:B74"/>
    <mergeCell ref="C73:C74"/>
    <mergeCell ref="D73:D74"/>
    <mergeCell ref="E73:E74"/>
    <mergeCell ref="A75:A76"/>
    <mergeCell ref="B75:B76"/>
    <mergeCell ref="C75:C76"/>
    <mergeCell ref="D75:D76"/>
    <mergeCell ref="E75:E76"/>
    <mergeCell ref="K75:K76"/>
    <mergeCell ref="L75:L76"/>
    <mergeCell ref="K87:K88"/>
    <mergeCell ref="L87:L88"/>
    <mergeCell ref="K91:K92"/>
    <mergeCell ref="L91:L92"/>
    <mergeCell ref="A87:A88"/>
    <mergeCell ref="B87:B88"/>
    <mergeCell ref="C87:C88"/>
    <mergeCell ref="D87:D88"/>
    <mergeCell ref="E87:E88"/>
    <mergeCell ref="A91:A92"/>
    <mergeCell ref="B91:B92"/>
    <mergeCell ref="C91:C92"/>
    <mergeCell ref="D91:D92"/>
    <mergeCell ref="E91:E92"/>
    <mergeCell ref="K94:K95"/>
    <mergeCell ref="L94:L95"/>
    <mergeCell ref="K97:K98"/>
    <mergeCell ref="L97:L98"/>
    <mergeCell ref="A94:A95"/>
    <mergeCell ref="B94:B95"/>
    <mergeCell ref="C94:C95"/>
    <mergeCell ref="D94:D95"/>
    <mergeCell ref="E94:E95"/>
    <mergeCell ref="A97:A98"/>
    <mergeCell ref="B97:B98"/>
    <mergeCell ref="C97:C98"/>
    <mergeCell ref="D97:D98"/>
    <mergeCell ref="E97:E98"/>
    <mergeCell ref="K101:K103"/>
    <mergeCell ref="L101:L103"/>
    <mergeCell ref="K104:K106"/>
    <mergeCell ref="L104:L106"/>
    <mergeCell ref="K107:K108"/>
    <mergeCell ref="L107:L108"/>
    <mergeCell ref="A101:A103"/>
    <mergeCell ref="B101:B103"/>
    <mergeCell ref="C101:C103"/>
    <mergeCell ref="D101:D103"/>
    <mergeCell ref="E101:E103"/>
    <mergeCell ref="A104:A106"/>
    <mergeCell ref="B104:B106"/>
    <mergeCell ref="C104:C106"/>
    <mergeCell ref="D104:D106"/>
    <mergeCell ref="E104:E106"/>
    <mergeCell ref="F118:F120"/>
    <mergeCell ref="G118:G120"/>
    <mergeCell ref="K118:K120"/>
    <mergeCell ref="L118:L120"/>
    <mergeCell ref="A107:A108"/>
    <mergeCell ref="B107:B108"/>
    <mergeCell ref="C107:C108"/>
    <mergeCell ref="D107:D108"/>
    <mergeCell ref="E107:E108"/>
    <mergeCell ref="K113:K114"/>
    <mergeCell ref="L113:L114"/>
    <mergeCell ref="K116:K117"/>
    <mergeCell ref="L116:L117"/>
    <mergeCell ref="A113:A114"/>
    <mergeCell ref="B113:B114"/>
    <mergeCell ref="C113:C114"/>
    <mergeCell ref="D113:D114"/>
    <mergeCell ref="E113:E114"/>
    <mergeCell ref="A116:A117"/>
    <mergeCell ref="B116:B117"/>
    <mergeCell ref="C116:C117"/>
    <mergeCell ref="D116:D117"/>
    <mergeCell ref="E116:E117"/>
    <mergeCell ref="A126:A127"/>
    <mergeCell ref="B126:B127"/>
    <mergeCell ref="C126:C127"/>
    <mergeCell ref="D126:D127"/>
    <mergeCell ref="A118:A120"/>
    <mergeCell ref="B118:B120"/>
    <mergeCell ref="C118:C120"/>
    <mergeCell ref="D118:D120"/>
    <mergeCell ref="E118:E120"/>
    <mergeCell ref="A180:A181"/>
    <mergeCell ref="B180:B181"/>
    <mergeCell ref="C180:C181"/>
    <mergeCell ref="D180:D181"/>
    <mergeCell ref="E180:E181"/>
    <mergeCell ref="D167:D169"/>
    <mergeCell ref="E167:E169"/>
    <mergeCell ref="A154:A155"/>
    <mergeCell ref="B154:B155"/>
    <mergeCell ref="C154:C155"/>
    <mergeCell ref="D154:D155"/>
    <mergeCell ref="E154:E155"/>
    <mergeCell ref="A177:A179"/>
    <mergeCell ref="B177:B179"/>
    <mergeCell ref="C177:C179"/>
    <mergeCell ref="D177:D179"/>
    <mergeCell ref="E177:E179"/>
    <mergeCell ref="K180:K181"/>
    <mergeCell ref="L180:L181"/>
    <mergeCell ref="K156:K158"/>
    <mergeCell ref="K159:K161"/>
    <mergeCell ref="L156:L158"/>
    <mergeCell ref="L159:L161"/>
    <mergeCell ref="A156:A158"/>
    <mergeCell ref="B156:B158"/>
    <mergeCell ref="C156:C158"/>
    <mergeCell ref="D156:D158"/>
    <mergeCell ref="E156:E158"/>
    <mergeCell ref="A159:A161"/>
    <mergeCell ref="B159:B161"/>
    <mergeCell ref="C159:C161"/>
    <mergeCell ref="D159:D161"/>
    <mergeCell ref="E159:E161"/>
    <mergeCell ref="A167:A169"/>
    <mergeCell ref="B167:B169"/>
    <mergeCell ref="C167:C169"/>
    <mergeCell ref="K167:K169"/>
    <mergeCell ref="L167:L169"/>
    <mergeCell ref="K177:K179"/>
    <mergeCell ref="K172:K173"/>
    <mergeCell ref="K174:K175"/>
    <mergeCell ref="L201:L204"/>
    <mergeCell ref="A201:A204"/>
    <mergeCell ref="B201:B204"/>
    <mergeCell ref="C201:C204"/>
    <mergeCell ref="D201:D204"/>
    <mergeCell ref="E201:E204"/>
    <mergeCell ref="A205:A206"/>
    <mergeCell ref="B205:B206"/>
    <mergeCell ref="C205:C206"/>
    <mergeCell ref="D205:D206"/>
    <mergeCell ref="E205:E206"/>
    <mergeCell ref="K212:K213"/>
    <mergeCell ref="L212:L213"/>
    <mergeCell ref="K215:K216"/>
    <mergeCell ref="L215:L216"/>
    <mergeCell ref="A212:A213"/>
    <mergeCell ref="B212:B213"/>
    <mergeCell ref="C212:C213"/>
    <mergeCell ref="D212:D213"/>
    <mergeCell ref="E212:E213"/>
    <mergeCell ref="A215:A216"/>
    <mergeCell ref="B215:B216"/>
    <mergeCell ref="C215:C216"/>
    <mergeCell ref="D215:D216"/>
    <mergeCell ref="E215:E216"/>
    <mergeCell ref="A237:A238"/>
    <mergeCell ref="B237:B238"/>
    <mergeCell ref="C237:C238"/>
    <mergeCell ref="D237:D238"/>
    <mergeCell ref="E237:E238"/>
    <mergeCell ref="K227:K229"/>
    <mergeCell ref="L227:L229"/>
    <mergeCell ref="K230:K231"/>
    <mergeCell ref="L230:L231"/>
    <mergeCell ref="K237:K238"/>
    <mergeCell ref="L237:L238"/>
    <mergeCell ref="A227:A229"/>
    <mergeCell ref="B227:B229"/>
    <mergeCell ref="C227:C229"/>
    <mergeCell ref="D227:D229"/>
    <mergeCell ref="E227:E229"/>
    <mergeCell ref="A230:A231"/>
    <mergeCell ref="B230:B231"/>
    <mergeCell ref="C230:C231"/>
    <mergeCell ref="D230:D231"/>
    <mergeCell ref="E230:E231"/>
    <mergeCell ref="K243:K244"/>
    <mergeCell ref="L243:L244"/>
    <mergeCell ref="K240:K242"/>
    <mergeCell ref="L240:L242"/>
    <mergeCell ref="A240:A242"/>
    <mergeCell ref="B240:B242"/>
    <mergeCell ref="C240:C242"/>
    <mergeCell ref="D240:D242"/>
    <mergeCell ref="E240:E242"/>
    <mergeCell ref="A243:A244"/>
    <mergeCell ref="B243:B244"/>
    <mergeCell ref="C243:C244"/>
    <mergeCell ref="D243:D244"/>
    <mergeCell ref="E243:E244"/>
    <mergeCell ref="K250:K251"/>
    <mergeCell ref="L250:L251"/>
    <mergeCell ref="E261:E262"/>
    <mergeCell ref="A263:A264"/>
    <mergeCell ref="A254:A255"/>
    <mergeCell ref="B254:B255"/>
    <mergeCell ref="C254:C255"/>
    <mergeCell ref="D254:D255"/>
    <mergeCell ref="E254:E255"/>
    <mergeCell ref="K254:K255"/>
    <mergeCell ref="L254:L255"/>
    <mergeCell ref="B263:B264"/>
    <mergeCell ref="C263:C264"/>
    <mergeCell ref="D263:D264"/>
    <mergeCell ref="E263:E264"/>
    <mergeCell ref="A259:A260"/>
    <mergeCell ref="B259:B260"/>
    <mergeCell ref="C259:C260"/>
    <mergeCell ref="D259:D260"/>
    <mergeCell ref="K259:K260"/>
    <mergeCell ref="L259:L260"/>
    <mergeCell ref="K261:K262"/>
    <mergeCell ref="A250:A251"/>
    <mergeCell ref="B250:B251"/>
    <mergeCell ref="A273:A274"/>
    <mergeCell ref="B273:B274"/>
    <mergeCell ref="C273:C274"/>
    <mergeCell ref="D273:D274"/>
    <mergeCell ref="A267:A268"/>
    <mergeCell ref="B267:B268"/>
    <mergeCell ref="C267:C268"/>
    <mergeCell ref="D267:D268"/>
    <mergeCell ref="A270:A271"/>
    <mergeCell ref="C250:C251"/>
    <mergeCell ref="D250:D251"/>
    <mergeCell ref="E250:E251"/>
    <mergeCell ref="E259:E260"/>
    <mergeCell ref="E267:E268"/>
    <mergeCell ref="A261:A262"/>
    <mergeCell ref="B261:B262"/>
    <mergeCell ref="C261:C262"/>
    <mergeCell ref="D261:D262"/>
    <mergeCell ref="B287:B288"/>
    <mergeCell ref="C287:C288"/>
    <mergeCell ref="D287:D288"/>
    <mergeCell ref="E287:E288"/>
    <mergeCell ref="K293:K294"/>
    <mergeCell ref="L293:L294"/>
    <mergeCell ref="L261:L262"/>
    <mergeCell ref="K263:K264"/>
    <mergeCell ref="L263:L264"/>
    <mergeCell ref="K287:K288"/>
    <mergeCell ref="L287:L288"/>
    <mergeCell ref="K267:K268"/>
    <mergeCell ref="L267:L268"/>
    <mergeCell ref="K270:K271"/>
    <mergeCell ref="L270:L271"/>
    <mergeCell ref="K273:K274"/>
    <mergeCell ref="L273:L274"/>
    <mergeCell ref="C270:C271"/>
    <mergeCell ref="D270:D271"/>
    <mergeCell ref="E270:E271"/>
    <mergeCell ref="E273:E274"/>
    <mergeCell ref="A314:A315"/>
    <mergeCell ref="B314:B315"/>
    <mergeCell ref="C314:C315"/>
    <mergeCell ref="D314:D315"/>
    <mergeCell ref="E314:E315"/>
    <mergeCell ref="K314:K315"/>
    <mergeCell ref="L314:L315"/>
    <mergeCell ref="B270:B271"/>
    <mergeCell ref="A301:A304"/>
    <mergeCell ref="B301:B304"/>
    <mergeCell ref="C301:C304"/>
    <mergeCell ref="D301:D304"/>
    <mergeCell ref="E301:E304"/>
    <mergeCell ref="A305:A306"/>
    <mergeCell ref="B305:B306"/>
    <mergeCell ref="C305:C306"/>
    <mergeCell ref="D305:D306"/>
    <mergeCell ref="E305:E306"/>
    <mergeCell ref="A293:A294"/>
    <mergeCell ref="B293:B294"/>
    <mergeCell ref="C293:C294"/>
    <mergeCell ref="D293:D294"/>
    <mergeCell ref="E293:E294"/>
    <mergeCell ref="A287:A288"/>
    <mergeCell ref="A308:A309"/>
    <mergeCell ref="B308:B309"/>
    <mergeCell ref="C308:C309"/>
    <mergeCell ref="D308:D309"/>
    <mergeCell ref="E308:E309"/>
    <mergeCell ref="A310:A311"/>
    <mergeCell ref="B310:B311"/>
    <mergeCell ref="C310:C311"/>
    <mergeCell ref="D310:D311"/>
    <mergeCell ref="E310:E311"/>
    <mergeCell ref="A323:A324"/>
    <mergeCell ref="B323:B324"/>
    <mergeCell ref="C323:C324"/>
    <mergeCell ref="D323:D324"/>
    <mergeCell ref="E323:E324"/>
    <mergeCell ref="K323:K324"/>
    <mergeCell ref="L323:L324"/>
    <mergeCell ref="B335:B336"/>
    <mergeCell ref="C335:C336"/>
    <mergeCell ref="D335:D336"/>
    <mergeCell ref="E335:E336"/>
    <mergeCell ref="A325:A326"/>
    <mergeCell ref="B325:B326"/>
    <mergeCell ref="C325:C326"/>
    <mergeCell ref="D325:D326"/>
    <mergeCell ref="E325:E326"/>
    <mergeCell ref="L352:L353"/>
    <mergeCell ref="K335:K336"/>
    <mergeCell ref="L335:L336"/>
    <mergeCell ref="A333:A334"/>
    <mergeCell ref="B333:B334"/>
    <mergeCell ref="C333:C334"/>
    <mergeCell ref="D333:D334"/>
    <mergeCell ref="E333:E334"/>
    <mergeCell ref="A335:A336"/>
    <mergeCell ref="A342:A343"/>
    <mergeCell ref="B342:B343"/>
    <mergeCell ref="C342:C343"/>
    <mergeCell ref="D342:D343"/>
    <mergeCell ref="E342:E343"/>
    <mergeCell ref="K342:K343"/>
    <mergeCell ref="L342:L343"/>
    <mergeCell ref="A338:A341"/>
    <mergeCell ref="B338:B341"/>
    <mergeCell ref="C338:C341"/>
    <mergeCell ref="D338:D341"/>
    <mergeCell ref="E338:E341"/>
    <mergeCell ref="K338:K341"/>
    <mergeCell ref="L338:L341"/>
    <mergeCell ref="A361:A362"/>
    <mergeCell ref="B361:B362"/>
    <mergeCell ref="C361:C362"/>
    <mergeCell ref="D361:D362"/>
    <mergeCell ref="E361:E362"/>
    <mergeCell ref="K361:K362"/>
    <mergeCell ref="L361:L362"/>
    <mergeCell ref="K325:K326"/>
    <mergeCell ref="L325:L326"/>
    <mergeCell ref="K333:K334"/>
    <mergeCell ref="L333:L334"/>
    <mergeCell ref="A357:A358"/>
    <mergeCell ref="B357:B358"/>
    <mergeCell ref="C357:C358"/>
    <mergeCell ref="D357:D358"/>
    <mergeCell ref="E357:E358"/>
    <mergeCell ref="K357:K358"/>
    <mergeCell ref="L357:L358"/>
    <mergeCell ref="A352:A353"/>
    <mergeCell ref="B352:B353"/>
    <mergeCell ref="C352:C353"/>
    <mergeCell ref="D352:D353"/>
    <mergeCell ref="E352:E353"/>
    <mergeCell ref="K352:K353"/>
  </mergeCells>
  <phoneticPr fontId="15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8015D-9855-4DD9-A6F0-E592AF64DF66}">
  <dimension ref="A1:L13"/>
  <sheetViews>
    <sheetView zoomScale="90" zoomScaleNormal="90" workbookViewId="0">
      <selection activeCell="E35" sqref="E35"/>
    </sheetView>
  </sheetViews>
  <sheetFormatPr baseColWidth="10" defaultColWidth="8.88671875" defaultRowHeight="14.4" x14ac:dyDescent="0.3"/>
  <cols>
    <col min="2" max="2" width="11.109375" bestFit="1" customWidth="1"/>
    <col min="3" max="3" width="13.88671875" customWidth="1"/>
    <col min="4" max="4" width="10.109375" customWidth="1"/>
    <col min="5" max="5" width="11.109375" bestFit="1" customWidth="1"/>
    <col min="8" max="8" width="12" hidden="1" customWidth="1"/>
    <col min="9" max="10" width="0" hidden="1" customWidth="1"/>
    <col min="12" max="12" width="11.33203125" bestFit="1" customWidth="1"/>
  </cols>
  <sheetData>
    <row r="1" spans="1:12" ht="23.4" x14ac:dyDescent="0.3">
      <c r="A1" s="1" t="s">
        <v>6441</v>
      </c>
      <c r="B1" s="1"/>
      <c r="C1" s="1"/>
      <c r="D1" s="1"/>
      <c r="E1" s="1"/>
      <c r="F1" s="1"/>
      <c r="G1" s="1"/>
      <c r="H1" s="1"/>
      <c r="I1" s="1"/>
      <c r="J1" s="618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618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608" t="s">
        <v>8</v>
      </c>
      <c r="G4" s="923"/>
      <c r="H4" s="7" t="s">
        <v>9</v>
      </c>
      <c r="I4" s="619" t="s">
        <v>5</v>
      </c>
      <c r="J4" s="619" t="s">
        <v>10</v>
      </c>
      <c r="K4" s="916"/>
      <c r="L4" s="1010"/>
    </row>
    <row r="5" spans="1:12" ht="15" thickBot="1" x14ac:dyDescent="0.35">
      <c r="A5" s="175">
        <v>68</v>
      </c>
      <c r="B5" s="8">
        <v>2353</v>
      </c>
      <c r="C5" s="45" t="s">
        <v>6442</v>
      </c>
      <c r="D5" s="8">
        <f>+I5</f>
        <v>68</v>
      </c>
      <c r="E5" s="8">
        <f>+J5</f>
        <v>2287.9</v>
      </c>
      <c r="F5" s="8" t="s">
        <v>7114</v>
      </c>
      <c r="G5" s="8">
        <v>401081</v>
      </c>
      <c r="H5" s="14"/>
      <c r="I5" s="45">
        <v>68</v>
      </c>
      <c r="J5" s="45">
        <v>2287.9</v>
      </c>
      <c r="K5" s="120">
        <f t="shared" ref="K5" si="0">+A5-D5</f>
        <v>0</v>
      </c>
      <c r="L5" s="31">
        <f t="shared" ref="L5" si="1">((+B5/A5)-(E5/D5))/(B5/A5)</f>
        <v>2.7666808329791646E-2</v>
      </c>
    </row>
    <row r="6" spans="1:12" ht="15" thickBot="1" x14ac:dyDescent="0.35">
      <c r="A6" s="178">
        <v>294</v>
      </c>
      <c r="B6" s="45">
        <v>10291.25</v>
      </c>
      <c r="C6" s="45" t="s">
        <v>6443</v>
      </c>
      <c r="D6" s="8">
        <v>294</v>
      </c>
      <c r="E6" s="8">
        <v>9882.6</v>
      </c>
      <c r="F6" s="8" t="s">
        <v>6459</v>
      </c>
      <c r="G6" s="8">
        <v>401121</v>
      </c>
      <c r="H6" s="14"/>
      <c r="I6" s="45">
        <v>200</v>
      </c>
      <c r="J6" s="45">
        <v>6675.2</v>
      </c>
      <c r="K6" s="120">
        <f t="shared" ref="K6" si="2">+A6-D6</f>
        <v>0</v>
      </c>
      <c r="L6" s="31">
        <f t="shared" ref="L6" si="3">((+B6/A6)-(E6/D6))/(B6/A6)</f>
        <v>3.970849022227619E-2</v>
      </c>
    </row>
    <row r="7" spans="1:12" ht="15" thickBot="1" x14ac:dyDescent="0.35">
      <c r="A7" s="50">
        <f>+D7</f>
        <v>5</v>
      </c>
      <c r="B7" s="747">
        <f t="shared" ref="B7" si="4">E7*1.035</f>
        <v>185.36849999999998</v>
      </c>
      <c r="C7" s="50" t="s">
        <v>7115</v>
      </c>
      <c r="D7" s="50">
        <f t="shared" ref="D7:E9" si="5">+I7</f>
        <v>5</v>
      </c>
      <c r="E7" s="50">
        <f t="shared" si="5"/>
        <v>179.1</v>
      </c>
      <c r="F7" s="735" t="s">
        <v>7116</v>
      </c>
      <c r="G7" s="735">
        <v>15931</v>
      </c>
      <c r="I7" s="50">
        <v>5</v>
      </c>
      <c r="J7" s="50">
        <v>179.1</v>
      </c>
      <c r="K7" s="120">
        <f t="shared" ref="K7:K10" si="6">+A7-D7</f>
        <v>0</v>
      </c>
      <c r="L7" s="31">
        <f t="shared" ref="L7:L10" si="7">((+B7/A7)-(E7/D7))/(B7/A7)</f>
        <v>3.3816425120772813E-2</v>
      </c>
    </row>
    <row r="8" spans="1:12" ht="15" thickBot="1" x14ac:dyDescent="0.35">
      <c r="A8" s="178">
        <f>+D8</f>
        <v>62</v>
      </c>
      <c r="B8" s="733">
        <v>3265</v>
      </c>
      <c r="C8" s="45" t="s">
        <v>7117</v>
      </c>
      <c r="D8" s="45">
        <f t="shared" si="5"/>
        <v>62</v>
      </c>
      <c r="E8" s="45">
        <f t="shared" si="5"/>
        <v>3169.8</v>
      </c>
      <c r="F8" s="8" t="s">
        <v>7118</v>
      </c>
      <c r="G8" s="8">
        <v>401211</v>
      </c>
      <c r="H8" s="14"/>
      <c r="I8" s="45">
        <v>62</v>
      </c>
      <c r="J8" s="45">
        <v>3169.8</v>
      </c>
      <c r="K8" s="120">
        <f t="shared" si="6"/>
        <v>0</v>
      </c>
      <c r="L8" s="31">
        <f t="shared" si="7"/>
        <v>2.9157733537519069E-2</v>
      </c>
    </row>
    <row r="9" spans="1:12" ht="15" thickBot="1" x14ac:dyDescent="0.35">
      <c r="A9" s="178">
        <v>125</v>
      </c>
      <c r="B9" s="733">
        <v>5108</v>
      </c>
      <c r="C9" s="45" t="s">
        <v>7119</v>
      </c>
      <c r="D9" s="45">
        <f t="shared" si="5"/>
        <v>125</v>
      </c>
      <c r="E9" s="45">
        <f t="shared" si="5"/>
        <v>4899.8</v>
      </c>
      <c r="F9" s="8" t="s">
        <v>7120</v>
      </c>
      <c r="G9" s="8">
        <v>401411</v>
      </c>
      <c r="H9" s="14"/>
      <c r="I9" s="45">
        <v>125</v>
      </c>
      <c r="J9" s="45">
        <v>4899.8</v>
      </c>
      <c r="K9" s="120">
        <f t="shared" si="6"/>
        <v>0</v>
      </c>
      <c r="L9" s="31">
        <f t="shared" si="7"/>
        <v>4.0759592795614669E-2</v>
      </c>
    </row>
    <row r="10" spans="1:12" ht="15" thickBot="1" x14ac:dyDescent="0.35">
      <c r="A10" s="178">
        <v>180</v>
      </c>
      <c r="B10" s="45">
        <v>8309.25</v>
      </c>
      <c r="C10" s="45" t="s">
        <v>7121</v>
      </c>
      <c r="D10" s="8">
        <v>180</v>
      </c>
      <c r="E10" s="8">
        <v>8276.6</v>
      </c>
      <c r="F10" s="8" t="s">
        <v>7122</v>
      </c>
      <c r="G10" s="8">
        <v>401541</v>
      </c>
      <c r="H10" s="14"/>
      <c r="I10" s="45">
        <v>100</v>
      </c>
      <c r="J10" s="45">
        <v>4534.1000000000004</v>
      </c>
      <c r="K10" s="120">
        <f t="shared" si="6"/>
        <v>0</v>
      </c>
      <c r="L10" s="31">
        <f t="shared" si="7"/>
        <v>3.9293558383729152E-3</v>
      </c>
    </row>
    <row r="11" spans="1:12" ht="15" thickBot="1" x14ac:dyDescent="0.35">
      <c r="A11" s="178">
        <v>100</v>
      </c>
      <c r="B11" s="45">
        <v>3714.25</v>
      </c>
      <c r="C11" s="45" t="s">
        <v>7424</v>
      </c>
      <c r="D11" s="45">
        <f t="shared" ref="D11:E11" si="8">+I11</f>
        <v>110</v>
      </c>
      <c r="E11" s="45">
        <f t="shared" si="8"/>
        <v>3976.1</v>
      </c>
      <c r="F11" s="8" t="s">
        <v>7425</v>
      </c>
      <c r="G11" s="8">
        <v>401621</v>
      </c>
      <c r="H11" s="14"/>
      <c r="I11" s="45">
        <v>110</v>
      </c>
      <c r="J11" s="45">
        <v>3976.1</v>
      </c>
      <c r="K11" s="120">
        <f t="shared" ref="K11" si="9">+A11-D11</f>
        <v>-10</v>
      </c>
      <c r="L11" s="31">
        <f t="shared" ref="L11" si="10">((+B11/A11)-(E11/D11))/(B11/A11)</f>
        <v>2.6819313822073369E-2</v>
      </c>
    </row>
    <row r="12" spans="1:12" x14ac:dyDescent="0.3">
      <c r="A12" s="364"/>
      <c r="B12" s="364"/>
      <c r="C12" s="364"/>
      <c r="D12" s="741"/>
      <c r="E12" s="741"/>
      <c r="F12" s="741"/>
      <c r="G12" s="741"/>
      <c r="H12" s="363"/>
      <c r="I12" s="364"/>
      <c r="J12" s="364"/>
      <c r="K12" s="440"/>
      <c r="L12" s="369"/>
    </row>
    <row r="13" spans="1:12" x14ac:dyDescent="0.3">
      <c r="A13" s="196">
        <f>SUM(A5:A6)</f>
        <v>362</v>
      </c>
      <c r="B13" s="634">
        <f>SUM(B5:B6)</f>
        <v>12644.25</v>
      </c>
      <c r="D13" s="196">
        <f>SUM(D5:D6)</f>
        <v>362</v>
      </c>
      <c r="E13" s="634">
        <f>SUM(E5:E6)</f>
        <v>12170.5</v>
      </c>
    </row>
  </sheetData>
  <mergeCells count="5">
    <mergeCell ref="A3:C3"/>
    <mergeCell ref="D3:E3"/>
    <mergeCell ref="G3:G4"/>
    <mergeCell ref="K3:K4"/>
    <mergeCell ref="L3:L4"/>
  </mergeCells>
  <phoneticPr fontId="15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181481-04EC-4A08-A3D3-AA777DD7F211}">
  <dimension ref="A1:L20"/>
  <sheetViews>
    <sheetView zoomScale="90" zoomScaleNormal="90" workbookViewId="0">
      <selection activeCell="G35" sqref="G35"/>
    </sheetView>
  </sheetViews>
  <sheetFormatPr baseColWidth="10" defaultColWidth="8.88671875" defaultRowHeight="14.4" x14ac:dyDescent="0.3"/>
  <cols>
    <col min="2" max="2" width="11.109375" bestFit="1" customWidth="1"/>
    <col min="3" max="3" width="10.33203125" bestFit="1" customWidth="1"/>
    <col min="4" max="4" width="10.88671875" customWidth="1"/>
    <col min="5" max="5" width="11.109375" bestFit="1" customWidth="1"/>
    <col min="8" max="8" width="13.109375" bestFit="1" customWidth="1"/>
    <col min="10" max="10" width="9.88671875" bestFit="1" customWidth="1"/>
    <col min="12" max="12" width="11.33203125" bestFit="1" customWidth="1"/>
  </cols>
  <sheetData>
    <row r="1" spans="1:12" ht="23.4" x14ac:dyDescent="0.3">
      <c r="A1" s="1" t="s">
        <v>6444</v>
      </c>
      <c r="B1" s="1"/>
      <c r="C1" s="1"/>
      <c r="D1" s="1"/>
      <c r="E1" s="1"/>
      <c r="F1" s="1"/>
      <c r="G1" s="1"/>
      <c r="H1" s="1"/>
      <c r="I1" s="1"/>
      <c r="J1" s="618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618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608" t="s">
        <v>8</v>
      </c>
      <c r="G4" s="923"/>
      <c r="H4" s="7" t="s">
        <v>9</v>
      </c>
      <c r="I4" s="619" t="s">
        <v>5</v>
      </c>
      <c r="J4" s="619" t="s">
        <v>10</v>
      </c>
      <c r="K4" s="916"/>
      <c r="L4" s="1010"/>
    </row>
    <row r="5" spans="1:12" ht="15" thickBot="1" x14ac:dyDescent="0.35">
      <c r="A5" s="175">
        <v>130</v>
      </c>
      <c r="B5" s="8">
        <v>6275.5</v>
      </c>
      <c r="C5" s="45" t="s">
        <v>6445</v>
      </c>
      <c r="D5" s="8">
        <f t="shared" ref="D5:E5" si="0">+I5</f>
        <v>130</v>
      </c>
      <c r="E5" s="8">
        <f t="shared" si="0"/>
        <v>6298.6</v>
      </c>
      <c r="F5" s="8" t="s">
        <v>6461</v>
      </c>
      <c r="G5" s="8">
        <v>401051</v>
      </c>
      <c r="H5" s="14"/>
      <c r="I5" s="45">
        <v>130</v>
      </c>
      <c r="J5" s="45">
        <v>6298.6</v>
      </c>
      <c r="K5" s="120">
        <f t="shared" ref="K5:K7" si="1">+A5-D5</f>
        <v>0</v>
      </c>
      <c r="L5" s="31">
        <f t="shared" ref="L5:L7" si="2">((+B5/A5)-(E5/D5))/(B5/A5)</f>
        <v>-3.6809815950920961E-3</v>
      </c>
    </row>
    <row r="6" spans="1:12" ht="15" thickBot="1" x14ac:dyDescent="0.35">
      <c r="A6" s="178">
        <v>88</v>
      </c>
      <c r="B6" s="45">
        <v>3818.75</v>
      </c>
      <c r="C6" s="45" t="s">
        <v>6446</v>
      </c>
      <c r="D6" s="734">
        <f>+I6</f>
        <v>88</v>
      </c>
      <c r="E6" s="734">
        <f>+J6</f>
        <v>3827.5</v>
      </c>
      <c r="F6" s="734" t="s">
        <v>7123</v>
      </c>
      <c r="G6" s="734">
        <v>401091</v>
      </c>
      <c r="H6" s="40"/>
      <c r="I6" s="748">
        <v>88</v>
      </c>
      <c r="J6" s="748">
        <v>3827.5</v>
      </c>
      <c r="K6" s="120">
        <f t="shared" si="1"/>
        <v>0</v>
      </c>
      <c r="L6" s="31">
        <f t="shared" si="2"/>
        <v>-2.2913256955808953E-3</v>
      </c>
    </row>
    <row r="7" spans="1:12" x14ac:dyDescent="0.3">
      <c r="A7" s="871">
        <v>90</v>
      </c>
      <c r="B7" s="873">
        <v>4699.25</v>
      </c>
      <c r="C7" s="873" t="s">
        <v>7124</v>
      </c>
      <c r="D7" s="873">
        <f>+I7+I8</f>
        <v>90</v>
      </c>
      <c r="E7" s="873">
        <f>+J7+J8</f>
        <v>4736.7999999999993</v>
      </c>
      <c r="F7" s="734" t="s">
        <v>7123</v>
      </c>
      <c r="G7" s="734">
        <v>401091</v>
      </c>
      <c r="H7" s="40"/>
      <c r="I7" s="748">
        <v>50</v>
      </c>
      <c r="J7" s="748">
        <v>2584.1999999999998</v>
      </c>
      <c r="K7" s="1081">
        <f t="shared" si="1"/>
        <v>0</v>
      </c>
      <c r="L7" s="879">
        <f t="shared" si="2"/>
        <v>-7.9906368037451336E-3</v>
      </c>
    </row>
    <row r="8" spans="1:12" ht="15" thickBot="1" x14ac:dyDescent="0.35">
      <c r="A8" s="872"/>
      <c r="B8" s="874"/>
      <c r="C8" s="874"/>
      <c r="D8" s="874"/>
      <c r="E8" s="874"/>
      <c r="F8" s="736" t="s">
        <v>7123</v>
      </c>
      <c r="G8" s="736">
        <v>401091</v>
      </c>
      <c r="H8" s="754"/>
      <c r="I8" s="749">
        <v>40</v>
      </c>
      <c r="J8" s="749">
        <v>2152.6</v>
      </c>
      <c r="K8" s="1082"/>
      <c r="L8" s="880"/>
    </row>
    <row r="9" spans="1:12" ht="15" thickBot="1" x14ac:dyDescent="0.35">
      <c r="A9" s="178">
        <v>187</v>
      </c>
      <c r="B9" s="45">
        <v>8612.25</v>
      </c>
      <c r="C9" s="45" t="s">
        <v>7125</v>
      </c>
      <c r="D9" s="8">
        <f>+I9</f>
        <v>187</v>
      </c>
      <c r="E9" s="8">
        <f>+J9</f>
        <v>8644.6</v>
      </c>
      <c r="F9" s="8" t="s">
        <v>7126</v>
      </c>
      <c r="G9" s="8">
        <v>401441</v>
      </c>
      <c r="H9" s="14"/>
      <c r="I9" s="45">
        <v>187</v>
      </c>
      <c r="J9" s="45">
        <v>8644.6</v>
      </c>
      <c r="K9" s="120">
        <f t="shared" ref="K9:K10" si="3">+A9-D9</f>
        <v>0</v>
      </c>
      <c r="L9" s="31">
        <f t="shared" ref="L9:L10" si="4">((+B9/A9)-(E9/D9))/(B9/A9)</f>
        <v>-3.7562773955702412E-3</v>
      </c>
    </row>
    <row r="10" spans="1:12" ht="15" thickBot="1" x14ac:dyDescent="0.35">
      <c r="A10" s="178">
        <v>181</v>
      </c>
      <c r="B10" s="45">
        <v>9233.75</v>
      </c>
      <c r="C10" s="45" t="s">
        <v>7127</v>
      </c>
      <c r="D10" s="8">
        <f>+I10</f>
        <v>181</v>
      </c>
      <c r="E10" s="8">
        <f>+J10</f>
        <v>9197</v>
      </c>
      <c r="F10" s="8" t="s">
        <v>7128</v>
      </c>
      <c r="G10" s="8">
        <v>401491</v>
      </c>
      <c r="H10" s="14"/>
      <c r="I10" s="45">
        <v>181</v>
      </c>
      <c r="J10" s="45">
        <v>9197</v>
      </c>
      <c r="K10" s="120">
        <f t="shared" si="3"/>
        <v>0</v>
      </c>
      <c r="L10" s="31">
        <f t="shared" si="4"/>
        <v>3.9799648030324139E-3</v>
      </c>
    </row>
    <row r="11" spans="1:12" ht="15" thickBot="1" x14ac:dyDescent="0.35">
      <c r="A11" s="178">
        <v>188</v>
      </c>
      <c r="B11" s="45">
        <v>8294</v>
      </c>
      <c r="C11" s="45" t="s">
        <v>7426</v>
      </c>
      <c r="D11" s="8">
        <f t="shared" ref="D11:E12" si="5">+I11</f>
        <v>188</v>
      </c>
      <c r="E11" s="8">
        <f t="shared" si="5"/>
        <v>8242</v>
      </c>
      <c r="F11" s="8" t="s">
        <v>7427</v>
      </c>
      <c r="G11" s="8">
        <v>401561</v>
      </c>
      <c r="H11" s="14"/>
      <c r="I11" s="45">
        <v>188</v>
      </c>
      <c r="J11" s="45">
        <v>8242</v>
      </c>
      <c r="K11" s="120">
        <f t="shared" ref="K11:K13" si="6">+A11-D11</f>
        <v>0</v>
      </c>
      <c r="L11" s="31">
        <f t="shared" ref="L11:L13" si="7">((+B11/A11)-(E11/D11))/(B11/A11)</f>
        <v>6.2695924764889395E-3</v>
      </c>
    </row>
    <row r="12" spans="1:12" ht="15" thickBot="1" x14ac:dyDescent="0.35">
      <c r="A12" s="178">
        <v>83</v>
      </c>
      <c r="B12" s="45">
        <v>3031.4</v>
      </c>
      <c r="C12" s="45" t="s">
        <v>7428</v>
      </c>
      <c r="D12" s="8">
        <f t="shared" si="5"/>
        <v>83</v>
      </c>
      <c r="E12" s="8">
        <f t="shared" si="5"/>
        <v>2840.5</v>
      </c>
      <c r="F12" s="8" t="s">
        <v>7429</v>
      </c>
      <c r="G12" s="8">
        <v>401611</v>
      </c>
      <c r="H12" s="14"/>
      <c r="I12" s="45">
        <v>83</v>
      </c>
      <c r="J12" s="45">
        <v>2840.5</v>
      </c>
      <c r="K12" s="120">
        <f t="shared" si="6"/>
        <v>0</v>
      </c>
      <c r="L12" s="31">
        <f t="shared" si="7"/>
        <v>6.2974203338391432E-2</v>
      </c>
    </row>
    <row r="13" spans="1:12" x14ac:dyDescent="0.3">
      <c r="A13" s="871">
        <v>380</v>
      </c>
      <c r="B13" s="873">
        <v>19171.25</v>
      </c>
      <c r="C13" s="873" t="s">
        <v>7430</v>
      </c>
      <c r="D13" s="873">
        <f>+I13+I14</f>
        <v>364</v>
      </c>
      <c r="E13" s="873">
        <f>+J13+J14</f>
        <v>17880.7</v>
      </c>
      <c r="F13" s="873" t="s">
        <v>7431</v>
      </c>
      <c r="G13" s="873">
        <v>401631</v>
      </c>
      <c r="H13" s="955"/>
      <c r="I13" s="838">
        <v>200</v>
      </c>
      <c r="J13" s="838">
        <v>9871.9</v>
      </c>
      <c r="K13" s="1081">
        <f t="shared" si="6"/>
        <v>16</v>
      </c>
      <c r="L13" s="879">
        <f t="shared" si="7"/>
        <v>2.6319888626728231E-2</v>
      </c>
    </row>
    <row r="14" spans="1:12" ht="15" thickBot="1" x14ac:dyDescent="0.35">
      <c r="A14" s="872"/>
      <c r="B14" s="874"/>
      <c r="C14" s="874"/>
      <c r="D14" s="874"/>
      <c r="E14" s="874"/>
      <c r="F14" s="874"/>
      <c r="G14" s="874"/>
      <c r="H14" s="956"/>
      <c r="I14" s="839">
        <v>164</v>
      </c>
      <c r="J14" s="839">
        <v>8008.8</v>
      </c>
      <c r="K14" s="1082"/>
      <c r="L14" s="880"/>
    </row>
    <row r="15" spans="1:12" x14ac:dyDescent="0.3">
      <c r="A15" s="871">
        <v>100</v>
      </c>
      <c r="B15" s="873">
        <v>4074</v>
      </c>
      <c r="C15" s="873" t="s">
        <v>7432</v>
      </c>
      <c r="D15" s="873">
        <f>+I15+I16</f>
        <v>76</v>
      </c>
      <c r="E15" s="873">
        <f>+J15+J16</f>
        <v>3017.2</v>
      </c>
      <c r="F15" s="873" t="s">
        <v>7433</v>
      </c>
      <c r="G15" s="873">
        <v>401651</v>
      </c>
      <c r="H15" s="955"/>
      <c r="I15" s="838">
        <v>40</v>
      </c>
      <c r="J15" s="838">
        <v>1610.7</v>
      </c>
      <c r="K15" s="1081">
        <f t="shared" ref="K15" si="8">+A15-D15</f>
        <v>24</v>
      </c>
      <c r="L15" s="879">
        <f t="shared" ref="L15" si="9">((+B15/A15)-(E15/D15))/(B15/A15)</f>
        <v>2.5527736867943206E-2</v>
      </c>
    </row>
    <row r="16" spans="1:12" ht="15" thickBot="1" x14ac:dyDescent="0.35">
      <c r="A16" s="872"/>
      <c r="B16" s="874"/>
      <c r="C16" s="874"/>
      <c r="D16" s="874"/>
      <c r="E16" s="874"/>
      <c r="F16" s="874"/>
      <c r="G16" s="874"/>
      <c r="H16" s="956"/>
      <c r="I16" s="839">
        <v>36</v>
      </c>
      <c r="J16" s="839">
        <v>1406.5</v>
      </c>
      <c r="K16" s="1082"/>
      <c r="L16" s="880"/>
    </row>
    <row r="17" spans="1:12" ht="15" thickBot="1" x14ac:dyDescent="0.35">
      <c r="A17" s="837">
        <v>403</v>
      </c>
      <c r="B17" s="839">
        <v>19245.5</v>
      </c>
      <c r="C17" s="839" t="s">
        <v>7434</v>
      </c>
      <c r="D17" s="834">
        <f t="shared" ref="D17:E18" si="10">+I17</f>
        <v>403</v>
      </c>
      <c r="E17" s="834">
        <f t="shared" si="10"/>
        <v>19108.900000000001</v>
      </c>
      <c r="F17" s="834" t="s">
        <v>7435</v>
      </c>
      <c r="G17" s="834">
        <v>401741</v>
      </c>
      <c r="H17" s="842"/>
      <c r="I17" s="839">
        <v>403</v>
      </c>
      <c r="J17" s="868">
        <v>19108.900000000001</v>
      </c>
      <c r="K17" s="120">
        <f t="shared" ref="K17:K18" si="11">+A17-D17</f>
        <v>0</v>
      </c>
      <c r="L17" s="31">
        <f t="shared" ref="L17:L18" si="12">((+B17/A17)-(E17/D17))/(B17/A17)</f>
        <v>7.0977631134550136E-3</v>
      </c>
    </row>
    <row r="18" spans="1:12" ht="15" thickBot="1" x14ac:dyDescent="0.35">
      <c r="A18" s="178">
        <v>263</v>
      </c>
      <c r="B18" s="45">
        <v>11185.25</v>
      </c>
      <c r="C18" s="45" t="s">
        <v>7436</v>
      </c>
      <c r="D18" s="8">
        <f t="shared" si="10"/>
        <v>263</v>
      </c>
      <c r="E18" s="8">
        <f t="shared" si="10"/>
        <v>11362.5</v>
      </c>
      <c r="F18" s="8" t="s">
        <v>7437</v>
      </c>
      <c r="G18" s="8">
        <v>401841</v>
      </c>
      <c r="H18" s="14"/>
      <c r="I18" s="45">
        <v>263</v>
      </c>
      <c r="J18" s="45">
        <v>11362.5</v>
      </c>
      <c r="K18" s="120">
        <f t="shared" si="11"/>
        <v>0</v>
      </c>
      <c r="L18" s="31">
        <f t="shared" si="12"/>
        <v>-1.5846762477369807E-2</v>
      </c>
    </row>
    <row r="19" spans="1:12" x14ac:dyDescent="0.3">
      <c r="A19" s="364"/>
      <c r="B19" s="364"/>
      <c r="C19" s="364"/>
      <c r="D19" s="741"/>
      <c r="E19" s="741"/>
      <c r="F19" s="741"/>
      <c r="G19" s="741"/>
      <c r="H19" s="363"/>
      <c r="I19" s="364"/>
      <c r="J19" s="364"/>
      <c r="K19" s="440"/>
      <c r="L19" s="369"/>
    </row>
    <row r="20" spans="1:12" x14ac:dyDescent="0.3">
      <c r="A20" s="196">
        <f>SUM(A5:A19)</f>
        <v>2093</v>
      </c>
      <c r="B20" s="634">
        <f>SUM(B5:B19)</f>
        <v>97640.9</v>
      </c>
      <c r="D20" s="196">
        <f>SUM(D5:D19)</f>
        <v>2053</v>
      </c>
      <c r="E20" s="634">
        <f>SUM(E5:E19)</f>
        <v>95156.299999999988</v>
      </c>
    </row>
  </sheetData>
  <mergeCells count="32">
    <mergeCell ref="A3:C3"/>
    <mergeCell ref="D3:E3"/>
    <mergeCell ref="G3:G4"/>
    <mergeCell ref="K3:K4"/>
    <mergeCell ref="L3:L4"/>
    <mergeCell ref="D7:D8"/>
    <mergeCell ref="E7:E8"/>
    <mergeCell ref="K7:K8"/>
    <mergeCell ref="L7:L8"/>
    <mergeCell ref="A7:A8"/>
    <mergeCell ref="B7:B8"/>
    <mergeCell ref="C7:C8"/>
    <mergeCell ref="A13:A14"/>
    <mergeCell ref="B13:B14"/>
    <mergeCell ref="C13:C14"/>
    <mergeCell ref="D13:D14"/>
    <mergeCell ref="E13:E14"/>
    <mergeCell ref="A15:A16"/>
    <mergeCell ref="B15:B16"/>
    <mergeCell ref="C15:C16"/>
    <mergeCell ref="D15:D16"/>
    <mergeCell ref="E15:E16"/>
    <mergeCell ref="K13:K14"/>
    <mergeCell ref="L13:L14"/>
    <mergeCell ref="K15:K16"/>
    <mergeCell ref="L15:L16"/>
    <mergeCell ref="F13:F14"/>
    <mergeCell ref="G13:G14"/>
    <mergeCell ref="H13:H14"/>
    <mergeCell ref="F15:F16"/>
    <mergeCell ref="G15:G16"/>
    <mergeCell ref="H15:H16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CB4F0-CB6B-4AAC-B44F-EB33A5736C39}">
  <dimension ref="A1:L11"/>
  <sheetViews>
    <sheetView zoomScale="90" zoomScaleNormal="90" workbookViewId="0">
      <selection activeCell="E28" sqref="E28"/>
    </sheetView>
  </sheetViews>
  <sheetFormatPr baseColWidth="10" defaultColWidth="8.88671875" defaultRowHeight="14.4" x14ac:dyDescent="0.3"/>
  <cols>
    <col min="2" max="2" width="11.109375" bestFit="1" customWidth="1"/>
    <col min="3" max="3" width="11" customWidth="1"/>
    <col min="4" max="4" width="10.5546875" customWidth="1"/>
    <col min="5" max="5" width="11.44140625" customWidth="1"/>
    <col min="12" max="12" width="11.33203125" bestFit="1" customWidth="1"/>
  </cols>
  <sheetData>
    <row r="1" spans="1:12" ht="23.4" x14ac:dyDescent="0.3">
      <c r="A1" s="1" t="s">
        <v>6447</v>
      </c>
      <c r="B1" s="1"/>
      <c r="C1" s="1"/>
      <c r="D1" s="1"/>
      <c r="E1" s="1"/>
      <c r="F1" s="1"/>
      <c r="G1" s="1"/>
      <c r="H1" s="1"/>
      <c r="I1" s="1"/>
      <c r="J1" s="618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618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608" t="s">
        <v>8</v>
      </c>
      <c r="G4" s="923"/>
      <c r="H4" s="7" t="s">
        <v>9</v>
      </c>
      <c r="I4" s="619" t="s">
        <v>5</v>
      </c>
      <c r="J4" s="619" t="s">
        <v>10</v>
      </c>
      <c r="K4" s="916"/>
      <c r="L4" s="1010"/>
    </row>
    <row r="5" spans="1:12" ht="15" thickBot="1" x14ac:dyDescent="0.35">
      <c r="A5" s="175">
        <v>110</v>
      </c>
      <c r="B5" s="8">
        <v>4229.55</v>
      </c>
      <c r="C5" s="45" t="s">
        <v>6448</v>
      </c>
      <c r="D5" s="8">
        <f t="shared" ref="D5:E5" si="0">+I5</f>
        <v>110</v>
      </c>
      <c r="E5" s="8">
        <f t="shared" si="0"/>
        <v>4046.2</v>
      </c>
      <c r="F5" s="8" t="s">
        <v>6464</v>
      </c>
      <c r="G5" s="8">
        <v>401061</v>
      </c>
      <c r="H5" s="14"/>
      <c r="I5" s="45">
        <v>110</v>
      </c>
      <c r="J5" s="45">
        <v>4046.2</v>
      </c>
      <c r="K5" s="120">
        <f t="shared" ref="K5:K6" si="1">+A5-D5</f>
        <v>0</v>
      </c>
      <c r="L5" s="31">
        <f t="shared" ref="L5:L6" si="2">((+B5/A5)-(E5/D5))/(B5/A5)</f>
        <v>4.3349765341466701E-2</v>
      </c>
    </row>
    <row r="6" spans="1:12" ht="15" thickBot="1" x14ac:dyDescent="0.35">
      <c r="A6" s="178">
        <v>110</v>
      </c>
      <c r="B6" s="45">
        <v>4200.8500000000004</v>
      </c>
      <c r="C6" s="45" t="s">
        <v>6449</v>
      </c>
      <c r="D6" s="8">
        <f t="shared" ref="D6" si="3">+I6</f>
        <v>110</v>
      </c>
      <c r="E6" s="8">
        <f t="shared" ref="E6" si="4">+J6</f>
        <v>4034.7</v>
      </c>
      <c r="F6" s="8" t="s">
        <v>6465</v>
      </c>
      <c r="G6" s="8">
        <v>401101</v>
      </c>
      <c r="H6" s="14"/>
      <c r="I6" s="45">
        <v>110</v>
      </c>
      <c r="J6" s="45">
        <v>4034.7</v>
      </c>
      <c r="K6" s="120">
        <f t="shared" si="1"/>
        <v>0</v>
      </c>
      <c r="L6" s="31">
        <f t="shared" si="2"/>
        <v>3.9551519335372723E-2</v>
      </c>
    </row>
    <row r="7" spans="1:12" ht="15" thickBot="1" x14ac:dyDescent="0.35">
      <c r="A7" s="735">
        <f>+D7</f>
        <v>54</v>
      </c>
      <c r="B7" s="734">
        <v>2268</v>
      </c>
      <c r="C7" s="50" t="s">
        <v>7129</v>
      </c>
      <c r="D7" s="50">
        <f>+I7</f>
        <v>54</v>
      </c>
      <c r="E7" s="50">
        <f>+J7</f>
        <v>2336.1</v>
      </c>
      <c r="F7" s="735" t="s">
        <v>7130</v>
      </c>
      <c r="G7" s="735">
        <v>401231</v>
      </c>
      <c r="I7" s="50">
        <v>54</v>
      </c>
      <c r="J7" s="50">
        <v>2336.1</v>
      </c>
      <c r="K7" s="120">
        <f t="shared" ref="K7:K8" si="5">+A7-D7</f>
        <v>0</v>
      </c>
      <c r="L7" s="31">
        <f t="shared" ref="L7:L8" si="6">((+B7/A7)-(E7/D7))/(B7/A7)</f>
        <v>-3.0026455026455068E-2</v>
      </c>
    </row>
    <row r="8" spans="1:12" ht="15" thickBot="1" x14ac:dyDescent="0.35">
      <c r="A8" s="175">
        <v>80</v>
      </c>
      <c r="B8" s="8">
        <v>3818.3</v>
      </c>
      <c r="C8" s="45" t="s">
        <v>7131</v>
      </c>
      <c r="D8" s="45">
        <f>+I8</f>
        <v>80</v>
      </c>
      <c r="E8" s="45">
        <f>+J8</f>
        <v>3822.7</v>
      </c>
      <c r="F8" s="8" t="s">
        <v>7132</v>
      </c>
      <c r="G8" s="8">
        <v>401421</v>
      </c>
      <c r="H8" s="14"/>
      <c r="I8" s="45">
        <v>80</v>
      </c>
      <c r="J8" s="45">
        <v>3822.7</v>
      </c>
      <c r="K8" s="120">
        <f t="shared" si="5"/>
        <v>0</v>
      </c>
      <c r="L8" s="31">
        <f t="shared" si="6"/>
        <v>-1.1523452845505614E-3</v>
      </c>
    </row>
    <row r="9" spans="1:12" ht="15" thickBot="1" x14ac:dyDescent="0.35">
      <c r="A9" s="175">
        <v>100</v>
      </c>
      <c r="B9" s="8">
        <v>4753.25</v>
      </c>
      <c r="C9" s="45" t="s">
        <v>7438</v>
      </c>
      <c r="D9" s="45">
        <f t="shared" ref="D9:E9" si="7">+I9</f>
        <v>99</v>
      </c>
      <c r="E9" s="45">
        <f t="shared" si="7"/>
        <v>4858.8</v>
      </c>
      <c r="F9" s="8" t="s">
        <v>7439</v>
      </c>
      <c r="G9" s="8">
        <v>401511</v>
      </c>
      <c r="H9" s="14"/>
      <c r="I9" s="45">
        <v>99</v>
      </c>
      <c r="J9" s="45">
        <v>4858.8</v>
      </c>
      <c r="K9" s="120">
        <f t="shared" ref="K9" si="8">+A9-D9</f>
        <v>1</v>
      </c>
      <c r="L9" s="31">
        <f t="shared" ref="L9" si="9">((+B9/A9)-(E9/D9))/(B9/A9)</f>
        <v>-3.2531170857579117E-2</v>
      </c>
    </row>
    <row r="10" spans="1:12" x14ac:dyDescent="0.3">
      <c r="A10" s="364"/>
      <c r="B10" s="364"/>
      <c r="C10" s="364"/>
      <c r="D10" s="741"/>
      <c r="E10" s="741"/>
      <c r="F10" s="741"/>
      <c r="G10" s="741"/>
      <c r="H10" s="363"/>
      <c r="I10" s="364"/>
      <c r="J10" s="364"/>
      <c r="K10" s="440"/>
      <c r="L10" s="369"/>
    </row>
    <row r="11" spans="1:12" x14ac:dyDescent="0.3">
      <c r="A11" s="196">
        <f>SUM(A5:A10)</f>
        <v>454</v>
      </c>
      <c r="B11" s="634">
        <f>SUM(B5:B10)</f>
        <v>19269.95</v>
      </c>
      <c r="D11" s="196">
        <f>SUM(D5:D10)</f>
        <v>453</v>
      </c>
      <c r="E11" s="634">
        <f>SUM(E5:E10)</f>
        <v>19098.5</v>
      </c>
    </row>
  </sheetData>
  <mergeCells count="5">
    <mergeCell ref="A3:C3"/>
    <mergeCell ref="D3:E3"/>
    <mergeCell ref="G3:G4"/>
    <mergeCell ref="K3:K4"/>
    <mergeCell ref="L3:L4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3FBE9-C000-46A6-B7B5-86AB2222D9B2}">
  <dimension ref="A1:L12"/>
  <sheetViews>
    <sheetView zoomScale="90" zoomScaleNormal="90" workbookViewId="0">
      <selection activeCell="E36" sqref="E36"/>
    </sheetView>
  </sheetViews>
  <sheetFormatPr baseColWidth="10" defaultColWidth="8.88671875" defaultRowHeight="14.4" x14ac:dyDescent="0.3"/>
  <cols>
    <col min="2" max="2" width="11.109375" bestFit="1" customWidth="1"/>
    <col min="3" max="3" width="11.88671875" customWidth="1"/>
    <col min="4" max="4" width="10.44140625" customWidth="1"/>
    <col min="5" max="5" width="11.109375" bestFit="1" customWidth="1"/>
    <col min="12" max="12" width="12" bestFit="1" customWidth="1"/>
  </cols>
  <sheetData>
    <row r="1" spans="1:12" ht="23.4" x14ac:dyDescent="0.3">
      <c r="A1" s="1" t="s">
        <v>6450</v>
      </c>
      <c r="B1" s="1"/>
      <c r="C1" s="1"/>
      <c r="D1" s="1"/>
      <c r="E1" s="1"/>
      <c r="F1" s="1"/>
      <c r="G1" s="1"/>
      <c r="H1" s="1"/>
      <c r="I1" s="1"/>
      <c r="J1" s="618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618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608" t="s">
        <v>8</v>
      </c>
      <c r="G4" s="923"/>
      <c r="H4" s="7" t="s">
        <v>9</v>
      </c>
      <c r="I4" s="619" t="s">
        <v>5</v>
      </c>
      <c r="J4" s="619" t="s">
        <v>10</v>
      </c>
      <c r="K4" s="916"/>
      <c r="L4" s="1010"/>
    </row>
    <row r="5" spans="1:12" ht="15" thickBot="1" x14ac:dyDescent="0.35">
      <c r="A5" s="175">
        <v>110</v>
      </c>
      <c r="B5" s="8">
        <v>4229.55</v>
      </c>
      <c r="C5" s="45" t="s">
        <v>6451</v>
      </c>
      <c r="D5" s="8">
        <f t="shared" ref="D5:E5" si="0">+I5</f>
        <v>110</v>
      </c>
      <c r="E5" s="8">
        <f t="shared" si="0"/>
        <v>4123.2</v>
      </c>
      <c r="F5" s="8" t="s">
        <v>6462</v>
      </c>
      <c r="G5" s="8">
        <v>401071</v>
      </c>
      <c r="H5" s="14"/>
      <c r="I5" s="45">
        <v>110</v>
      </c>
      <c r="J5" s="45">
        <v>4123.2</v>
      </c>
      <c r="K5" s="120">
        <f t="shared" ref="K5:K6" si="1">+A5-D5</f>
        <v>0</v>
      </c>
      <c r="L5" s="31">
        <f t="shared" ref="L5:L6" si="2">((+B5/A5)-(E5/D5))/(B5/A5)</f>
        <v>2.5144518920452573E-2</v>
      </c>
    </row>
    <row r="6" spans="1:12" ht="15" thickBot="1" x14ac:dyDescent="0.35">
      <c r="A6" s="178">
        <v>110</v>
      </c>
      <c r="B6" s="45">
        <v>4200.8500000000004</v>
      </c>
      <c r="C6" s="45" t="s">
        <v>6452</v>
      </c>
      <c r="D6" s="8">
        <f t="shared" ref="D6" si="3">+I6</f>
        <v>110</v>
      </c>
      <c r="E6" s="8">
        <f t="shared" ref="E6" si="4">+J6</f>
        <v>4077.4</v>
      </c>
      <c r="F6" s="8" t="s">
        <v>6463</v>
      </c>
      <c r="G6" s="8">
        <v>401111</v>
      </c>
      <c r="H6" s="14"/>
      <c r="I6" s="45">
        <v>110</v>
      </c>
      <c r="J6" s="45">
        <v>4077.4</v>
      </c>
      <c r="K6" s="120">
        <f t="shared" si="1"/>
        <v>0</v>
      </c>
      <c r="L6" s="31">
        <f t="shared" si="2"/>
        <v>2.9386909792065954E-2</v>
      </c>
    </row>
    <row r="7" spans="1:12" ht="15" thickBot="1" x14ac:dyDescent="0.35">
      <c r="A7" s="178">
        <f>+D7</f>
        <v>50</v>
      </c>
      <c r="B7" s="45">
        <v>2630.5</v>
      </c>
      <c r="C7" s="45" t="s">
        <v>7133</v>
      </c>
      <c r="D7" s="45">
        <f>+I7</f>
        <v>50</v>
      </c>
      <c r="E7" s="45">
        <f>+J7</f>
        <v>2571.5</v>
      </c>
      <c r="F7" s="45" t="s">
        <v>7134</v>
      </c>
      <c r="G7" s="45">
        <v>401241</v>
      </c>
      <c r="H7" s="14"/>
      <c r="I7" s="45">
        <v>50</v>
      </c>
      <c r="J7" s="45">
        <v>2571.5</v>
      </c>
      <c r="K7" s="120">
        <f t="shared" ref="K7:K8" si="5">+A7-D7</f>
        <v>0</v>
      </c>
      <c r="L7" s="31">
        <f t="shared" ref="L7:L8" si="6">((+B7/A7)-(E7/D7))/(B7/A7)</f>
        <v>2.2429195970347836E-2</v>
      </c>
    </row>
    <row r="8" spans="1:12" ht="15" thickBot="1" x14ac:dyDescent="0.35">
      <c r="A8" s="178">
        <v>120</v>
      </c>
      <c r="B8" s="45">
        <v>5727.45</v>
      </c>
      <c r="C8" s="45" t="s">
        <v>7135</v>
      </c>
      <c r="D8" s="45">
        <f>+I8</f>
        <v>120</v>
      </c>
      <c r="E8" s="45">
        <f>+J8</f>
        <v>5615.6</v>
      </c>
      <c r="F8" s="45" t="s">
        <v>7136</v>
      </c>
      <c r="G8" s="45">
        <v>401431</v>
      </c>
      <c r="H8" s="14"/>
      <c r="I8" s="45">
        <v>120</v>
      </c>
      <c r="J8" s="45">
        <v>5615.6</v>
      </c>
      <c r="K8" s="120">
        <f t="shared" si="5"/>
        <v>0</v>
      </c>
      <c r="L8" s="31">
        <f t="shared" si="6"/>
        <v>1.9528760617726865E-2</v>
      </c>
    </row>
    <row r="9" spans="1:12" ht="15" thickBot="1" x14ac:dyDescent="0.35">
      <c r="A9" s="50">
        <v>101</v>
      </c>
      <c r="B9" s="178">
        <v>4753.5</v>
      </c>
      <c r="C9" s="45" t="s">
        <v>7440</v>
      </c>
      <c r="D9" s="45">
        <f t="shared" ref="D9:E10" si="7">+I9</f>
        <v>101</v>
      </c>
      <c r="E9" s="45">
        <f t="shared" si="7"/>
        <v>4769.7</v>
      </c>
      <c r="F9" s="45" t="s">
        <v>7441</v>
      </c>
      <c r="G9" s="45">
        <v>401531</v>
      </c>
      <c r="H9" s="14"/>
      <c r="I9" s="45">
        <v>101</v>
      </c>
      <c r="J9" s="45">
        <v>4769.7</v>
      </c>
      <c r="K9" s="120">
        <f t="shared" ref="K9:K10" si="8">+A9-D9</f>
        <v>0</v>
      </c>
      <c r="L9" s="31">
        <f t="shared" ref="L9:L10" si="9">((+B9/A9)-(E9/D9))/(B9/A9)</f>
        <v>-3.4080151467338186E-3</v>
      </c>
    </row>
    <row r="10" spans="1:12" ht="15" thickBot="1" x14ac:dyDescent="0.35">
      <c r="A10" s="178">
        <v>269</v>
      </c>
      <c r="B10" s="45">
        <v>8928.75</v>
      </c>
      <c r="C10" s="45" t="s">
        <v>7442</v>
      </c>
      <c r="D10" s="45">
        <f t="shared" si="7"/>
        <v>269</v>
      </c>
      <c r="E10" s="45">
        <f t="shared" si="7"/>
        <v>10415.4</v>
      </c>
      <c r="F10" s="45" t="s">
        <v>7443</v>
      </c>
      <c r="G10" s="45">
        <v>401781</v>
      </c>
      <c r="H10" s="14"/>
      <c r="I10" s="45">
        <v>269</v>
      </c>
      <c r="J10" s="45">
        <v>10415.4</v>
      </c>
      <c r="K10" s="120">
        <f t="shared" si="8"/>
        <v>0</v>
      </c>
      <c r="L10" s="31">
        <f t="shared" si="9"/>
        <v>-0.16650146997060064</v>
      </c>
    </row>
    <row r="11" spans="1:12" x14ac:dyDescent="0.3">
      <c r="A11" s="364"/>
      <c r="B11" s="364"/>
      <c r="C11" s="364"/>
      <c r="D11" s="741"/>
      <c r="E11" s="741"/>
      <c r="F11" s="741"/>
      <c r="G11" s="741"/>
      <c r="H11" s="363"/>
      <c r="I11" s="364"/>
      <c r="J11" s="364"/>
      <c r="K11" s="440"/>
      <c r="L11" s="369"/>
    </row>
    <row r="12" spans="1:12" x14ac:dyDescent="0.3">
      <c r="A12" s="196">
        <f>SUM(A5:A11)</f>
        <v>760</v>
      </c>
      <c r="B12" s="634">
        <f>SUM(B5:B11)</f>
        <v>30470.600000000002</v>
      </c>
      <c r="D12" s="196">
        <f>SUM(D5:D11)</f>
        <v>760</v>
      </c>
      <c r="E12" s="634">
        <f>SUM(E5:E11)</f>
        <v>31572.800000000003</v>
      </c>
    </row>
  </sheetData>
  <mergeCells count="5">
    <mergeCell ref="A3:C3"/>
    <mergeCell ref="D3:E3"/>
    <mergeCell ref="G3:G4"/>
    <mergeCell ref="K3:K4"/>
    <mergeCell ref="L3:L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380AD-B75E-4C0B-919A-2C0AA415237A}">
  <dimension ref="A1:L7"/>
  <sheetViews>
    <sheetView zoomScale="90" zoomScaleNormal="90" workbookViewId="0">
      <selection activeCell="E19" sqref="E19"/>
    </sheetView>
  </sheetViews>
  <sheetFormatPr baseColWidth="10" defaultColWidth="8.88671875" defaultRowHeight="14.4" x14ac:dyDescent="0.3"/>
  <cols>
    <col min="2" max="2" width="10" bestFit="1" customWidth="1"/>
    <col min="3" max="3" width="9.88671875" bestFit="1" customWidth="1"/>
    <col min="4" max="4" width="14.33203125" customWidth="1"/>
    <col min="5" max="5" width="10" bestFit="1" customWidth="1"/>
    <col min="7" max="7" width="10.33203125" customWidth="1"/>
    <col min="8" max="8" width="11.6640625" customWidth="1"/>
    <col min="12" max="12" width="11.33203125" bestFit="1" customWidth="1"/>
  </cols>
  <sheetData>
    <row r="1" spans="1:12" ht="23.4" x14ac:dyDescent="0.3">
      <c r="A1" s="1" t="s">
        <v>6429</v>
      </c>
      <c r="B1" s="1"/>
      <c r="C1" s="1"/>
      <c r="D1" s="1"/>
      <c r="E1" s="1"/>
      <c r="F1" s="1"/>
      <c r="G1" s="1"/>
      <c r="H1" s="1"/>
      <c r="I1" s="1"/>
      <c r="J1" s="618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618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608" t="s">
        <v>8</v>
      </c>
      <c r="G4" s="923"/>
      <c r="H4" s="7" t="s">
        <v>9</v>
      </c>
      <c r="I4" s="619" t="s">
        <v>5</v>
      </c>
      <c r="J4" s="619" t="s">
        <v>10</v>
      </c>
      <c r="K4" s="916"/>
      <c r="L4" s="1010"/>
    </row>
    <row r="5" spans="1:12" ht="15" thickBot="1" x14ac:dyDescent="0.35">
      <c r="A5" s="175">
        <v>100</v>
      </c>
      <c r="B5" s="8">
        <v>3996.18</v>
      </c>
      <c r="C5" s="8" t="s">
        <v>6427</v>
      </c>
      <c r="D5" s="8">
        <f t="shared" ref="D5:E5" si="0">+I5</f>
        <v>100</v>
      </c>
      <c r="E5" s="8">
        <f t="shared" si="0"/>
        <v>3899.8</v>
      </c>
      <c r="F5" s="8" t="s">
        <v>6428</v>
      </c>
      <c r="G5" s="8">
        <v>501021</v>
      </c>
      <c r="H5" s="14"/>
      <c r="I5" s="45">
        <v>100</v>
      </c>
      <c r="J5" s="45">
        <v>3899.8</v>
      </c>
      <c r="K5" s="120">
        <f t="shared" ref="K5" si="1">+A5-D5</f>
        <v>0</v>
      </c>
      <c r="L5" s="31">
        <f t="shared" ref="L5" si="2">((+B5/A5)-(E5/D5))/(B5/A5)</f>
        <v>2.4118032721248593E-2</v>
      </c>
    </row>
    <row r="7" spans="1:12" x14ac:dyDescent="0.3">
      <c r="A7" s="196">
        <f>SUM(A5:A6)</f>
        <v>100</v>
      </c>
      <c r="B7" s="634">
        <f>SUM(B5:B6)</f>
        <v>3996.18</v>
      </c>
      <c r="D7" s="196">
        <f>SUM(D5:D6)</f>
        <v>100</v>
      </c>
      <c r="E7" s="634">
        <f>SUM(E5:E6)</f>
        <v>3899.8</v>
      </c>
    </row>
  </sheetData>
  <mergeCells count="5">
    <mergeCell ref="A3:C3"/>
    <mergeCell ref="D3:E3"/>
    <mergeCell ref="G3:G4"/>
    <mergeCell ref="K3:K4"/>
    <mergeCell ref="L3:L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09B6B-22CB-4107-AD48-DF8A001EEA7D}">
  <dimension ref="A1:L7"/>
  <sheetViews>
    <sheetView zoomScale="80" zoomScaleNormal="80" workbookViewId="0">
      <selection sqref="A1:L4"/>
    </sheetView>
  </sheetViews>
  <sheetFormatPr baseColWidth="10" defaultColWidth="8.88671875" defaultRowHeight="14.4" x14ac:dyDescent="0.3"/>
  <cols>
    <col min="2" max="2" width="11.33203125" bestFit="1" customWidth="1"/>
    <col min="3" max="3" width="11.109375" customWidth="1"/>
    <col min="4" max="4" width="12" customWidth="1"/>
    <col min="5" max="5" width="11.33203125" bestFit="1" customWidth="1"/>
    <col min="6" max="6" width="9.33203125" customWidth="1"/>
    <col min="7" max="7" width="10" customWidth="1"/>
    <col min="8" max="8" width="13.109375" bestFit="1" customWidth="1"/>
    <col min="12" max="12" width="11.33203125" bestFit="1" customWidth="1"/>
  </cols>
  <sheetData>
    <row r="1" spans="1:12" ht="23.4" x14ac:dyDescent="0.3">
      <c r="A1" s="1" t="s">
        <v>6430</v>
      </c>
      <c r="B1" s="1"/>
      <c r="C1" s="1"/>
      <c r="D1" s="1"/>
      <c r="E1" s="1"/>
      <c r="F1" s="1"/>
      <c r="G1" s="1"/>
      <c r="H1" s="1"/>
      <c r="I1" s="1"/>
      <c r="J1" s="618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618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608" t="s">
        <v>8</v>
      </c>
      <c r="G4" s="923"/>
      <c r="H4" s="7" t="s">
        <v>9</v>
      </c>
      <c r="I4" s="619" t="s">
        <v>5</v>
      </c>
      <c r="J4" s="619" t="s">
        <v>10</v>
      </c>
      <c r="K4" s="916"/>
      <c r="L4" s="1010"/>
    </row>
    <row r="5" spans="1:12" ht="15" thickBot="1" x14ac:dyDescent="0.35">
      <c r="A5" s="175">
        <v>145</v>
      </c>
      <c r="B5" s="8">
        <v>5157</v>
      </c>
      <c r="C5" s="8" t="s">
        <v>6431</v>
      </c>
      <c r="D5" s="8">
        <f t="shared" ref="D5:E6" si="0">+I5</f>
        <v>145</v>
      </c>
      <c r="E5" s="8">
        <f t="shared" si="0"/>
        <v>5172.8</v>
      </c>
      <c r="F5" s="8" t="s">
        <v>6432</v>
      </c>
      <c r="G5" s="8">
        <v>501031</v>
      </c>
      <c r="H5" s="14"/>
      <c r="I5" s="45">
        <v>145</v>
      </c>
      <c r="J5" s="45">
        <v>5172.8</v>
      </c>
      <c r="K5" s="120">
        <f t="shared" ref="K5" si="1">+A5-D5</f>
        <v>0</v>
      </c>
      <c r="L5" s="31">
        <f t="shared" ref="L5" si="2">((+B5/A5)-(E5/D5))/(B5/A5)</f>
        <v>-3.0637967810742853E-3</v>
      </c>
    </row>
    <row r="6" spans="1:12" ht="15" thickBot="1" x14ac:dyDescent="0.35">
      <c r="A6" s="785">
        <v>238</v>
      </c>
      <c r="B6" s="786">
        <v>10009.25</v>
      </c>
      <c r="C6" s="786" t="s">
        <v>6456</v>
      </c>
      <c r="D6" s="786">
        <f t="shared" si="0"/>
        <v>238</v>
      </c>
      <c r="E6" s="786">
        <f t="shared" si="0"/>
        <v>10103.6</v>
      </c>
      <c r="F6" s="787" t="s">
        <v>6459</v>
      </c>
      <c r="G6" s="787">
        <v>401131</v>
      </c>
      <c r="H6" s="788"/>
      <c r="I6" s="786">
        <v>238</v>
      </c>
      <c r="J6" s="786">
        <v>10103.6</v>
      </c>
      <c r="K6" s="120">
        <f t="shared" ref="K6" si="3">+A6-D6</f>
        <v>0</v>
      </c>
      <c r="L6" s="31">
        <f t="shared" ref="L6" si="4">((+B6/A6)-(E6/D6))/(B6/A6)</f>
        <v>-9.4262806903614351E-3</v>
      </c>
    </row>
    <row r="7" spans="1:12" x14ac:dyDescent="0.3">
      <c r="A7" s="196">
        <f>SUM(A5:A6)</f>
        <v>383</v>
      </c>
      <c r="B7" s="634">
        <f>SUM(B5:B6)</f>
        <v>15166.25</v>
      </c>
      <c r="D7" s="196">
        <f>SUM(D5:D6)</f>
        <v>383</v>
      </c>
      <c r="E7" s="634">
        <f>SUM(E5:E6)</f>
        <v>15276.400000000001</v>
      </c>
    </row>
  </sheetData>
  <mergeCells count="5">
    <mergeCell ref="A3:C3"/>
    <mergeCell ref="D3:E3"/>
    <mergeCell ref="G3:G4"/>
    <mergeCell ref="K3:K4"/>
    <mergeCell ref="L3:L4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90E39-F9F3-4629-AB63-7658F408FDD4}">
  <dimension ref="A1:M18"/>
  <sheetViews>
    <sheetView zoomScale="90" zoomScaleNormal="90" workbookViewId="0">
      <selection activeCell="G21" sqref="G21"/>
    </sheetView>
  </sheetViews>
  <sheetFormatPr baseColWidth="10" defaultColWidth="8.88671875" defaultRowHeight="14.4" x14ac:dyDescent="0.3"/>
  <cols>
    <col min="2" max="2" width="11.33203125" bestFit="1" customWidth="1"/>
    <col min="3" max="3" width="12" customWidth="1"/>
    <col min="4" max="4" width="13.109375" customWidth="1"/>
    <col min="5" max="5" width="11.33203125" bestFit="1" customWidth="1"/>
    <col min="7" max="7" width="10.33203125" customWidth="1"/>
    <col min="8" max="8" width="13.109375" hidden="1" customWidth="1"/>
    <col min="9" max="10" width="0" hidden="1" customWidth="1"/>
    <col min="12" max="12" width="12" customWidth="1"/>
  </cols>
  <sheetData>
    <row r="1" spans="1:13" ht="23.4" x14ac:dyDescent="0.3">
      <c r="A1" s="1" t="s">
        <v>6436</v>
      </c>
      <c r="B1" s="1"/>
      <c r="C1" s="1"/>
      <c r="D1" s="1"/>
      <c r="E1" s="1"/>
      <c r="F1" s="1"/>
      <c r="G1" s="1"/>
      <c r="H1" s="1"/>
      <c r="I1" s="1"/>
      <c r="J1" s="618"/>
    </row>
    <row r="2" spans="1:13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618"/>
    </row>
    <row r="3" spans="1:13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3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608" t="s">
        <v>8</v>
      </c>
      <c r="G4" s="923"/>
      <c r="H4" s="7" t="s">
        <v>9</v>
      </c>
      <c r="I4" s="619" t="s">
        <v>5</v>
      </c>
      <c r="J4" s="619" t="s">
        <v>10</v>
      </c>
      <c r="K4" s="916"/>
      <c r="L4" s="1010"/>
    </row>
    <row r="5" spans="1:13" ht="15" thickBot="1" x14ac:dyDescent="0.35">
      <c r="A5" s="601">
        <v>200</v>
      </c>
      <c r="B5" s="602">
        <v>7699</v>
      </c>
      <c r="C5" s="602" t="s">
        <v>6437</v>
      </c>
      <c r="D5" s="602">
        <f t="shared" ref="D5:E5" si="0">+I5</f>
        <v>196</v>
      </c>
      <c r="E5" s="602">
        <f t="shared" si="0"/>
        <v>7434.5</v>
      </c>
      <c r="F5" s="602" t="s">
        <v>6439</v>
      </c>
      <c r="G5" s="602">
        <v>501011</v>
      </c>
      <c r="H5" s="40"/>
      <c r="I5" s="614">
        <v>196</v>
      </c>
      <c r="J5" s="614">
        <v>7434.5</v>
      </c>
      <c r="K5" s="121">
        <f t="shared" ref="K5" si="1">+A5-D5</f>
        <v>4</v>
      </c>
      <c r="L5" s="616">
        <f t="shared" ref="L5" si="2">((+B5/A5)-(E5/D5))/(B5/A5)</f>
        <v>1.4648072503452505E-2</v>
      </c>
      <c r="M5" t="s">
        <v>6578</v>
      </c>
    </row>
    <row r="6" spans="1:13" x14ac:dyDescent="0.3">
      <c r="A6" s="871">
        <v>136</v>
      </c>
      <c r="B6" s="873">
        <v>4980.75</v>
      </c>
      <c r="C6" s="873" t="s">
        <v>6438</v>
      </c>
      <c r="D6" s="873">
        <f>+I6+I7</f>
        <v>136</v>
      </c>
      <c r="E6" s="873">
        <f>+J6+J7</f>
        <v>4803</v>
      </c>
      <c r="F6" s="602" t="s">
        <v>6440</v>
      </c>
      <c r="G6" s="602">
        <v>501041</v>
      </c>
      <c r="H6" s="40"/>
      <c r="I6" s="602">
        <v>55</v>
      </c>
      <c r="J6" s="602">
        <v>1942</v>
      </c>
      <c r="K6" s="1081">
        <f t="shared" ref="K6" si="3">+A6-D6</f>
        <v>0</v>
      </c>
      <c r="L6" s="879">
        <f t="shared" ref="L6" si="4">((+B6/A6)-(E6/D6))/(B6/A6)</f>
        <v>3.5687396476434409E-2</v>
      </c>
    </row>
    <row r="7" spans="1:13" ht="15" thickBot="1" x14ac:dyDescent="0.35">
      <c r="A7" s="872"/>
      <c r="B7" s="874"/>
      <c r="C7" s="874"/>
      <c r="D7" s="874"/>
      <c r="E7" s="874"/>
      <c r="F7" s="603" t="s">
        <v>6440</v>
      </c>
      <c r="G7" s="603">
        <v>501041</v>
      </c>
      <c r="H7" s="620"/>
      <c r="I7" s="603">
        <v>81</v>
      </c>
      <c r="J7" s="603">
        <v>2861</v>
      </c>
      <c r="K7" s="1082"/>
      <c r="L7" s="880"/>
    </row>
    <row r="8" spans="1:13" ht="15" thickBot="1" x14ac:dyDescent="0.35">
      <c r="A8" s="607">
        <v>295</v>
      </c>
      <c r="B8" s="615">
        <v>10245</v>
      </c>
      <c r="C8" s="615" t="s">
        <v>6453</v>
      </c>
      <c r="D8" s="615">
        <f>+I8</f>
        <v>295</v>
      </c>
      <c r="E8" s="615">
        <f>+J8</f>
        <v>10009.200000000001</v>
      </c>
      <c r="F8" s="603" t="s">
        <v>6454</v>
      </c>
      <c r="G8" s="603">
        <v>501051</v>
      </c>
      <c r="H8" s="620"/>
      <c r="I8" s="603">
        <v>295</v>
      </c>
      <c r="J8" s="603">
        <v>10009.200000000001</v>
      </c>
      <c r="K8" s="633">
        <f t="shared" ref="K8" si="5">+A8-D8</f>
        <v>0</v>
      </c>
      <c r="L8" s="617">
        <f t="shared" ref="L8" si="6">((+B8/A8)-(E8/D8))/(B8/A8)</f>
        <v>2.301610541727676E-2</v>
      </c>
    </row>
    <row r="9" spans="1:13" ht="15" thickBot="1" x14ac:dyDescent="0.35">
      <c r="A9" s="781">
        <v>285</v>
      </c>
      <c r="B9" s="789">
        <v>10276.25</v>
      </c>
      <c r="C9" s="789" t="s">
        <v>6466</v>
      </c>
      <c r="D9" s="45">
        <f>+I9</f>
        <v>285</v>
      </c>
      <c r="E9" s="45">
        <f>+J9</f>
        <v>10198.5</v>
      </c>
      <c r="F9" s="8" t="s">
        <v>6467</v>
      </c>
      <c r="G9" s="8">
        <v>501091</v>
      </c>
      <c r="H9" s="14"/>
      <c r="I9" s="8">
        <v>285</v>
      </c>
      <c r="J9" s="8">
        <v>10198.5</v>
      </c>
      <c r="K9" s="633">
        <f t="shared" ref="K9" si="7">+A9-D9</f>
        <v>0</v>
      </c>
      <c r="L9" s="617">
        <f t="shared" ref="L9" si="8">((+B9/A9)-(E9/D9))/(B9/A9)</f>
        <v>7.5659895389855823E-3</v>
      </c>
    </row>
    <row r="10" spans="1:13" ht="15" thickBot="1" x14ac:dyDescent="0.35">
      <c r="A10" s="207">
        <f>+D10</f>
        <v>5</v>
      </c>
      <c r="B10" s="186">
        <f>E10*1.035</f>
        <v>186.19649999999999</v>
      </c>
      <c r="C10" s="45" t="s">
        <v>6666</v>
      </c>
      <c r="D10" s="45">
        <f t="shared" ref="D10:E14" si="9">+I10</f>
        <v>5</v>
      </c>
      <c r="E10" s="45">
        <f t="shared" si="9"/>
        <v>179.9</v>
      </c>
      <c r="F10" s="8" t="s">
        <v>6667</v>
      </c>
      <c r="G10" s="8">
        <v>105301</v>
      </c>
      <c r="H10" s="14"/>
      <c r="I10" s="45">
        <v>5</v>
      </c>
      <c r="J10" s="45">
        <v>179.9</v>
      </c>
      <c r="K10" s="633">
        <f t="shared" ref="K10:K15" si="10">+A10-D10</f>
        <v>0</v>
      </c>
      <c r="L10" s="746">
        <f t="shared" ref="L10:L15" si="11">((+B10/A10)-(E10/D10))/(B10/A10)</f>
        <v>3.381642512077284E-2</v>
      </c>
    </row>
    <row r="11" spans="1:13" ht="15" thickBot="1" x14ac:dyDescent="0.35">
      <c r="A11" s="207">
        <f>+D11</f>
        <v>9</v>
      </c>
      <c r="B11" s="186">
        <f>E11*1.035</f>
        <v>356.35050000000001</v>
      </c>
      <c r="C11" s="45" t="s">
        <v>6670</v>
      </c>
      <c r="D11" s="45">
        <f>+I11</f>
        <v>9</v>
      </c>
      <c r="E11" s="45">
        <f t="shared" si="9"/>
        <v>344.3</v>
      </c>
      <c r="F11" s="8" t="s">
        <v>6671</v>
      </c>
      <c r="G11" s="8">
        <v>105361</v>
      </c>
      <c r="H11" s="14"/>
      <c r="I11" s="45">
        <v>9</v>
      </c>
      <c r="J11" s="45">
        <v>344.3</v>
      </c>
      <c r="K11" s="633">
        <f t="shared" si="10"/>
        <v>0</v>
      </c>
      <c r="L11" s="746">
        <f t="shared" si="11"/>
        <v>3.3816425120772924E-2</v>
      </c>
    </row>
    <row r="12" spans="1:13" ht="15" thickBot="1" x14ac:dyDescent="0.35">
      <c r="A12" s="178">
        <v>201</v>
      </c>
      <c r="B12" s="45">
        <v>7341.25</v>
      </c>
      <c r="C12" s="45" t="s">
        <v>7137</v>
      </c>
      <c r="D12" s="45">
        <f>+I12</f>
        <v>201</v>
      </c>
      <c r="E12" s="45">
        <f t="shared" si="9"/>
        <v>7339.8</v>
      </c>
      <c r="F12" s="8" t="s">
        <v>7138</v>
      </c>
      <c r="G12" s="8">
        <v>501111</v>
      </c>
      <c r="H12" s="14"/>
      <c r="I12" s="45">
        <v>201</v>
      </c>
      <c r="J12" s="45">
        <v>7339.8</v>
      </c>
      <c r="K12" s="633">
        <f t="shared" si="10"/>
        <v>0</v>
      </c>
      <c r="L12" s="746">
        <f t="shared" si="11"/>
        <v>1.975140473352228E-4</v>
      </c>
    </row>
    <row r="13" spans="1:13" ht="15" thickBot="1" x14ac:dyDescent="0.35">
      <c r="A13" s="207">
        <f>+D13</f>
        <v>22</v>
      </c>
      <c r="B13" s="186">
        <f>E13*1.035</f>
        <v>781.83899999999994</v>
      </c>
      <c r="C13" s="45" t="s">
        <v>6921</v>
      </c>
      <c r="D13" s="45">
        <f>+I13</f>
        <v>22</v>
      </c>
      <c r="E13" s="45">
        <f t="shared" si="9"/>
        <v>755.4</v>
      </c>
      <c r="F13" s="8" t="s">
        <v>6922</v>
      </c>
      <c r="G13" s="8">
        <v>33561</v>
      </c>
      <c r="H13" s="14"/>
      <c r="I13" s="45">
        <v>22</v>
      </c>
      <c r="J13" s="45">
        <v>755.4</v>
      </c>
      <c r="K13" s="633">
        <f t="shared" si="10"/>
        <v>0</v>
      </c>
      <c r="L13" s="746">
        <f t="shared" si="11"/>
        <v>3.3816425120772903E-2</v>
      </c>
    </row>
    <row r="14" spans="1:13" ht="15" thickBot="1" x14ac:dyDescent="0.35">
      <c r="A14" s="790">
        <f>+D14</f>
        <v>22</v>
      </c>
      <c r="B14" s="745">
        <f>E14*1.035</f>
        <v>853.56449999999995</v>
      </c>
      <c r="C14" s="748" t="s">
        <v>6846</v>
      </c>
      <c r="D14" s="748">
        <f>+I14</f>
        <v>22</v>
      </c>
      <c r="E14" s="748">
        <f t="shared" si="9"/>
        <v>824.7</v>
      </c>
      <c r="F14" s="734" t="s">
        <v>6847</v>
      </c>
      <c r="G14" s="734">
        <v>105922</v>
      </c>
      <c r="H14" s="40"/>
      <c r="I14" s="748">
        <v>22</v>
      </c>
      <c r="J14" s="748">
        <v>824.7</v>
      </c>
      <c r="K14" s="633">
        <f t="shared" si="10"/>
        <v>0</v>
      </c>
      <c r="L14" s="746">
        <f t="shared" si="11"/>
        <v>3.3816425120772743E-2</v>
      </c>
    </row>
    <row r="15" spans="1:13" x14ac:dyDescent="0.3">
      <c r="A15" s="871">
        <v>275</v>
      </c>
      <c r="B15" s="873">
        <v>9838.75</v>
      </c>
      <c r="C15" s="873" t="s">
        <v>7139</v>
      </c>
      <c r="D15" s="873">
        <f>+I15+I16</f>
        <v>275</v>
      </c>
      <c r="E15" s="873">
        <f>+J15+J16</f>
        <v>9941.1</v>
      </c>
      <c r="F15" s="734" t="s">
        <v>7140</v>
      </c>
      <c r="G15" s="734">
        <v>501151</v>
      </c>
      <c r="H15" s="40"/>
      <c r="I15" s="748">
        <v>75</v>
      </c>
      <c r="J15" s="748">
        <v>2690.5</v>
      </c>
      <c r="K15" s="1081">
        <f t="shared" si="10"/>
        <v>0</v>
      </c>
      <c r="L15" s="879">
        <f t="shared" si="11"/>
        <v>-1.0402744251048264E-2</v>
      </c>
    </row>
    <row r="16" spans="1:13" ht="15" thickBot="1" x14ac:dyDescent="0.35">
      <c r="A16" s="872"/>
      <c r="B16" s="874"/>
      <c r="C16" s="874"/>
      <c r="D16" s="874"/>
      <c r="E16" s="874"/>
      <c r="F16" s="736" t="s">
        <v>7140</v>
      </c>
      <c r="G16" s="736">
        <v>501151</v>
      </c>
      <c r="H16" s="754"/>
      <c r="I16" s="749">
        <v>200</v>
      </c>
      <c r="J16" s="749">
        <v>7250.6</v>
      </c>
      <c r="K16" s="1082"/>
      <c r="L16" s="880"/>
    </row>
    <row r="17" spans="1:12" x14ac:dyDescent="0.3">
      <c r="A17" s="368"/>
      <c r="B17" s="364"/>
      <c r="C17" s="368"/>
      <c r="D17" s="364"/>
      <c r="E17" s="364"/>
      <c r="F17" s="741"/>
      <c r="G17" s="741"/>
      <c r="H17" s="363"/>
      <c r="I17" s="741"/>
      <c r="J17" s="741"/>
      <c r="K17" s="440"/>
      <c r="L17" s="369"/>
    </row>
    <row r="18" spans="1:12" x14ac:dyDescent="0.3">
      <c r="A18" s="196">
        <f>SUM(A5:A9)</f>
        <v>916</v>
      </c>
      <c r="B18" s="634">
        <f>SUM(B5:B9)</f>
        <v>33201</v>
      </c>
      <c r="D18" s="196">
        <f>SUM(D5:D9)</f>
        <v>912</v>
      </c>
      <c r="E18" s="634">
        <f>SUM(E5:E9)</f>
        <v>32445.200000000001</v>
      </c>
    </row>
  </sheetData>
  <mergeCells count="19">
    <mergeCell ref="K6:K7"/>
    <mergeCell ref="L6:L7"/>
    <mergeCell ref="A3:C3"/>
    <mergeCell ref="D3:E3"/>
    <mergeCell ref="G3:G4"/>
    <mergeCell ref="K3:K4"/>
    <mergeCell ref="L3:L4"/>
    <mergeCell ref="A6:A7"/>
    <mergeCell ref="B6:B7"/>
    <mergeCell ref="C6:C7"/>
    <mergeCell ref="D6:D7"/>
    <mergeCell ref="E6:E7"/>
    <mergeCell ref="K15:K16"/>
    <mergeCell ref="L15:L16"/>
    <mergeCell ref="A15:A16"/>
    <mergeCell ref="B15:B16"/>
    <mergeCell ref="C15:C16"/>
    <mergeCell ref="D15:D16"/>
    <mergeCell ref="E15:E16"/>
  </mergeCells>
  <phoneticPr fontId="15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91DD8-3B72-4EA2-9732-74300AB0A56E}">
  <dimension ref="A1:L7"/>
  <sheetViews>
    <sheetView zoomScale="90" zoomScaleNormal="90" workbookViewId="0">
      <selection activeCell="K5" sqref="K5:L6"/>
    </sheetView>
  </sheetViews>
  <sheetFormatPr baseColWidth="10" defaultColWidth="8.88671875" defaultRowHeight="14.4" x14ac:dyDescent="0.3"/>
  <cols>
    <col min="2" max="2" width="10" bestFit="1" customWidth="1"/>
    <col min="3" max="3" width="10.44140625" customWidth="1"/>
    <col min="4" max="4" width="11.33203125" customWidth="1"/>
    <col min="5" max="5" width="10.44140625" customWidth="1"/>
    <col min="8" max="8" width="13.109375" hidden="1" customWidth="1"/>
    <col min="9" max="10" width="0" hidden="1" customWidth="1"/>
    <col min="12" max="12" width="11.33203125" bestFit="1" customWidth="1"/>
  </cols>
  <sheetData>
    <row r="1" spans="1:12" ht="23.4" x14ac:dyDescent="0.3">
      <c r="A1" s="1" t="s">
        <v>6436</v>
      </c>
      <c r="B1" s="1"/>
      <c r="C1" s="1"/>
      <c r="D1" s="1"/>
      <c r="E1" s="1"/>
      <c r="F1" s="1"/>
      <c r="G1" s="1"/>
      <c r="H1" s="1"/>
      <c r="I1" s="1"/>
      <c r="J1" s="618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618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608" t="s">
        <v>8</v>
      </c>
      <c r="G4" s="923"/>
      <c r="H4" s="7" t="s">
        <v>9</v>
      </c>
      <c r="I4" s="619" t="s">
        <v>5</v>
      </c>
      <c r="J4" s="619" t="s">
        <v>10</v>
      </c>
      <c r="K4" s="916"/>
      <c r="L4" s="1010"/>
    </row>
    <row r="5" spans="1:12" x14ac:dyDescent="0.3">
      <c r="A5" s="882">
        <v>220</v>
      </c>
      <c r="B5" s="998">
        <v>8329.4</v>
      </c>
      <c r="C5" s="982" t="s">
        <v>6468</v>
      </c>
      <c r="D5" s="873">
        <v>219</v>
      </c>
      <c r="E5" s="873">
        <v>8239.2000000000007</v>
      </c>
      <c r="F5" s="602" t="s">
        <v>6469</v>
      </c>
      <c r="G5" s="602">
        <v>501061</v>
      </c>
      <c r="H5" s="40"/>
      <c r="I5" s="602">
        <v>5</v>
      </c>
      <c r="J5" s="602">
        <v>182.6</v>
      </c>
      <c r="K5" s="1081">
        <f t="shared" ref="K5" si="0">+A5-D5</f>
        <v>1</v>
      </c>
      <c r="L5" s="879">
        <f t="shared" ref="L5" si="1">((+B5/A5)-(E5/D5))/(B5/A5)</f>
        <v>6.3123492918793706E-3</v>
      </c>
    </row>
    <row r="6" spans="1:12" ht="15" thickBot="1" x14ac:dyDescent="0.35">
      <c r="A6" s="884"/>
      <c r="B6" s="999"/>
      <c r="C6" s="983"/>
      <c r="D6" s="874"/>
      <c r="E6" s="874"/>
      <c r="F6" s="603" t="s">
        <v>6469</v>
      </c>
      <c r="G6" s="603">
        <v>501061</v>
      </c>
      <c r="H6" s="620"/>
      <c r="I6" s="603">
        <v>205</v>
      </c>
      <c r="J6" s="603">
        <v>7734.9</v>
      </c>
      <c r="K6" s="1082"/>
      <c r="L6" s="880"/>
    </row>
    <row r="7" spans="1:12" x14ac:dyDescent="0.3">
      <c r="A7" s="196">
        <f>SUM(A5:A6)</f>
        <v>220</v>
      </c>
      <c r="B7" s="634">
        <f>SUM(B5:B6)</f>
        <v>8329.4</v>
      </c>
      <c r="D7" s="196">
        <f>SUM(D5:D6)</f>
        <v>219</v>
      </c>
      <c r="E7" s="634">
        <f>SUM(E5:E6)</f>
        <v>8239.2000000000007</v>
      </c>
    </row>
  </sheetData>
  <mergeCells count="12">
    <mergeCell ref="K5:K6"/>
    <mergeCell ref="L5:L6"/>
    <mergeCell ref="A3:C3"/>
    <mergeCell ref="D3:E3"/>
    <mergeCell ref="G3:G4"/>
    <mergeCell ref="K3:K4"/>
    <mergeCell ref="L3:L4"/>
    <mergeCell ref="A5:A6"/>
    <mergeCell ref="B5:B6"/>
    <mergeCell ref="C5:C6"/>
    <mergeCell ref="D5:D6"/>
    <mergeCell ref="E5:E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13E29-56ED-4752-B122-4BE5F0D72BC8}">
  <dimension ref="A1:L10"/>
  <sheetViews>
    <sheetView zoomScale="90" zoomScaleNormal="90" workbookViewId="0">
      <selection activeCell="K7" sqref="K7:L8"/>
    </sheetView>
  </sheetViews>
  <sheetFormatPr baseColWidth="10" defaultColWidth="8.88671875" defaultRowHeight="14.4" x14ac:dyDescent="0.3"/>
  <cols>
    <col min="2" max="2" width="11.109375" bestFit="1" customWidth="1"/>
    <col min="3" max="3" width="10.33203125" bestFit="1" customWidth="1"/>
    <col min="4" max="4" width="12.44140625" customWidth="1"/>
    <col min="5" max="5" width="11.109375" bestFit="1" customWidth="1"/>
    <col min="7" max="7" width="12.109375" bestFit="1" customWidth="1"/>
    <col min="8" max="8" width="13.109375" bestFit="1" customWidth="1"/>
    <col min="12" max="12" width="11.33203125" bestFit="1" customWidth="1"/>
  </cols>
  <sheetData>
    <row r="1" spans="1:12" ht="23.4" x14ac:dyDescent="0.3">
      <c r="A1" s="1" t="s">
        <v>6470</v>
      </c>
      <c r="B1" s="1"/>
      <c r="C1" s="1"/>
      <c r="D1" s="1"/>
      <c r="E1" s="1"/>
      <c r="F1" s="1"/>
      <c r="G1" s="1"/>
      <c r="H1" s="1"/>
      <c r="I1" s="1"/>
      <c r="J1" s="618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618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89" t="s">
        <v>5</v>
      </c>
      <c r="B4" s="90" t="s">
        <v>6</v>
      </c>
      <c r="C4" s="91" t="s">
        <v>4</v>
      </c>
      <c r="D4" s="90" t="s">
        <v>7</v>
      </c>
      <c r="E4" s="91" t="s">
        <v>6</v>
      </c>
      <c r="F4" s="742" t="s">
        <v>8</v>
      </c>
      <c r="G4" s="916"/>
      <c r="H4" s="88" t="s">
        <v>9</v>
      </c>
      <c r="I4" s="756" t="s">
        <v>5</v>
      </c>
      <c r="J4" s="756" t="s">
        <v>10</v>
      </c>
      <c r="K4" s="916"/>
      <c r="L4" s="985"/>
    </row>
    <row r="5" spans="1:12" ht="15" thickBot="1" x14ac:dyDescent="0.35">
      <c r="A5" s="739">
        <v>145</v>
      </c>
      <c r="B5" s="751">
        <v>7654.5</v>
      </c>
      <c r="C5" s="755" t="s">
        <v>7141</v>
      </c>
      <c r="D5" s="736">
        <f t="shared" ref="D5:E5" si="0">+I5</f>
        <v>160</v>
      </c>
      <c r="E5" s="736">
        <f t="shared" si="0"/>
        <v>8134.4</v>
      </c>
      <c r="F5" s="736" t="s">
        <v>6471</v>
      </c>
      <c r="G5" s="736">
        <v>501071</v>
      </c>
      <c r="H5" s="754"/>
      <c r="I5" s="749">
        <v>160</v>
      </c>
      <c r="J5" s="749">
        <v>8134.4</v>
      </c>
      <c r="K5" s="633">
        <f t="shared" ref="K5" si="1">+A5-D5</f>
        <v>-15</v>
      </c>
      <c r="L5" s="746">
        <f t="shared" ref="L5" si="2">((+B5/A5)-(E5/D5))/(B5/A5)</f>
        <v>3.6932523352276543E-2</v>
      </c>
    </row>
    <row r="6" spans="1:12" ht="15" thickBot="1" x14ac:dyDescent="0.35">
      <c r="A6" s="50">
        <v>180</v>
      </c>
      <c r="B6" s="50">
        <v>9557.25</v>
      </c>
      <c r="C6" s="50" t="s">
        <v>7142</v>
      </c>
      <c r="D6" s="50">
        <f>+I6</f>
        <v>22</v>
      </c>
      <c r="E6" s="50">
        <f>+J6</f>
        <v>1131.8</v>
      </c>
      <c r="F6" s="50" t="s">
        <v>7143</v>
      </c>
      <c r="G6" s="50">
        <v>501081</v>
      </c>
      <c r="I6" s="50">
        <v>22</v>
      </c>
      <c r="J6" s="50">
        <v>1131.8</v>
      </c>
      <c r="K6" s="633">
        <f t="shared" ref="K6:K7" si="3">+A6-D6</f>
        <v>158</v>
      </c>
      <c r="L6" s="746">
        <f t="shared" ref="L6:L7" si="4">((+B6/A6)-(E6/D6))/(B6/A6)</f>
        <v>3.1083018841003583E-2</v>
      </c>
    </row>
    <row r="7" spans="1:12" x14ac:dyDescent="0.3">
      <c r="A7" s="871">
        <v>147</v>
      </c>
      <c r="B7" s="873">
        <v>7044.75</v>
      </c>
      <c r="C7" s="873" t="s">
        <v>7144</v>
      </c>
      <c r="D7" s="873">
        <f>+I7+I8</f>
        <v>147</v>
      </c>
      <c r="E7" s="873">
        <f>+J7+J8</f>
        <v>6940.6</v>
      </c>
      <c r="F7" s="748" t="s">
        <v>7145</v>
      </c>
      <c r="G7" s="748">
        <v>501161</v>
      </c>
      <c r="H7" s="40"/>
      <c r="I7" s="748">
        <v>70</v>
      </c>
      <c r="J7" s="748">
        <v>3299.6</v>
      </c>
      <c r="K7" s="1081">
        <f t="shared" si="3"/>
        <v>0</v>
      </c>
      <c r="L7" s="879">
        <f t="shared" si="4"/>
        <v>1.4784059051066415E-2</v>
      </c>
    </row>
    <row r="8" spans="1:12" ht="15" thickBot="1" x14ac:dyDescent="0.35">
      <c r="A8" s="872"/>
      <c r="B8" s="874"/>
      <c r="C8" s="874"/>
      <c r="D8" s="874"/>
      <c r="E8" s="874"/>
      <c r="F8" s="749" t="s">
        <v>7145</v>
      </c>
      <c r="G8" s="749">
        <v>501161</v>
      </c>
      <c r="H8" s="754"/>
      <c r="I8" s="749">
        <v>77</v>
      </c>
      <c r="J8" s="749">
        <v>3641</v>
      </c>
      <c r="K8" s="1082"/>
      <c r="L8" s="880"/>
    </row>
    <row r="10" spans="1:12" x14ac:dyDescent="0.3">
      <c r="A10" s="196">
        <f>SUM(A5:A9)</f>
        <v>472</v>
      </c>
      <c r="B10" s="634">
        <f>SUM(B5:B9)</f>
        <v>24256.5</v>
      </c>
      <c r="D10" s="196">
        <f>SUM(D5:D9)</f>
        <v>329</v>
      </c>
      <c r="E10" s="634">
        <f>SUM(E5:E9)</f>
        <v>16206.8</v>
      </c>
    </row>
  </sheetData>
  <mergeCells count="12">
    <mergeCell ref="A3:C3"/>
    <mergeCell ref="D3:E3"/>
    <mergeCell ref="G3:G4"/>
    <mergeCell ref="K3:K4"/>
    <mergeCell ref="L3:L4"/>
    <mergeCell ref="K7:K8"/>
    <mergeCell ref="L7:L8"/>
    <mergeCell ref="A7:A8"/>
    <mergeCell ref="B7:B8"/>
    <mergeCell ref="C7:C8"/>
    <mergeCell ref="D7:D8"/>
    <mergeCell ref="E7:E8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C54BD-E291-4130-BE07-D34FC2583726}">
  <dimension ref="A1:L9"/>
  <sheetViews>
    <sheetView zoomScale="80" zoomScaleNormal="80" workbookViewId="0">
      <selection activeCell="D36" sqref="D36"/>
    </sheetView>
  </sheetViews>
  <sheetFormatPr baseColWidth="10" defaultColWidth="8.88671875" defaultRowHeight="14.4" x14ac:dyDescent="0.3"/>
  <cols>
    <col min="2" max="2" width="11.33203125" bestFit="1" customWidth="1"/>
    <col min="3" max="3" width="10.6640625" bestFit="1" customWidth="1"/>
    <col min="5" max="5" width="12.6640625" customWidth="1"/>
    <col min="7" max="7" width="11.6640625" customWidth="1"/>
    <col min="8" max="8" width="17.44140625" customWidth="1"/>
    <col min="12" max="12" width="12" bestFit="1" customWidth="1"/>
  </cols>
  <sheetData>
    <row r="1" spans="1:12" ht="23.4" x14ac:dyDescent="0.3">
      <c r="A1" s="1" t="s">
        <v>7146</v>
      </c>
      <c r="B1" s="1"/>
      <c r="C1" s="1"/>
      <c r="D1" s="1"/>
      <c r="E1" s="1"/>
      <c r="F1" s="1"/>
      <c r="G1" s="1"/>
      <c r="H1" s="1"/>
      <c r="I1" s="1"/>
      <c r="J1" s="752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752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743" t="s">
        <v>8</v>
      </c>
      <c r="G4" s="923"/>
      <c r="H4" s="7" t="s">
        <v>9</v>
      </c>
      <c r="I4" s="753" t="s">
        <v>5</v>
      </c>
      <c r="J4" s="753" t="s">
        <v>10</v>
      </c>
      <c r="K4" s="916"/>
      <c r="L4" s="1010"/>
    </row>
    <row r="5" spans="1:12" ht="15" thickBot="1" x14ac:dyDescent="0.35">
      <c r="A5" s="207">
        <f>+D5</f>
        <v>100</v>
      </c>
      <c r="B5" s="791">
        <f>E5*1.035</f>
        <v>4587.6374999999998</v>
      </c>
      <c r="C5" s="186" t="s">
        <v>5655</v>
      </c>
      <c r="D5" s="45">
        <f t="shared" ref="D5:E7" si="0">+I5</f>
        <v>100</v>
      </c>
      <c r="E5" s="45">
        <f t="shared" si="0"/>
        <v>4432.5</v>
      </c>
      <c r="F5" s="8" t="s">
        <v>5656</v>
      </c>
      <c r="G5" s="8">
        <v>19811</v>
      </c>
      <c r="H5" s="14"/>
      <c r="I5" s="45">
        <v>100</v>
      </c>
      <c r="J5" s="45">
        <v>4432.5</v>
      </c>
      <c r="K5" s="633">
        <f t="shared" ref="K5" si="1">+A5-D5</f>
        <v>0</v>
      </c>
      <c r="L5" s="746">
        <f t="shared" ref="L5" si="2">((+B5/A5)-(E5/D5))/(B5/A5)</f>
        <v>3.3816425120772799E-2</v>
      </c>
    </row>
    <row r="6" spans="1:12" ht="15" thickBot="1" x14ac:dyDescent="0.35">
      <c r="A6" s="207">
        <f>+D6</f>
        <v>11</v>
      </c>
      <c r="B6" s="792">
        <f>E6*1.035</f>
        <v>429.73199999999997</v>
      </c>
      <c r="C6" s="186" t="s">
        <v>7147</v>
      </c>
      <c r="D6" s="45">
        <f t="shared" si="0"/>
        <v>11</v>
      </c>
      <c r="E6" s="45">
        <f t="shared" si="0"/>
        <v>415.2</v>
      </c>
      <c r="F6" s="45" t="s">
        <v>7148</v>
      </c>
      <c r="G6" s="45">
        <v>22701</v>
      </c>
      <c r="H6" s="45"/>
      <c r="I6" s="45">
        <v>11</v>
      </c>
      <c r="J6" s="45">
        <v>415.2</v>
      </c>
      <c r="K6" s="633">
        <f t="shared" ref="K6:K7" si="3">+A6-D6</f>
        <v>0</v>
      </c>
      <c r="L6" s="746">
        <f t="shared" ref="L6:L7" si="4">((+B6/A6)-(E6/D6))/(B6/A6)</f>
        <v>3.3816425120773035E-2</v>
      </c>
    </row>
    <row r="7" spans="1:12" ht="15" thickBot="1" x14ac:dyDescent="0.35">
      <c r="A7" s="178">
        <v>116</v>
      </c>
      <c r="B7" s="438">
        <v>5270.5</v>
      </c>
      <c r="C7" s="45" t="s">
        <v>7149</v>
      </c>
      <c r="D7" s="45">
        <f t="shared" si="0"/>
        <v>116</v>
      </c>
      <c r="E7" s="45">
        <f t="shared" si="0"/>
        <v>5310.5</v>
      </c>
      <c r="F7" s="45" t="s">
        <v>7150</v>
      </c>
      <c r="G7" s="45">
        <v>501121</v>
      </c>
      <c r="H7" s="45"/>
      <c r="I7" s="45">
        <v>116</v>
      </c>
      <c r="J7" s="45">
        <v>5310.5</v>
      </c>
      <c r="K7" s="633">
        <f t="shared" si="3"/>
        <v>0</v>
      </c>
      <c r="L7" s="746">
        <f t="shared" si="4"/>
        <v>-7.5894127691869895E-3</v>
      </c>
    </row>
    <row r="9" spans="1:12" x14ac:dyDescent="0.3">
      <c r="A9" s="196">
        <f>SUM(A5:A8)</f>
        <v>227</v>
      </c>
      <c r="B9" s="634">
        <f>SUM(B5:B8)</f>
        <v>10287.869500000001</v>
      </c>
      <c r="D9" s="196">
        <f>SUM(D5:D8)</f>
        <v>227</v>
      </c>
      <c r="E9" s="634">
        <f>SUM(E5:E8)</f>
        <v>10158.200000000001</v>
      </c>
    </row>
  </sheetData>
  <mergeCells count="5">
    <mergeCell ref="A3:C3"/>
    <mergeCell ref="D3:E3"/>
    <mergeCell ref="G3:G4"/>
    <mergeCell ref="K3:K4"/>
    <mergeCell ref="L3:L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50"/>
  <sheetViews>
    <sheetView zoomScale="80" zoomScaleNormal="80" workbookViewId="0">
      <pane ySplit="4" topLeftCell="A23" activePane="bottomLeft" state="frozen"/>
      <selection pane="bottomLeft" activeCell="D54" sqref="D54"/>
    </sheetView>
  </sheetViews>
  <sheetFormatPr baseColWidth="10" defaultColWidth="8.88671875" defaultRowHeight="14.4" x14ac:dyDescent="0.3"/>
  <cols>
    <col min="1" max="1" width="11" customWidth="1"/>
    <col min="2" max="2" width="13" bestFit="1" customWidth="1"/>
    <col min="3" max="3" width="9.5546875" bestFit="1" customWidth="1"/>
    <col min="4" max="4" width="11.33203125" bestFit="1" customWidth="1"/>
    <col min="5" max="5" width="13.109375" customWidth="1"/>
    <col min="8" max="8" width="13.109375" hidden="1" customWidth="1"/>
    <col min="9" max="9" width="6.33203125" hidden="1" customWidth="1"/>
    <col min="10" max="10" width="8.6640625" hidden="1" customWidth="1"/>
    <col min="12" max="12" width="12" bestFit="1" customWidth="1"/>
  </cols>
  <sheetData>
    <row r="1" spans="1:12" ht="23.4" x14ac:dyDescent="0.3">
      <c r="A1" s="1" t="s">
        <v>230</v>
      </c>
      <c r="B1" s="1"/>
      <c r="C1" s="1"/>
      <c r="D1" s="1"/>
      <c r="E1" s="1"/>
      <c r="F1" s="1"/>
      <c r="G1" s="1"/>
      <c r="H1" s="1"/>
      <c r="I1" s="1"/>
      <c r="J1" s="2"/>
    </row>
    <row r="2" spans="1:12" ht="24" thickBot="1" x14ac:dyDescent="0.35">
      <c r="A2" s="1"/>
      <c r="B2" s="1"/>
      <c r="C2" s="1"/>
      <c r="D2" s="1"/>
      <c r="E2" s="1"/>
      <c r="F2" s="1"/>
      <c r="G2" s="1"/>
      <c r="H2" s="1"/>
      <c r="I2" s="1"/>
      <c r="J2" s="2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67" t="s">
        <v>4</v>
      </c>
      <c r="I3" s="68"/>
      <c r="J3" s="68"/>
      <c r="K3" s="915" t="s">
        <v>91</v>
      </c>
      <c r="L3" s="984" t="s">
        <v>92</v>
      </c>
    </row>
    <row r="4" spans="1:12" ht="15" thickBot="1" x14ac:dyDescent="0.35">
      <c r="A4" s="89" t="s">
        <v>5</v>
      </c>
      <c r="B4" s="90" t="s">
        <v>6</v>
      </c>
      <c r="C4" s="91" t="s">
        <v>4</v>
      </c>
      <c r="D4" s="89" t="s">
        <v>7</v>
      </c>
      <c r="E4" s="91" t="s">
        <v>6</v>
      </c>
      <c r="F4" s="92" t="s">
        <v>8</v>
      </c>
      <c r="G4" s="916"/>
      <c r="H4" s="93" t="s">
        <v>9</v>
      </c>
      <c r="I4" s="92" t="s">
        <v>5</v>
      </c>
      <c r="J4" s="72" t="s">
        <v>10</v>
      </c>
      <c r="K4" s="916"/>
      <c r="L4" s="985"/>
    </row>
    <row r="5" spans="1:12" x14ac:dyDescent="0.3">
      <c r="A5" s="891">
        <v>233</v>
      </c>
      <c r="B5" s="978">
        <v>9567.480963</v>
      </c>
      <c r="C5" s="894" t="s">
        <v>231</v>
      </c>
      <c r="D5" s="905">
        <f>+I5+I6</f>
        <v>215</v>
      </c>
      <c r="E5" s="905">
        <f>+J5+J6</f>
        <v>8666.5</v>
      </c>
      <c r="F5" s="29" t="s">
        <v>232</v>
      </c>
      <c r="G5" s="29">
        <v>85431</v>
      </c>
      <c r="H5" s="38"/>
      <c r="I5" s="12">
        <v>96</v>
      </c>
      <c r="J5" s="13">
        <v>3838.8</v>
      </c>
      <c r="K5" s="877">
        <f>+A5-D5</f>
        <v>18</v>
      </c>
      <c r="L5" s="879">
        <f>((+B5/A5)-(E5/D5))/(B5/A5)</f>
        <v>1.8334347548524716E-2</v>
      </c>
    </row>
    <row r="6" spans="1:12" ht="15" thickBot="1" x14ac:dyDescent="0.35">
      <c r="A6" s="892"/>
      <c r="B6" s="979"/>
      <c r="C6" s="895"/>
      <c r="D6" s="906"/>
      <c r="E6" s="906"/>
      <c r="F6" s="30" t="s">
        <v>232</v>
      </c>
      <c r="G6" s="30">
        <v>85431</v>
      </c>
      <c r="H6" s="81"/>
      <c r="I6" s="15">
        <v>119</v>
      </c>
      <c r="J6" s="16">
        <v>4827.7</v>
      </c>
      <c r="K6" s="878"/>
      <c r="L6" s="880"/>
    </row>
    <row r="7" spans="1:12" x14ac:dyDescent="0.3">
      <c r="A7" s="891">
        <v>339</v>
      </c>
      <c r="B7" s="894">
        <v>13760.75</v>
      </c>
      <c r="C7" s="894" t="s">
        <v>233</v>
      </c>
      <c r="D7" s="905">
        <f>+I7+I8</f>
        <v>339</v>
      </c>
      <c r="E7" s="905">
        <f>+J7+J8</f>
        <v>13053.699999999999</v>
      </c>
      <c r="F7" s="29" t="s">
        <v>234</v>
      </c>
      <c r="G7" s="29">
        <v>85821</v>
      </c>
      <c r="H7" s="38"/>
      <c r="I7" s="12">
        <v>99</v>
      </c>
      <c r="J7" s="13">
        <v>3723.9</v>
      </c>
      <c r="K7" s="877">
        <f>+A7-D7</f>
        <v>0</v>
      </c>
      <c r="L7" s="879">
        <f t="shared" ref="L7" si="0">(+B7-E7)/B7</f>
        <v>5.1381647075922542E-2</v>
      </c>
    </row>
    <row r="8" spans="1:12" ht="15" thickBot="1" x14ac:dyDescent="0.35">
      <c r="A8" s="893"/>
      <c r="B8" s="896"/>
      <c r="C8" s="896"/>
      <c r="D8" s="907"/>
      <c r="E8" s="907"/>
      <c r="F8" s="28" t="s">
        <v>234</v>
      </c>
      <c r="G8" s="28">
        <v>85821</v>
      </c>
      <c r="H8" s="82"/>
      <c r="I8" s="10">
        <v>240</v>
      </c>
      <c r="J8" s="11">
        <v>9329.7999999999993</v>
      </c>
      <c r="K8" s="878"/>
      <c r="L8" s="880"/>
    </row>
    <row r="9" spans="1:12" ht="15" thickBot="1" x14ac:dyDescent="0.35">
      <c r="A9" s="25">
        <v>499</v>
      </c>
      <c r="B9" s="26">
        <v>22058.25</v>
      </c>
      <c r="C9" s="26" t="s">
        <v>235</v>
      </c>
      <c r="D9" s="30">
        <f>+I9</f>
        <v>499</v>
      </c>
      <c r="E9" s="30">
        <f>+J9</f>
        <v>20009.599999999999</v>
      </c>
      <c r="F9" s="30" t="s">
        <v>236</v>
      </c>
      <c r="G9" s="30">
        <v>86371</v>
      </c>
      <c r="H9" s="81"/>
      <c r="I9" s="15">
        <v>499</v>
      </c>
      <c r="J9" s="16">
        <v>20009.599999999999</v>
      </c>
      <c r="K9" s="57">
        <f t="shared" ref="K9:K12" si="1">+A9-D9</f>
        <v>0</v>
      </c>
      <c r="L9" s="32">
        <f t="shared" ref="L9:L10" si="2">(+B9-E9)/B9</f>
        <v>9.2874548071583254E-2</v>
      </c>
    </row>
    <row r="10" spans="1:12" x14ac:dyDescent="0.3">
      <c r="A10" s="891">
        <v>280</v>
      </c>
      <c r="B10" s="894">
        <v>11862.4</v>
      </c>
      <c r="C10" s="894" t="s">
        <v>237</v>
      </c>
      <c r="D10" s="905">
        <f>+I10+I11</f>
        <v>280</v>
      </c>
      <c r="E10" s="905">
        <f>+J10+J11</f>
        <v>10804.2</v>
      </c>
      <c r="F10" s="29" t="s">
        <v>238</v>
      </c>
      <c r="G10" s="29">
        <v>86771</v>
      </c>
      <c r="H10" s="38"/>
      <c r="I10" s="12">
        <v>150</v>
      </c>
      <c r="J10" s="13">
        <v>5749.9</v>
      </c>
      <c r="K10" s="877">
        <f t="shared" si="1"/>
        <v>0</v>
      </c>
      <c r="L10" s="879">
        <f t="shared" si="2"/>
        <v>8.9206231454005844E-2</v>
      </c>
    </row>
    <row r="11" spans="1:12" ht="15" thickBot="1" x14ac:dyDescent="0.35">
      <c r="A11" s="893"/>
      <c r="B11" s="896"/>
      <c r="C11" s="896"/>
      <c r="D11" s="907"/>
      <c r="E11" s="907"/>
      <c r="F11" s="28" t="s">
        <v>238</v>
      </c>
      <c r="G11" s="28">
        <v>86771</v>
      </c>
      <c r="H11" s="82"/>
      <c r="I11" s="10">
        <v>130</v>
      </c>
      <c r="J11" s="11">
        <v>5054.3</v>
      </c>
      <c r="K11" s="878"/>
      <c r="L11" s="880"/>
    </row>
    <row r="12" spans="1:12" x14ac:dyDescent="0.3">
      <c r="A12" s="891">
        <v>295</v>
      </c>
      <c r="B12" s="894">
        <v>13071.1</v>
      </c>
      <c r="C12" s="894" t="s">
        <v>239</v>
      </c>
      <c r="D12" s="905">
        <f>+I12+I13+I14</f>
        <v>295</v>
      </c>
      <c r="E12" s="905">
        <f>+J12+J13+J14</f>
        <v>12200.1</v>
      </c>
      <c r="F12" s="29" t="s">
        <v>240</v>
      </c>
      <c r="G12" s="29">
        <v>87001</v>
      </c>
      <c r="H12" s="38"/>
      <c r="I12" s="12">
        <v>70</v>
      </c>
      <c r="J12" s="13">
        <v>2855.3</v>
      </c>
      <c r="K12" s="877">
        <f t="shared" si="1"/>
        <v>0</v>
      </c>
      <c r="L12" s="879">
        <f>(+B12-E12)/B12</f>
        <v>6.6635554773507966E-2</v>
      </c>
    </row>
    <row r="13" spans="1:12" x14ac:dyDescent="0.3">
      <c r="A13" s="892"/>
      <c r="B13" s="895"/>
      <c r="C13" s="895"/>
      <c r="D13" s="906"/>
      <c r="E13" s="906"/>
      <c r="F13" s="30" t="s">
        <v>240</v>
      </c>
      <c r="G13" s="30">
        <v>87001</v>
      </c>
      <c r="H13" s="81"/>
      <c r="I13" s="15">
        <v>100</v>
      </c>
      <c r="J13" s="37">
        <v>4330.5</v>
      </c>
      <c r="K13" s="886"/>
      <c r="L13" s="885"/>
    </row>
    <row r="14" spans="1:12" ht="15" thickBot="1" x14ac:dyDescent="0.35">
      <c r="A14" s="893"/>
      <c r="B14" s="896"/>
      <c r="C14" s="896"/>
      <c r="D14" s="907"/>
      <c r="E14" s="907"/>
      <c r="F14" s="28" t="s">
        <v>240</v>
      </c>
      <c r="G14" s="28">
        <v>87001</v>
      </c>
      <c r="H14" s="82"/>
      <c r="I14" s="15">
        <v>125</v>
      </c>
      <c r="J14" s="37">
        <v>5014.3</v>
      </c>
      <c r="K14" s="878"/>
      <c r="L14" s="880"/>
    </row>
    <row r="15" spans="1:12" x14ac:dyDescent="0.3">
      <c r="A15" s="891">
        <v>365</v>
      </c>
      <c r="B15" s="894">
        <v>16037.8</v>
      </c>
      <c r="C15" s="894" t="s">
        <v>361</v>
      </c>
      <c r="D15" s="905">
        <f>+I15+I16</f>
        <v>365</v>
      </c>
      <c r="E15" s="905">
        <f>+J15+J16</f>
        <v>15413.8</v>
      </c>
      <c r="F15" s="29" t="s">
        <v>362</v>
      </c>
      <c r="G15" s="29">
        <v>87131</v>
      </c>
      <c r="H15" s="38"/>
      <c r="I15" s="12">
        <v>200</v>
      </c>
      <c r="J15" s="137">
        <v>8455.6</v>
      </c>
      <c r="K15" s="56">
        <f t="shared" ref="K15:K19" si="3">+A15-D15</f>
        <v>0</v>
      </c>
      <c r="L15" s="879">
        <f t="shared" ref="L15:L17" si="4">(+B15-E15)/B15</f>
        <v>3.8908079661799003E-2</v>
      </c>
    </row>
    <row r="16" spans="1:12" ht="15" thickBot="1" x14ac:dyDescent="0.35">
      <c r="A16" s="893"/>
      <c r="B16" s="896"/>
      <c r="C16" s="896"/>
      <c r="D16" s="907"/>
      <c r="E16" s="907"/>
      <c r="F16" s="28" t="s">
        <v>362</v>
      </c>
      <c r="G16" s="28">
        <v>87131</v>
      </c>
      <c r="H16" s="82"/>
      <c r="I16" s="10">
        <v>165</v>
      </c>
      <c r="J16" s="36">
        <v>6958.2</v>
      </c>
      <c r="K16" s="55"/>
      <c r="L16" s="880"/>
    </row>
    <row r="17" spans="1:12" x14ac:dyDescent="0.3">
      <c r="A17" s="892">
        <v>259</v>
      </c>
      <c r="B17" s="895">
        <v>11274</v>
      </c>
      <c r="C17" s="895" t="s">
        <v>363</v>
      </c>
      <c r="D17" s="906">
        <f>+I17+I18</f>
        <v>259</v>
      </c>
      <c r="E17" s="906">
        <f>+J17+J18</f>
        <v>11323.5</v>
      </c>
      <c r="F17" s="30" t="s">
        <v>364</v>
      </c>
      <c r="G17" s="30">
        <v>87201</v>
      </c>
      <c r="H17" s="81"/>
      <c r="I17" s="15">
        <v>133</v>
      </c>
      <c r="J17" s="16">
        <v>5798.4</v>
      </c>
      <c r="K17" s="57">
        <f t="shared" si="3"/>
        <v>0</v>
      </c>
      <c r="L17" s="879">
        <f t="shared" si="4"/>
        <v>-4.3906333155934009E-3</v>
      </c>
    </row>
    <row r="18" spans="1:12" ht="15" thickBot="1" x14ac:dyDescent="0.35">
      <c r="A18" s="892"/>
      <c r="B18" s="895"/>
      <c r="C18" s="895"/>
      <c r="D18" s="906"/>
      <c r="E18" s="906"/>
      <c r="F18" s="30" t="s">
        <v>364</v>
      </c>
      <c r="G18" s="30">
        <v>87201</v>
      </c>
      <c r="H18" s="81"/>
      <c r="I18" s="15">
        <v>126</v>
      </c>
      <c r="J18" s="16">
        <v>5525.1</v>
      </c>
      <c r="K18" s="57"/>
      <c r="L18" s="885"/>
    </row>
    <row r="19" spans="1:12" ht="15" thickBot="1" x14ac:dyDescent="0.35">
      <c r="A19" s="23">
        <v>362</v>
      </c>
      <c r="B19" s="24">
        <v>15962.25</v>
      </c>
      <c r="C19" s="24" t="s">
        <v>365</v>
      </c>
      <c r="D19" s="29">
        <f>+I19</f>
        <v>362</v>
      </c>
      <c r="E19" s="29">
        <f>+J19</f>
        <v>15336.4</v>
      </c>
      <c r="F19" s="29" t="s">
        <v>366</v>
      </c>
      <c r="G19" s="29">
        <v>87321</v>
      </c>
      <c r="H19" s="38"/>
      <c r="I19" s="12">
        <v>362</v>
      </c>
      <c r="J19" s="12">
        <v>15336.4</v>
      </c>
      <c r="K19" s="56">
        <f t="shared" si="3"/>
        <v>0</v>
      </c>
      <c r="L19" s="32">
        <f t="shared" ref="L19" si="5">(+B19-E19)/B19</f>
        <v>3.9208131685695959E-2</v>
      </c>
    </row>
    <row r="20" spans="1:12" x14ac:dyDescent="0.3">
      <c r="A20" s="891">
        <v>755</v>
      </c>
      <c r="B20" s="894">
        <v>30337</v>
      </c>
      <c r="C20" s="894" t="s">
        <v>367</v>
      </c>
      <c r="D20" s="905">
        <f>+I20+I22+I21</f>
        <v>756</v>
      </c>
      <c r="E20" s="905">
        <f>+J20+J22+J21</f>
        <v>29007.1</v>
      </c>
      <c r="F20" s="29" t="s">
        <v>368</v>
      </c>
      <c r="G20" s="29">
        <v>87591</v>
      </c>
      <c r="H20" s="38"/>
      <c r="I20" s="12">
        <v>74</v>
      </c>
      <c r="J20" s="12">
        <v>2807.5</v>
      </c>
      <c r="K20" s="877">
        <f>+A20-D20</f>
        <v>-1</v>
      </c>
      <c r="L20" s="879">
        <f>((+B20/A20)-(E20/D20))/(B20/A20)</f>
        <v>4.5102323232164641E-2</v>
      </c>
    </row>
    <row r="21" spans="1:12" x14ac:dyDescent="0.3">
      <c r="A21" s="892"/>
      <c r="B21" s="895"/>
      <c r="C21" s="895"/>
      <c r="D21" s="906"/>
      <c r="E21" s="906"/>
      <c r="F21" s="30" t="s">
        <v>368</v>
      </c>
      <c r="G21" s="30">
        <v>87591</v>
      </c>
      <c r="H21" s="81"/>
      <c r="I21" s="15">
        <v>264</v>
      </c>
      <c r="J21" s="15">
        <v>10476.5</v>
      </c>
      <c r="K21" s="886"/>
      <c r="L21" s="885"/>
    </row>
    <row r="22" spans="1:12" ht="15" thickBot="1" x14ac:dyDescent="0.35">
      <c r="A22" s="893"/>
      <c r="B22" s="896"/>
      <c r="C22" s="896"/>
      <c r="D22" s="907"/>
      <c r="E22" s="907"/>
      <c r="F22" s="28" t="s">
        <v>368</v>
      </c>
      <c r="G22" s="28">
        <v>87591</v>
      </c>
      <c r="H22" s="82"/>
      <c r="I22" s="10">
        <v>418</v>
      </c>
      <c r="J22" s="10">
        <v>15723.1</v>
      </c>
      <c r="K22" s="878"/>
      <c r="L22" s="880"/>
    </row>
    <row r="23" spans="1:12" x14ac:dyDescent="0.3">
      <c r="A23" s="891">
        <v>632</v>
      </c>
      <c r="B23" s="894">
        <v>26595</v>
      </c>
      <c r="C23" s="894" t="s">
        <v>525</v>
      </c>
      <c r="D23" s="905">
        <f>+I23+I24+I25</f>
        <v>632</v>
      </c>
      <c r="E23" s="905">
        <f>+J23+J24+J25</f>
        <v>25364.2</v>
      </c>
      <c r="F23" s="29" t="s">
        <v>526</v>
      </c>
      <c r="G23" s="29">
        <v>87711</v>
      </c>
      <c r="H23" s="38"/>
      <c r="I23" s="12">
        <v>132</v>
      </c>
      <c r="J23" s="12">
        <v>5584.1</v>
      </c>
      <c r="K23" s="877">
        <f>+A23-D23</f>
        <v>0</v>
      </c>
      <c r="L23" s="879">
        <f t="shared" ref="L23" si="6">(+B23-E23)/B23</f>
        <v>4.6279375822523006E-2</v>
      </c>
    </row>
    <row r="24" spans="1:12" x14ac:dyDescent="0.3">
      <c r="A24" s="892"/>
      <c r="B24" s="895"/>
      <c r="C24" s="895"/>
      <c r="D24" s="906"/>
      <c r="E24" s="906"/>
      <c r="F24" s="30" t="s">
        <v>526</v>
      </c>
      <c r="G24" s="30">
        <v>87711</v>
      </c>
      <c r="H24" s="81"/>
      <c r="I24" s="15">
        <v>400</v>
      </c>
      <c r="J24" s="15">
        <v>15869.9</v>
      </c>
      <c r="K24" s="886"/>
      <c r="L24" s="885"/>
    </row>
    <row r="25" spans="1:12" ht="15" thickBot="1" x14ac:dyDescent="0.35">
      <c r="A25" s="893"/>
      <c r="B25" s="896"/>
      <c r="C25" s="896"/>
      <c r="D25" s="907"/>
      <c r="E25" s="907"/>
      <c r="F25" s="28" t="s">
        <v>526</v>
      </c>
      <c r="G25" s="28">
        <v>87711</v>
      </c>
      <c r="H25" s="82"/>
      <c r="I25" s="10">
        <v>100</v>
      </c>
      <c r="J25" s="10">
        <v>3910.2</v>
      </c>
      <c r="K25" s="878"/>
      <c r="L25" s="880"/>
    </row>
    <row r="26" spans="1:12" ht="15" thickBot="1" x14ac:dyDescent="0.35">
      <c r="A26" s="19">
        <v>519</v>
      </c>
      <c r="B26" s="20">
        <v>24673.75</v>
      </c>
      <c r="C26" s="20" t="s">
        <v>527</v>
      </c>
      <c r="D26" s="27">
        <f t="shared" ref="D26:E27" si="7">+I26</f>
        <v>519</v>
      </c>
      <c r="E26" s="27">
        <f t="shared" si="7"/>
        <v>23558.400000000001</v>
      </c>
      <c r="F26" s="27" t="s">
        <v>528</v>
      </c>
      <c r="G26" s="27">
        <v>88031</v>
      </c>
      <c r="H26" s="80"/>
      <c r="I26" s="8">
        <v>519</v>
      </c>
      <c r="J26" s="8">
        <v>23558.400000000001</v>
      </c>
      <c r="K26" s="56">
        <f t="shared" ref="K26:K29" si="8">+A26-D26</f>
        <v>0</v>
      </c>
      <c r="L26" s="32">
        <f t="shared" ref="L26:L31" si="9">(+B26-E26)/B26</f>
        <v>4.5203911039059672E-2</v>
      </c>
    </row>
    <row r="27" spans="1:12" ht="15" thickBot="1" x14ac:dyDescent="0.35">
      <c r="A27" s="19">
        <v>356</v>
      </c>
      <c r="B27" s="20">
        <v>13956.75</v>
      </c>
      <c r="C27" s="20" t="s">
        <v>529</v>
      </c>
      <c r="D27" s="27">
        <f t="shared" si="7"/>
        <v>353</v>
      </c>
      <c r="E27" s="27">
        <f t="shared" si="7"/>
        <v>12949.1</v>
      </c>
      <c r="F27" s="27" t="s">
        <v>530</v>
      </c>
      <c r="G27" s="27">
        <v>88141</v>
      </c>
      <c r="H27" s="80"/>
      <c r="I27" s="8">
        <v>353</v>
      </c>
      <c r="J27" s="8">
        <v>12949.1</v>
      </c>
      <c r="K27" s="54">
        <f t="shared" si="8"/>
        <v>3</v>
      </c>
      <c r="L27" s="31">
        <f>((+B27/A27)-(E27/D27))/(B27/A27)</f>
        <v>6.4313037884995816E-2</v>
      </c>
    </row>
    <row r="28" spans="1:12" ht="15" thickBot="1" x14ac:dyDescent="0.35">
      <c r="A28" s="19">
        <v>450</v>
      </c>
      <c r="B28" s="20">
        <v>18729.2</v>
      </c>
      <c r="C28" s="20" t="s">
        <v>633</v>
      </c>
      <c r="D28" s="27">
        <f t="shared" ref="D28:E29" si="10">+I28</f>
        <v>450</v>
      </c>
      <c r="E28" s="27">
        <f t="shared" si="10"/>
        <v>17882.099999999999</v>
      </c>
      <c r="F28" s="27" t="s">
        <v>634</v>
      </c>
      <c r="G28" s="27">
        <v>88241</v>
      </c>
      <c r="H28" s="80"/>
      <c r="I28" s="8">
        <v>450</v>
      </c>
      <c r="J28" s="9">
        <v>17882.099999999999</v>
      </c>
      <c r="K28" s="54">
        <f t="shared" si="8"/>
        <v>0</v>
      </c>
      <c r="L28" s="32">
        <f t="shared" si="9"/>
        <v>4.5228840527091502E-2</v>
      </c>
    </row>
    <row r="29" spans="1:12" ht="15" thickBot="1" x14ac:dyDescent="0.35">
      <c r="A29" s="19">
        <v>300</v>
      </c>
      <c r="B29" s="20">
        <v>14362.75</v>
      </c>
      <c r="C29" s="20" t="s">
        <v>635</v>
      </c>
      <c r="D29" s="27">
        <f t="shared" si="10"/>
        <v>300</v>
      </c>
      <c r="E29" s="27">
        <f t="shared" si="10"/>
        <v>13916.8</v>
      </c>
      <c r="F29" s="27" t="s">
        <v>636</v>
      </c>
      <c r="G29" s="27">
        <v>88321</v>
      </c>
      <c r="H29" s="80"/>
      <c r="I29" s="8">
        <v>300</v>
      </c>
      <c r="J29" s="9">
        <v>13916.8</v>
      </c>
      <c r="K29" s="54">
        <f t="shared" si="8"/>
        <v>0</v>
      </c>
      <c r="L29" s="53">
        <f t="shared" si="9"/>
        <v>3.1049067901342063E-2</v>
      </c>
    </row>
    <row r="30" spans="1:12" ht="15" thickBot="1" x14ac:dyDescent="0.35">
      <c r="A30" s="19">
        <v>607</v>
      </c>
      <c r="B30" s="20">
        <v>28944</v>
      </c>
      <c r="C30" s="20" t="s">
        <v>767</v>
      </c>
      <c r="D30" s="27">
        <v>606</v>
      </c>
      <c r="E30" s="27">
        <v>28425.9</v>
      </c>
      <c r="F30" s="27" t="s">
        <v>768</v>
      </c>
      <c r="G30" s="27">
        <v>88411</v>
      </c>
      <c r="H30" s="80"/>
      <c r="I30" s="8">
        <v>99</v>
      </c>
      <c r="J30" s="9">
        <v>4545.1000000000004</v>
      </c>
      <c r="K30" s="54">
        <f t="shared" ref="K30:K33" si="11">+A30-D30</f>
        <v>1</v>
      </c>
      <c r="L30" s="31">
        <f>((+B30/A30)-(E30/D30))/(B30/A30)</f>
        <v>1.6279455992862846E-2</v>
      </c>
    </row>
    <row r="31" spans="1:12" x14ac:dyDescent="0.3">
      <c r="A31" s="882">
        <v>300</v>
      </c>
      <c r="B31" s="982">
        <v>14488.5</v>
      </c>
      <c r="C31" s="982" t="s">
        <v>1061</v>
      </c>
      <c r="D31" s="873">
        <f>+I31+I32</f>
        <v>300</v>
      </c>
      <c r="E31" s="873">
        <f>+J31+J32</f>
        <v>14075.6</v>
      </c>
      <c r="F31" s="12" t="s">
        <v>1062</v>
      </c>
      <c r="G31" s="12">
        <v>89021</v>
      </c>
      <c r="H31" s="38"/>
      <c r="I31" s="12">
        <v>200</v>
      </c>
      <c r="J31" s="13">
        <v>9447.6</v>
      </c>
      <c r="K31" s="877">
        <f t="shared" si="11"/>
        <v>0</v>
      </c>
      <c r="L31" s="879">
        <f t="shared" si="9"/>
        <v>2.849846429927181E-2</v>
      </c>
    </row>
    <row r="32" spans="1:12" ht="15" thickBot="1" x14ac:dyDescent="0.35">
      <c r="A32" s="883"/>
      <c r="B32" s="1005"/>
      <c r="C32" s="1005"/>
      <c r="D32" s="881"/>
      <c r="E32" s="881"/>
      <c r="F32" s="15" t="s">
        <v>1062</v>
      </c>
      <c r="G32" s="15">
        <v>89021</v>
      </c>
      <c r="H32" s="81"/>
      <c r="I32" s="15">
        <v>100</v>
      </c>
      <c r="J32" s="16">
        <v>4628</v>
      </c>
      <c r="K32" s="878"/>
      <c r="L32" s="880"/>
    </row>
    <row r="33" spans="1:12" ht="15" thickBot="1" x14ac:dyDescent="0.35">
      <c r="A33" s="26">
        <v>300</v>
      </c>
      <c r="B33" s="26">
        <v>14714.25</v>
      </c>
      <c r="C33" s="26" t="s">
        <v>902</v>
      </c>
      <c r="D33" s="30">
        <v>301</v>
      </c>
      <c r="E33" s="30">
        <v>14191</v>
      </c>
      <c r="F33" s="30" t="s">
        <v>903</v>
      </c>
      <c r="G33" s="30">
        <v>89181</v>
      </c>
      <c r="H33" s="81"/>
      <c r="I33" s="15"/>
      <c r="J33" s="15"/>
      <c r="K33" s="56">
        <f t="shared" si="11"/>
        <v>-1</v>
      </c>
      <c r="L33" s="31">
        <f>((+B33/A33)-(E33/D33))/(B33/A33)</f>
        <v>3.8764882980919346E-2</v>
      </c>
    </row>
    <row r="34" spans="1:12" ht="15" thickBot="1" x14ac:dyDescent="0.35">
      <c r="A34" s="19">
        <v>300</v>
      </c>
      <c r="B34" s="20">
        <v>13281.4</v>
      </c>
      <c r="C34" s="20" t="s">
        <v>839</v>
      </c>
      <c r="D34" s="27">
        <v>300</v>
      </c>
      <c r="E34" s="27">
        <v>12761</v>
      </c>
      <c r="F34" s="27" t="s">
        <v>840</v>
      </c>
      <c r="G34" s="27">
        <v>89361</v>
      </c>
      <c r="H34" s="80"/>
      <c r="I34" s="8"/>
      <c r="J34" s="8"/>
      <c r="K34" s="54">
        <f t="shared" ref="K34:K35" si="12">+A34-D34</f>
        <v>0</v>
      </c>
      <c r="L34" s="53">
        <f t="shared" ref="L34:L37" si="13">(+B34-E34)/B34</f>
        <v>3.9182616290451285E-2</v>
      </c>
    </row>
    <row r="35" spans="1:12" x14ac:dyDescent="0.3">
      <c r="A35" s="882">
        <v>132</v>
      </c>
      <c r="B35" s="982">
        <v>6093</v>
      </c>
      <c r="C35" s="982" t="s">
        <v>1063</v>
      </c>
      <c r="D35" s="873">
        <f>+I35+I36</f>
        <v>132</v>
      </c>
      <c r="E35" s="873">
        <f>+J35+J36</f>
        <v>5832.3</v>
      </c>
      <c r="F35" s="12" t="s">
        <v>1064</v>
      </c>
      <c r="G35" s="12">
        <v>89581</v>
      </c>
      <c r="H35" s="38"/>
      <c r="I35" s="12">
        <v>100</v>
      </c>
      <c r="J35" s="13">
        <v>4440.6000000000004</v>
      </c>
      <c r="K35" s="877">
        <f t="shared" si="12"/>
        <v>0</v>
      </c>
      <c r="L35" s="879">
        <f t="shared" si="13"/>
        <v>4.2786804529788253E-2</v>
      </c>
    </row>
    <row r="36" spans="1:12" ht="15" thickBot="1" x14ac:dyDescent="0.35">
      <c r="A36" s="884"/>
      <c r="B36" s="983"/>
      <c r="C36" s="983"/>
      <c r="D36" s="874"/>
      <c r="E36" s="874"/>
      <c r="F36" s="10" t="s">
        <v>1064</v>
      </c>
      <c r="G36" s="10">
        <v>89581</v>
      </c>
      <c r="H36" s="82"/>
      <c r="I36" s="10">
        <v>32</v>
      </c>
      <c r="J36" s="11">
        <v>1391.7</v>
      </c>
      <c r="K36" s="878"/>
      <c r="L36" s="880"/>
    </row>
    <row r="37" spans="1:12" ht="15" thickBot="1" x14ac:dyDescent="0.35">
      <c r="A37" s="190">
        <v>490</v>
      </c>
      <c r="B37" s="161">
        <v>22593.25</v>
      </c>
      <c r="C37" s="161" t="s">
        <v>1065</v>
      </c>
      <c r="D37" s="8">
        <v>490</v>
      </c>
      <c r="E37" s="8">
        <v>21567.7</v>
      </c>
      <c r="F37" s="8" t="s">
        <v>1066</v>
      </c>
      <c r="G37" s="8">
        <v>89831</v>
      </c>
      <c r="H37" s="80"/>
      <c r="I37" s="8">
        <v>368</v>
      </c>
      <c r="J37" s="9">
        <v>16024.8</v>
      </c>
      <c r="K37" s="54">
        <f t="shared" ref="K37:K41" si="14">+A37-D37</f>
        <v>0</v>
      </c>
      <c r="L37" s="53">
        <f t="shared" si="13"/>
        <v>4.5391875892135891E-2</v>
      </c>
    </row>
    <row r="38" spans="1:12" x14ac:dyDescent="0.3">
      <c r="A38" s="982">
        <v>257</v>
      </c>
      <c r="B38" s="982">
        <v>11056.75</v>
      </c>
      <c r="C38" s="982" t="s">
        <v>1134</v>
      </c>
      <c r="D38" s="873">
        <f>+I38+I39</f>
        <v>252</v>
      </c>
      <c r="E38" s="873">
        <f>+J38+J39</f>
        <v>10394.6</v>
      </c>
      <c r="F38" s="12" t="s">
        <v>1135</v>
      </c>
      <c r="G38" s="12">
        <v>90131</v>
      </c>
      <c r="H38" s="38"/>
      <c r="I38" s="12">
        <v>78</v>
      </c>
      <c r="J38" s="13">
        <v>3355.4</v>
      </c>
      <c r="K38" s="877">
        <f t="shared" si="14"/>
        <v>5</v>
      </c>
      <c r="L38" s="879">
        <f t="shared" ref="L38:L41" si="15">((+B38/A38)-(E38/D38))/(B38/A38)</f>
        <v>4.1233448934626882E-2</v>
      </c>
    </row>
    <row r="39" spans="1:12" ht="15" thickBot="1" x14ac:dyDescent="0.35">
      <c r="A39" s="983"/>
      <c r="B39" s="983"/>
      <c r="C39" s="983"/>
      <c r="D39" s="874"/>
      <c r="E39" s="874"/>
      <c r="F39" s="10" t="s">
        <v>1135</v>
      </c>
      <c r="G39" s="10">
        <v>90131</v>
      </c>
      <c r="H39" s="82"/>
      <c r="I39" s="10">
        <v>174</v>
      </c>
      <c r="J39" s="11">
        <v>7039.2</v>
      </c>
      <c r="K39" s="878"/>
      <c r="L39" s="880" t="e">
        <f t="shared" si="15"/>
        <v>#DIV/0!</v>
      </c>
    </row>
    <row r="40" spans="1:12" ht="15" thickBot="1" x14ac:dyDescent="0.35">
      <c r="A40" s="175">
        <v>336</v>
      </c>
      <c r="B40" s="8">
        <v>16804.25</v>
      </c>
      <c r="C40" s="8" t="s">
        <v>1529</v>
      </c>
      <c r="D40" s="8">
        <f>+I40</f>
        <v>334</v>
      </c>
      <c r="E40" s="8">
        <f>+J40</f>
        <v>15284.3</v>
      </c>
      <c r="F40" s="8" t="s">
        <v>1530</v>
      </c>
      <c r="G40" s="8">
        <v>90441</v>
      </c>
      <c r="H40" s="80"/>
      <c r="I40" s="8">
        <v>334</v>
      </c>
      <c r="J40" s="9">
        <v>15284.3</v>
      </c>
      <c r="K40" s="54">
        <f t="shared" si="14"/>
        <v>2</v>
      </c>
      <c r="L40" s="31">
        <f t="shared" si="15"/>
        <v>8.5003927310590019E-2</v>
      </c>
    </row>
    <row r="41" spans="1:12" ht="15" thickBot="1" x14ac:dyDescent="0.35">
      <c r="A41" s="175">
        <v>788</v>
      </c>
      <c r="B41" s="8">
        <v>34294.699999999997</v>
      </c>
      <c r="C41" s="8" t="s">
        <v>1531</v>
      </c>
      <c r="D41" s="8">
        <v>786</v>
      </c>
      <c r="E41" s="8">
        <v>32405</v>
      </c>
      <c r="F41" s="8" t="s">
        <v>1532</v>
      </c>
      <c r="G41" s="8">
        <v>90551</v>
      </c>
      <c r="H41" s="80"/>
      <c r="I41" s="8">
        <v>200</v>
      </c>
      <c r="J41" s="9">
        <v>8524.2999999999993</v>
      </c>
      <c r="K41" s="54">
        <f t="shared" si="14"/>
        <v>2</v>
      </c>
      <c r="L41" s="31">
        <f t="shared" si="15"/>
        <v>5.2697487636925992E-2</v>
      </c>
    </row>
    <row r="42" spans="1:12" ht="15" thickBot="1" x14ac:dyDescent="0.35">
      <c r="A42" s="175">
        <v>949</v>
      </c>
      <c r="B42" s="8">
        <v>44286.75</v>
      </c>
      <c r="C42" s="8" t="s">
        <v>1709</v>
      </c>
      <c r="D42" s="8">
        <v>949</v>
      </c>
      <c r="E42" s="8">
        <v>42443.8</v>
      </c>
      <c r="F42" s="8" t="s">
        <v>1710</v>
      </c>
      <c r="G42" s="9">
        <v>91851</v>
      </c>
      <c r="H42" s="81"/>
      <c r="I42" s="15">
        <v>610</v>
      </c>
      <c r="J42" s="15">
        <v>27431.7</v>
      </c>
      <c r="K42" s="54">
        <f t="shared" ref="K42:K43" si="16">+A42-D42</f>
        <v>0</v>
      </c>
      <c r="L42" s="53">
        <f t="shared" ref="L42" si="17">(+B42-E42)/B42</f>
        <v>4.1614026768728732E-2</v>
      </c>
    </row>
    <row r="43" spans="1:12" x14ac:dyDescent="0.3">
      <c r="A43" s="871">
        <f>613-29</f>
        <v>584</v>
      </c>
      <c r="B43" s="873">
        <f>29497-1395.45</f>
        <v>28101.55</v>
      </c>
      <c r="C43" s="873" t="s">
        <v>1884</v>
      </c>
      <c r="D43" s="873">
        <v>580</v>
      </c>
      <c r="E43" s="873">
        <v>26465.200000000001</v>
      </c>
      <c r="F43" s="12" t="s">
        <v>1885</v>
      </c>
      <c r="G43" s="12">
        <v>91991</v>
      </c>
      <c r="H43" s="38"/>
      <c r="I43" s="12">
        <v>200</v>
      </c>
      <c r="J43" s="13">
        <v>9065.1</v>
      </c>
      <c r="K43" s="877">
        <f t="shared" si="16"/>
        <v>4</v>
      </c>
      <c r="L43" s="879">
        <f t="shared" ref="L43:L44" si="18">((+B43/A43)-(E43/D43))/(B43/A43)</f>
        <v>5.173491780027601E-2</v>
      </c>
    </row>
    <row r="44" spans="1:12" ht="15" thickBot="1" x14ac:dyDescent="0.35">
      <c r="A44" s="872"/>
      <c r="B44" s="874"/>
      <c r="C44" s="874"/>
      <c r="D44" s="874"/>
      <c r="E44" s="874"/>
      <c r="F44" s="10" t="s">
        <v>1885</v>
      </c>
      <c r="G44" s="10">
        <v>91991</v>
      </c>
      <c r="H44" s="82"/>
      <c r="I44" s="10">
        <v>172</v>
      </c>
      <c r="J44" s="11">
        <v>7918.6</v>
      </c>
      <c r="K44" s="878"/>
      <c r="L44" s="880" t="e">
        <f t="shared" si="18"/>
        <v>#DIV/0!</v>
      </c>
    </row>
    <row r="45" spans="1:12" ht="15" thickBot="1" x14ac:dyDescent="0.35">
      <c r="A45" s="175">
        <v>261</v>
      </c>
      <c r="B45" s="8">
        <v>12386.5</v>
      </c>
      <c r="C45" s="8" t="s">
        <v>2068</v>
      </c>
      <c r="D45" s="8">
        <f>+I45</f>
        <v>261</v>
      </c>
      <c r="E45" s="8">
        <f>+J45</f>
        <v>11739.6</v>
      </c>
      <c r="F45" s="8" t="s">
        <v>2069</v>
      </c>
      <c r="G45" s="8">
        <v>92551</v>
      </c>
      <c r="H45" s="80"/>
      <c r="I45" s="8">
        <v>261</v>
      </c>
      <c r="J45" s="9">
        <v>11739.6</v>
      </c>
      <c r="K45" s="54">
        <f t="shared" ref="K45:K48" si="19">+A45-D45</f>
        <v>0</v>
      </c>
      <c r="L45" s="53">
        <f t="shared" ref="L45:L46" si="20">(+B45-E45)/B45</f>
        <v>5.2226214023331823E-2</v>
      </c>
    </row>
    <row r="46" spans="1:12" x14ac:dyDescent="0.3">
      <c r="A46" s="871">
        <f>488+128</f>
        <v>616</v>
      </c>
      <c r="B46" s="964">
        <f>22247.7695+4372.75</f>
        <v>26620.519499999999</v>
      </c>
      <c r="C46" s="873" t="s">
        <v>2072</v>
      </c>
      <c r="D46" s="873">
        <f>+I46+I47</f>
        <v>616</v>
      </c>
      <c r="E46" s="873">
        <f>+J46+J47</f>
        <v>26532.7</v>
      </c>
      <c r="F46" s="12" t="s">
        <v>2073</v>
      </c>
      <c r="G46" s="12">
        <v>93321</v>
      </c>
      <c r="H46" s="38"/>
      <c r="I46" s="12">
        <v>220</v>
      </c>
      <c r="J46" s="262">
        <v>9328.7000000000007</v>
      </c>
      <c r="K46" s="877">
        <f t="shared" si="19"/>
        <v>0</v>
      </c>
      <c r="L46" s="879">
        <f t="shared" si="20"/>
        <v>3.2989401277461095E-3</v>
      </c>
    </row>
    <row r="47" spans="1:12" ht="15" thickBot="1" x14ac:dyDescent="0.35">
      <c r="A47" s="872"/>
      <c r="B47" s="965"/>
      <c r="C47" s="874"/>
      <c r="D47" s="874"/>
      <c r="E47" s="874"/>
      <c r="F47" s="10" t="s">
        <v>2073</v>
      </c>
      <c r="G47" s="10">
        <v>93321</v>
      </c>
      <c r="H47" s="82"/>
      <c r="I47" s="10">
        <v>396</v>
      </c>
      <c r="J47" s="263">
        <v>17204</v>
      </c>
      <c r="K47" s="878"/>
      <c r="L47" s="880"/>
    </row>
    <row r="48" spans="1:12" ht="15" thickBot="1" x14ac:dyDescent="0.35">
      <c r="A48" s="266">
        <v>525</v>
      </c>
      <c r="B48" s="267">
        <v>24162.75</v>
      </c>
      <c r="C48" s="268" t="s">
        <v>2521</v>
      </c>
      <c r="D48" s="268">
        <v>319</v>
      </c>
      <c r="E48" s="268">
        <v>13774.3</v>
      </c>
      <c r="F48" s="268" t="s">
        <v>2522</v>
      </c>
      <c r="G48" s="268">
        <v>93801</v>
      </c>
      <c r="H48" s="268"/>
      <c r="I48" s="268">
        <v>200</v>
      </c>
      <c r="J48" s="269">
        <v>8666.2000000000007</v>
      </c>
      <c r="K48" s="54">
        <f t="shared" si="19"/>
        <v>206</v>
      </c>
      <c r="L48" s="31">
        <f t="shared" ref="L48" si="21">((+B48/A48)-(E48/D48))/(B48/A48)</f>
        <v>6.180784439531968E-2</v>
      </c>
    </row>
    <row r="49" spans="1:12" x14ac:dyDescent="0.3">
      <c r="A49" s="15"/>
      <c r="B49" s="265"/>
      <c r="C49" s="15"/>
      <c r="D49" s="15"/>
      <c r="E49" s="15"/>
      <c r="F49" s="15"/>
      <c r="G49" s="15"/>
      <c r="H49" s="15"/>
      <c r="I49" s="15"/>
      <c r="J49" s="241"/>
      <c r="K49" s="125"/>
      <c r="L49" s="270"/>
    </row>
    <row r="50" spans="1:12" x14ac:dyDescent="0.3">
      <c r="A50" s="124">
        <f>SUM(A5:A48)</f>
        <v>12089</v>
      </c>
      <c r="B50" s="124">
        <f>SUM(B5:B48)</f>
        <v>540076.65046300006</v>
      </c>
      <c r="D50" s="124">
        <f>SUM(D5:D48)</f>
        <v>11850</v>
      </c>
      <c r="E50" s="124">
        <f>SUM(E5:E48)</f>
        <v>505378.49999999994</v>
      </c>
    </row>
  </sheetData>
  <mergeCells count="94">
    <mergeCell ref="K43:K44"/>
    <mergeCell ref="L43:L44"/>
    <mergeCell ref="A43:A44"/>
    <mergeCell ref="B43:B44"/>
    <mergeCell ref="C43:C44"/>
    <mergeCell ref="D43:D44"/>
    <mergeCell ref="E43:E44"/>
    <mergeCell ref="K38:K39"/>
    <mergeCell ref="L38:L39"/>
    <mergeCell ref="A38:A39"/>
    <mergeCell ref="B38:B39"/>
    <mergeCell ref="C38:C39"/>
    <mergeCell ref="D38:D39"/>
    <mergeCell ref="E38:E39"/>
    <mergeCell ref="K31:K32"/>
    <mergeCell ref="L31:L32"/>
    <mergeCell ref="A35:A36"/>
    <mergeCell ref="B35:B36"/>
    <mergeCell ref="C35:C36"/>
    <mergeCell ref="D35:D36"/>
    <mergeCell ref="E35:E36"/>
    <mergeCell ref="K35:K36"/>
    <mergeCell ref="L35:L36"/>
    <mergeCell ref="A31:A32"/>
    <mergeCell ref="B31:B32"/>
    <mergeCell ref="C31:C32"/>
    <mergeCell ref="D31:D32"/>
    <mergeCell ref="E31:E32"/>
    <mergeCell ref="K20:K22"/>
    <mergeCell ref="L20:L22"/>
    <mergeCell ref="A20:A22"/>
    <mergeCell ref="B20:B22"/>
    <mergeCell ref="C20:C22"/>
    <mergeCell ref="D20:D22"/>
    <mergeCell ref="E20:E22"/>
    <mergeCell ref="L3:L4"/>
    <mergeCell ref="L5:L6"/>
    <mergeCell ref="L12:L14"/>
    <mergeCell ref="L7:L8"/>
    <mergeCell ref="L10:L11"/>
    <mergeCell ref="K10:K11"/>
    <mergeCell ref="K12:K14"/>
    <mergeCell ref="A12:A14"/>
    <mergeCell ref="B12:B14"/>
    <mergeCell ref="C12:C14"/>
    <mergeCell ref="D12:D14"/>
    <mergeCell ref="E12:E14"/>
    <mergeCell ref="A10:A11"/>
    <mergeCell ref="B10:B11"/>
    <mergeCell ref="C10:C11"/>
    <mergeCell ref="D10:D11"/>
    <mergeCell ref="E10:E11"/>
    <mergeCell ref="K3:K4"/>
    <mergeCell ref="A7:A8"/>
    <mergeCell ref="B7:B8"/>
    <mergeCell ref="C7:C8"/>
    <mergeCell ref="D7:D8"/>
    <mergeCell ref="E7:E8"/>
    <mergeCell ref="A3:C3"/>
    <mergeCell ref="D3:E3"/>
    <mergeCell ref="G3:G4"/>
    <mergeCell ref="A5:A6"/>
    <mergeCell ref="B5:B6"/>
    <mergeCell ref="C5:C6"/>
    <mergeCell ref="D5:D6"/>
    <mergeCell ref="E5:E6"/>
    <mergeCell ref="K5:K6"/>
    <mergeCell ref="K7:K8"/>
    <mergeCell ref="L15:L16"/>
    <mergeCell ref="L17:L18"/>
    <mergeCell ref="A15:A16"/>
    <mergeCell ref="B15:B16"/>
    <mergeCell ref="C15:C16"/>
    <mergeCell ref="D15:D16"/>
    <mergeCell ref="E15:E16"/>
    <mergeCell ref="A17:A18"/>
    <mergeCell ref="B17:B18"/>
    <mergeCell ref="C17:C18"/>
    <mergeCell ref="D17:D18"/>
    <mergeCell ref="E17:E18"/>
    <mergeCell ref="K23:K25"/>
    <mergeCell ref="L23:L25"/>
    <mergeCell ref="A23:A25"/>
    <mergeCell ref="B23:B25"/>
    <mergeCell ref="C23:C25"/>
    <mergeCell ref="D23:D25"/>
    <mergeCell ref="E23:E25"/>
    <mergeCell ref="K46:K47"/>
    <mergeCell ref="L46:L47"/>
    <mergeCell ref="A46:A47"/>
    <mergeCell ref="B46:B47"/>
    <mergeCell ref="C46:C47"/>
    <mergeCell ref="D46:D47"/>
    <mergeCell ref="E46:E47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AB0E0-8E7D-4665-B3A6-F9FA207237F1}">
  <dimension ref="A1:L13"/>
  <sheetViews>
    <sheetView zoomScale="80" zoomScaleNormal="80" workbookViewId="0">
      <selection activeCell="K3" sqref="K3:L4"/>
    </sheetView>
  </sheetViews>
  <sheetFormatPr baseColWidth="10" defaultColWidth="8.88671875" defaultRowHeight="14.4" x14ac:dyDescent="0.3"/>
  <cols>
    <col min="2" max="2" width="11.33203125" bestFit="1" customWidth="1"/>
    <col min="3" max="3" width="10.6640625" bestFit="1" customWidth="1"/>
    <col min="4" max="4" width="14.33203125" customWidth="1"/>
    <col min="5" max="5" width="14.5546875" customWidth="1"/>
    <col min="12" max="12" width="12" bestFit="1" customWidth="1"/>
  </cols>
  <sheetData>
    <row r="1" spans="1:12" ht="23.4" x14ac:dyDescent="0.3">
      <c r="A1" s="1" t="s">
        <v>7151</v>
      </c>
      <c r="B1" s="1"/>
      <c r="C1" s="1"/>
      <c r="D1" s="1"/>
      <c r="E1" s="1"/>
      <c r="F1" s="1"/>
      <c r="G1" s="1"/>
      <c r="H1" s="1"/>
      <c r="I1" s="1"/>
      <c r="J1" s="752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752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743" t="s">
        <v>8</v>
      </c>
      <c r="G4" s="923"/>
      <c r="H4" s="7" t="s">
        <v>9</v>
      </c>
      <c r="I4" s="753" t="s">
        <v>5</v>
      </c>
      <c r="J4" s="753" t="s">
        <v>10</v>
      </c>
      <c r="K4" s="916"/>
      <c r="L4" s="1010"/>
    </row>
    <row r="5" spans="1:12" ht="15" thickBot="1" x14ac:dyDescent="0.35">
      <c r="A5" s="190">
        <f>+D5</f>
        <v>110</v>
      </c>
      <c r="B5" s="635">
        <f>E5*1.035</f>
        <v>4883.1299999999992</v>
      </c>
      <c r="C5" s="8" t="s">
        <v>7152</v>
      </c>
      <c r="D5" s="8">
        <f t="shared" ref="D5:E7" si="0">+I5</f>
        <v>110</v>
      </c>
      <c r="E5" s="8">
        <f t="shared" si="0"/>
        <v>4718</v>
      </c>
      <c r="F5" s="8" t="s">
        <v>7153</v>
      </c>
      <c r="G5" s="8">
        <v>21641</v>
      </c>
      <c r="H5" s="14"/>
      <c r="I5" s="45">
        <v>110</v>
      </c>
      <c r="J5" s="45">
        <v>4718</v>
      </c>
      <c r="K5" s="633">
        <f t="shared" ref="K5" si="1">+A5-D5</f>
        <v>0</v>
      </c>
      <c r="L5" s="746">
        <f t="shared" ref="L5" si="2">((+B5/A5)-(E5/D5))/(B5/A5)</f>
        <v>3.3816425120772833E-2</v>
      </c>
    </row>
    <row r="6" spans="1:12" ht="15" thickBot="1" x14ac:dyDescent="0.35">
      <c r="A6" s="190">
        <f>+D6</f>
        <v>180</v>
      </c>
      <c r="B6" s="635">
        <f>E6*1.035</f>
        <v>7804.9349999999995</v>
      </c>
      <c r="C6" s="45" t="s">
        <v>7154</v>
      </c>
      <c r="D6" s="45">
        <f t="shared" si="0"/>
        <v>180</v>
      </c>
      <c r="E6" s="45">
        <f t="shared" si="0"/>
        <v>7541</v>
      </c>
      <c r="F6" s="45" t="s">
        <v>7155</v>
      </c>
      <c r="G6" s="45">
        <v>23231</v>
      </c>
      <c r="H6" s="14"/>
      <c r="I6" s="45">
        <v>180</v>
      </c>
      <c r="J6" s="45">
        <v>7541</v>
      </c>
      <c r="K6" s="633">
        <f t="shared" ref="K6:K11" si="3">+A6-D6</f>
        <v>0</v>
      </c>
      <c r="L6" s="746">
        <f t="shared" ref="L6:L11" si="4">((+B6/A6)-(E6/D6))/(B6/A6)</f>
        <v>3.3816425120772826E-2</v>
      </c>
    </row>
    <row r="7" spans="1:12" ht="15" thickBot="1" x14ac:dyDescent="0.35">
      <c r="A7" s="737">
        <f t="shared" ref="A7:A8" si="5">+D7</f>
        <v>14</v>
      </c>
      <c r="B7" s="750">
        <f t="shared" ref="B7:B8" si="6">E7*1.035</f>
        <v>622.3454999999999</v>
      </c>
      <c r="C7" s="748" t="s">
        <v>7156</v>
      </c>
      <c r="D7" s="748">
        <f t="shared" si="0"/>
        <v>14</v>
      </c>
      <c r="E7" s="748">
        <f t="shared" si="0"/>
        <v>601.29999999999995</v>
      </c>
      <c r="F7" s="748" t="s">
        <v>7157</v>
      </c>
      <c r="G7" s="748">
        <v>11661</v>
      </c>
      <c r="H7" s="40"/>
      <c r="I7" s="748">
        <v>14</v>
      </c>
      <c r="J7" s="748">
        <v>601.29999999999995</v>
      </c>
      <c r="K7" s="633">
        <f t="shared" si="3"/>
        <v>0</v>
      </c>
      <c r="L7" s="746">
        <f t="shared" si="4"/>
        <v>3.3816425120772826E-2</v>
      </c>
    </row>
    <row r="8" spans="1:12" ht="15" thickBot="1" x14ac:dyDescent="0.35">
      <c r="A8" s="737">
        <f t="shared" si="5"/>
        <v>13</v>
      </c>
      <c r="B8" s="750">
        <f t="shared" si="6"/>
        <v>484.173</v>
      </c>
      <c r="C8" s="748" t="s">
        <v>7115</v>
      </c>
      <c r="D8" s="748">
        <f t="shared" ref="D8:E10" si="7">+I8</f>
        <v>13</v>
      </c>
      <c r="E8" s="748">
        <f t="shared" si="7"/>
        <v>467.8</v>
      </c>
      <c r="F8" s="748" t="s">
        <v>7116</v>
      </c>
      <c r="G8" s="748">
        <v>15931</v>
      </c>
      <c r="H8" s="40"/>
      <c r="I8" s="748">
        <v>13</v>
      </c>
      <c r="J8" s="748">
        <v>467.8</v>
      </c>
      <c r="K8" s="633">
        <f t="shared" si="3"/>
        <v>0</v>
      </c>
      <c r="L8" s="746">
        <f t="shared" si="4"/>
        <v>3.3816425120772896E-2</v>
      </c>
    </row>
    <row r="9" spans="1:12" ht="15" thickBot="1" x14ac:dyDescent="0.35">
      <c r="A9" s="175">
        <v>150</v>
      </c>
      <c r="B9" s="253">
        <v>5214.13</v>
      </c>
      <c r="C9" s="45" t="s">
        <v>7158</v>
      </c>
      <c r="D9" s="45">
        <f t="shared" si="7"/>
        <v>151</v>
      </c>
      <c r="E9" s="45">
        <f t="shared" si="7"/>
        <v>5129.6000000000004</v>
      </c>
      <c r="F9" s="45" t="s">
        <v>7159</v>
      </c>
      <c r="G9" s="45">
        <v>501131</v>
      </c>
      <c r="H9" s="14"/>
      <c r="I9" s="45">
        <v>151</v>
      </c>
      <c r="J9" s="45">
        <v>5129.6000000000004</v>
      </c>
      <c r="K9" s="633">
        <f t="shared" si="3"/>
        <v>-1</v>
      </c>
      <c r="L9" s="746">
        <f t="shared" si="4"/>
        <v>2.272687119944292E-2</v>
      </c>
    </row>
    <row r="10" spans="1:12" ht="15" thickBot="1" x14ac:dyDescent="0.35">
      <c r="A10" s="175">
        <v>150</v>
      </c>
      <c r="B10" s="253">
        <v>5214.12</v>
      </c>
      <c r="C10" s="45" t="s">
        <v>7160</v>
      </c>
      <c r="D10" s="45">
        <f t="shared" si="7"/>
        <v>22</v>
      </c>
      <c r="E10" s="45">
        <f t="shared" si="7"/>
        <v>714.3</v>
      </c>
      <c r="F10" s="45" t="s">
        <v>7161</v>
      </c>
      <c r="G10" s="45">
        <v>501141</v>
      </c>
      <c r="H10" s="14"/>
      <c r="I10" s="45">
        <v>22</v>
      </c>
      <c r="J10" s="45">
        <v>714.3</v>
      </c>
      <c r="K10" s="633">
        <f t="shared" si="3"/>
        <v>128</v>
      </c>
      <c r="L10" s="746">
        <f t="shared" si="4"/>
        <v>6.5954125964252194E-2</v>
      </c>
    </row>
    <row r="11" spans="1:12" ht="15" thickBot="1" x14ac:dyDescent="0.35">
      <c r="A11" s="175">
        <v>125</v>
      </c>
      <c r="B11" s="253">
        <v>5107.7</v>
      </c>
      <c r="C11" s="45" t="s">
        <v>7162</v>
      </c>
      <c r="D11" s="45">
        <f>+I11</f>
        <v>125</v>
      </c>
      <c r="E11" s="45">
        <f>+J11</f>
        <v>5054.3</v>
      </c>
      <c r="F11" s="45" t="s">
        <v>7163</v>
      </c>
      <c r="G11" s="45">
        <v>501171</v>
      </c>
      <c r="H11" s="14"/>
      <c r="I11" s="45">
        <v>125</v>
      </c>
      <c r="J11" s="45">
        <v>5054.3</v>
      </c>
      <c r="K11" s="120">
        <f t="shared" si="3"/>
        <v>0</v>
      </c>
      <c r="L11" s="31">
        <f t="shared" si="4"/>
        <v>1.0454803531922198E-2</v>
      </c>
    </row>
    <row r="13" spans="1:12" x14ac:dyDescent="0.3">
      <c r="A13" s="196">
        <f>SUM(A5:A12)</f>
        <v>742</v>
      </c>
      <c r="B13" s="634">
        <f>SUM(B5:B12)</f>
        <v>29330.533499999998</v>
      </c>
      <c r="D13" s="196">
        <f>SUM(D5:D12)</f>
        <v>615</v>
      </c>
      <c r="E13" s="634">
        <f>SUM(E5:E12)</f>
        <v>24226.299999999996</v>
      </c>
    </row>
  </sheetData>
  <mergeCells count="5">
    <mergeCell ref="A3:C3"/>
    <mergeCell ref="D3:E3"/>
    <mergeCell ref="G3:G4"/>
    <mergeCell ref="K3:K4"/>
    <mergeCell ref="L3:L4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5069E-97FB-4032-B28E-86DCCEABDF3F}">
  <dimension ref="A1:L9"/>
  <sheetViews>
    <sheetView zoomScale="80" zoomScaleNormal="80" workbookViewId="0">
      <selection activeCell="A5" sqref="A5:L9"/>
    </sheetView>
  </sheetViews>
  <sheetFormatPr baseColWidth="10" defaultColWidth="8.88671875" defaultRowHeight="14.4" x14ac:dyDescent="0.3"/>
  <cols>
    <col min="3" max="3" width="13.44140625" customWidth="1"/>
    <col min="4" max="4" width="16.6640625" customWidth="1"/>
    <col min="5" max="5" width="11.109375" customWidth="1"/>
    <col min="6" max="6" width="10.33203125" customWidth="1"/>
    <col min="8" max="8" width="13.109375" hidden="1" customWidth="1"/>
    <col min="9" max="10" width="0" hidden="1" customWidth="1"/>
    <col min="12" max="12" width="12" bestFit="1" customWidth="1"/>
  </cols>
  <sheetData>
    <row r="1" spans="1:12" ht="23.4" x14ac:dyDescent="0.3">
      <c r="A1" s="1019" t="s">
        <v>93</v>
      </c>
      <c r="B1" s="1019"/>
      <c r="C1" s="1019"/>
      <c r="D1" s="1019"/>
      <c r="E1" s="1019"/>
      <c r="F1" s="1019"/>
      <c r="G1" s="1019"/>
      <c r="H1" s="1019"/>
      <c r="I1" s="1019"/>
      <c r="J1" s="1019"/>
      <c r="K1" s="1019"/>
    </row>
    <row r="2" spans="1:12" ht="24" thickBot="1" x14ac:dyDescent="0.5">
      <c r="A2" s="819"/>
      <c r="B2" s="857"/>
      <c r="C2" s="857"/>
      <c r="D2" s="819"/>
      <c r="E2" s="819"/>
      <c r="F2" s="819"/>
      <c r="G2" s="819"/>
      <c r="H2" s="819"/>
      <c r="I2" s="819"/>
      <c r="J2" s="819"/>
    </row>
    <row r="3" spans="1:12" ht="28.8" x14ac:dyDescent="0.3">
      <c r="A3" s="1026" t="s">
        <v>7329</v>
      </c>
      <c r="B3" s="1027"/>
      <c r="C3" s="1028"/>
      <c r="D3" s="1026" t="s">
        <v>2</v>
      </c>
      <c r="E3" s="1028"/>
      <c r="F3" s="284"/>
      <c r="G3" s="820" t="s">
        <v>3</v>
      </c>
      <c r="H3" s="284" t="s">
        <v>4</v>
      </c>
      <c r="I3" s="818"/>
      <c r="J3" s="244"/>
      <c r="K3" s="915" t="s">
        <v>91</v>
      </c>
      <c r="L3" s="984" t="s">
        <v>92</v>
      </c>
    </row>
    <row r="4" spans="1:12" ht="15" thickBot="1" x14ac:dyDescent="0.35">
      <c r="A4" s="285" t="s">
        <v>5</v>
      </c>
      <c r="B4" s="286" t="s">
        <v>6</v>
      </c>
      <c r="C4" s="287" t="s">
        <v>4</v>
      </c>
      <c r="D4" s="286" t="s">
        <v>7</v>
      </c>
      <c r="E4" s="287" t="s">
        <v>6</v>
      </c>
      <c r="F4" s="822" t="s">
        <v>8</v>
      </c>
      <c r="G4" s="822"/>
      <c r="H4" s="289" t="s">
        <v>9</v>
      </c>
      <c r="I4" s="858" t="s">
        <v>5</v>
      </c>
      <c r="J4" s="859" t="s">
        <v>10</v>
      </c>
      <c r="K4" s="916"/>
      <c r="L4" s="985"/>
    </row>
    <row r="5" spans="1:12" x14ac:dyDescent="0.3">
      <c r="A5" s="871">
        <v>250</v>
      </c>
      <c r="B5" s="873">
        <v>8350.2999999999993</v>
      </c>
      <c r="C5" s="873" t="s">
        <v>7330</v>
      </c>
      <c r="D5" s="873">
        <f>+I5+I6</f>
        <v>250</v>
      </c>
      <c r="E5" s="873">
        <f>+J5+J6</f>
        <v>8211.6999999999989</v>
      </c>
      <c r="F5" s="40" t="s">
        <v>7331</v>
      </c>
      <c r="G5" s="40">
        <v>800021</v>
      </c>
      <c r="H5" s="40"/>
      <c r="I5" s="40">
        <v>200</v>
      </c>
      <c r="J5" s="40">
        <v>6544.9</v>
      </c>
      <c r="K5" s="1081">
        <f t="shared" ref="K5" si="0">+A5-D5</f>
        <v>0</v>
      </c>
      <c r="L5" s="879">
        <f t="shared" ref="L5" si="1">((+B5/A5)-(E5/D5))/(B5/A5)</f>
        <v>1.6598206052477193E-2</v>
      </c>
    </row>
    <row r="6" spans="1:12" ht="15" thickBot="1" x14ac:dyDescent="0.35">
      <c r="A6" s="872"/>
      <c r="B6" s="874"/>
      <c r="C6" s="874"/>
      <c r="D6" s="874"/>
      <c r="E6" s="874"/>
      <c r="F6" s="821" t="s">
        <v>7331</v>
      </c>
      <c r="G6" s="821">
        <v>800021</v>
      </c>
      <c r="H6" s="821"/>
      <c r="I6" s="821">
        <v>50</v>
      </c>
      <c r="J6" s="821">
        <v>1666.8</v>
      </c>
      <c r="K6" s="1082"/>
      <c r="L6" s="880"/>
    </row>
    <row r="7" spans="1:12" x14ac:dyDescent="0.3">
      <c r="A7" s="871">
        <v>250</v>
      </c>
      <c r="B7" s="873">
        <v>9832.5</v>
      </c>
      <c r="C7" s="873" t="s">
        <v>7332</v>
      </c>
      <c r="D7" s="873">
        <f>+I7+I8</f>
        <v>250</v>
      </c>
      <c r="E7" s="873">
        <f>+J7+J8</f>
        <v>9602.1</v>
      </c>
      <c r="F7" s="40" t="s">
        <v>7333</v>
      </c>
      <c r="G7" s="40">
        <v>800041</v>
      </c>
      <c r="H7" s="40"/>
      <c r="I7" s="40">
        <v>200</v>
      </c>
      <c r="J7" s="40">
        <v>7713.5</v>
      </c>
      <c r="K7" s="1081">
        <f t="shared" ref="K7" si="2">+A7-D7</f>
        <v>0</v>
      </c>
      <c r="L7" s="879">
        <f t="shared" ref="L7" si="3">((+B7/A7)-(E7/D7))/(B7/A7)</f>
        <v>2.3432494279176153E-2</v>
      </c>
    </row>
    <row r="8" spans="1:12" ht="15" thickBot="1" x14ac:dyDescent="0.35">
      <c r="A8" s="872"/>
      <c r="B8" s="874"/>
      <c r="C8" s="874"/>
      <c r="D8" s="874"/>
      <c r="E8" s="874"/>
      <c r="F8" s="821" t="s">
        <v>7333</v>
      </c>
      <c r="G8" s="821">
        <v>800041</v>
      </c>
      <c r="H8" s="821"/>
      <c r="I8" s="821">
        <v>50</v>
      </c>
      <c r="J8" s="821">
        <v>1888.6</v>
      </c>
      <c r="K8" s="1082"/>
      <c r="L8" s="880"/>
    </row>
    <row r="9" spans="1:12" ht="15" thickBot="1" x14ac:dyDescent="0.35">
      <c r="A9" s="178">
        <v>158</v>
      </c>
      <c r="B9" s="45">
        <v>6167.5</v>
      </c>
      <c r="C9" s="45" t="s">
        <v>7334</v>
      </c>
      <c r="D9" s="45">
        <f>+I9</f>
        <v>157</v>
      </c>
      <c r="E9" s="45">
        <f>+J9</f>
        <v>6086.9</v>
      </c>
      <c r="F9" s="14" t="s">
        <v>7335</v>
      </c>
      <c r="G9" s="14">
        <v>800051</v>
      </c>
      <c r="H9" s="14"/>
      <c r="I9" s="14">
        <v>157</v>
      </c>
      <c r="J9" s="14">
        <v>6086.9</v>
      </c>
      <c r="K9" s="120">
        <f t="shared" ref="K9" si="4">+A9-D9</f>
        <v>1</v>
      </c>
      <c r="L9" s="31">
        <f t="shared" ref="L9" si="5">((+B9/A9)-(E9/D9))/(B9/A9)</f>
        <v>6.7823163852019476E-3</v>
      </c>
    </row>
  </sheetData>
  <mergeCells count="19">
    <mergeCell ref="L3:L4"/>
    <mergeCell ref="K5:K6"/>
    <mergeCell ref="L5:L6"/>
    <mergeCell ref="K7:K8"/>
    <mergeCell ref="L7:L8"/>
    <mergeCell ref="A7:A8"/>
    <mergeCell ref="B7:B8"/>
    <mergeCell ref="C7:C8"/>
    <mergeCell ref="D7:D8"/>
    <mergeCell ref="E7:E8"/>
    <mergeCell ref="A1:K1"/>
    <mergeCell ref="K3:K4"/>
    <mergeCell ref="A3:C3"/>
    <mergeCell ref="D3:E3"/>
    <mergeCell ref="A5:A6"/>
    <mergeCell ref="B5:B6"/>
    <mergeCell ref="C5:C6"/>
    <mergeCell ref="D5:D6"/>
    <mergeCell ref="E5:E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63"/>
  <sheetViews>
    <sheetView zoomScale="80" zoomScaleNormal="80" workbookViewId="0">
      <selection activeCell="C66" sqref="C66"/>
    </sheetView>
  </sheetViews>
  <sheetFormatPr baseColWidth="10" defaultColWidth="8.88671875" defaultRowHeight="14.4" x14ac:dyDescent="0.3"/>
  <cols>
    <col min="1" max="1" width="11.88671875" customWidth="1"/>
    <col min="2" max="2" width="13.5546875" customWidth="1"/>
    <col min="3" max="3" width="12" customWidth="1"/>
    <col min="4" max="4" width="11.33203125" bestFit="1" customWidth="1"/>
    <col min="5" max="5" width="12.33203125" bestFit="1" customWidth="1"/>
    <col min="6" max="6" width="10.44140625" customWidth="1"/>
    <col min="7" max="7" width="9.88671875" customWidth="1"/>
    <col min="8" max="8" width="13.109375" hidden="1" customWidth="1"/>
    <col min="9" max="9" width="6.33203125" hidden="1" customWidth="1"/>
    <col min="10" max="10" width="8.6640625" hidden="1" customWidth="1"/>
    <col min="12" max="12" width="12" bestFit="1" customWidth="1"/>
  </cols>
  <sheetData>
    <row r="1" spans="1:12" ht="23.4" x14ac:dyDescent="0.3">
      <c r="A1" s="1" t="s">
        <v>241</v>
      </c>
      <c r="B1" s="1"/>
      <c r="C1" s="1"/>
      <c r="D1" s="1"/>
      <c r="E1" s="1"/>
      <c r="F1" s="1"/>
      <c r="G1" s="1"/>
      <c r="H1" s="1"/>
      <c r="I1" s="1"/>
      <c r="J1" s="2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2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89" t="s">
        <v>5</v>
      </c>
      <c r="B4" s="90" t="s">
        <v>6</v>
      </c>
      <c r="C4" s="91" t="s">
        <v>4</v>
      </c>
      <c r="D4" s="90" t="s">
        <v>7</v>
      </c>
      <c r="E4" s="91" t="s">
        <v>6</v>
      </c>
      <c r="F4" s="92" t="s">
        <v>8</v>
      </c>
      <c r="G4" s="916"/>
      <c r="H4" s="88" t="s">
        <v>9</v>
      </c>
      <c r="I4" s="17" t="s">
        <v>5</v>
      </c>
      <c r="J4" s="17" t="s">
        <v>10</v>
      </c>
      <c r="K4" s="916"/>
      <c r="L4" s="985"/>
    </row>
    <row r="5" spans="1:12" x14ac:dyDescent="0.3">
      <c r="A5" s="891">
        <v>32</v>
      </c>
      <c r="B5" s="894">
        <v>1210.0851</v>
      </c>
      <c r="C5" s="894" t="s">
        <v>357</v>
      </c>
      <c r="D5" s="905">
        <f>+I5+I6</f>
        <v>25</v>
      </c>
      <c r="E5" s="905">
        <f>+J5+J6</f>
        <v>822.09999999999991</v>
      </c>
      <c r="F5" s="63" t="s">
        <v>358</v>
      </c>
      <c r="G5" s="63">
        <v>83471</v>
      </c>
      <c r="H5" s="40"/>
      <c r="I5" s="39">
        <v>9</v>
      </c>
      <c r="J5" s="41">
        <v>365.2</v>
      </c>
      <c r="K5" s="877">
        <f t="shared" ref="K5" si="0">+A5-D5</f>
        <v>7</v>
      </c>
      <c r="L5" s="879">
        <f>((+B5/A5)-(E5/D5))/(B5/A5)</f>
        <v>0.13040165522243041</v>
      </c>
    </row>
    <row r="6" spans="1:12" ht="15" thickBot="1" x14ac:dyDescent="0.35">
      <c r="A6" s="893"/>
      <c r="B6" s="896"/>
      <c r="C6" s="896"/>
      <c r="D6" s="907"/>
      <c r="E6" s="907"/>
      <c r="F6" s="64" t="s">
        <v>358</v>
      </c>
      <c r="G6" s="64">
        <v>83471</v>
      </c>
      <c r="H6" s="43"/>
      <c r="I6" s="42">
        <v>16</v>
      </c>
      <c r="J6" s="44">
        <v>456.9</v>
      </c>
      <c r="K6" s="878"/>
      <c r="L6" s="880"/>
    </row>
    <row r="7" spans="1:12" ht="15" thickBot="1" x14ac:dyDescent="0.35">
      <c r="A7" s="23">
        <v>394</v>
      </c>
      <c r="B7" s="24">
        <v>19546.117999999999</v>
      </c>
      <c r="C7" s="24" t="s">
        <v>242</v>
      </c>
      <c r="D7" s="63">
        <f>+I7</f>
        <v>380</v>
      </c>
      <c r="E7" s="63">
        <f>+J7</f>
        <v>17717.400000000001</v>
      </c>
      <c r="F7" s="63" t="s">
        <v>243</v>
      </c>
      <c r="G7" s="63">
        <v>86111</v>
      </c>
      <c r="H7" s="40"/>
      <c r="I7" s="39">
        <f>100+280</f>
        <v>380</v>
      </c>
      <c r="J7" s="41">
        <f>4693.7+13023.7</f>
        <v>17717.400000000001</v>
      </c>
      <c r="K7" s="52">
        <f t="shared" ref="K7:K8" si="1">+A7-D7</f>
        <v>14</v>
      </c>
      <c r="L7" s="136">
        <f>((+B7/A7)-(E7/D7))/(B7/A7)</f>
        <v>6.016395092931117E-2</v>
      </c>
    </row>
    <row r="8" spans="1:12" x14ac:dyDescent="0.3">
      <c r="A8" s="891">
        <v>277</v>
      </c>
      <c r="B8" s="894">
        <v>11872</v>
      </c>
      <c r="C8" s="894" t="s">
        <v>244</v>
      </c>
      <c r="D8" s="905">
        <f>+I8+I9</f>
        <v>247</v>
      </c>
      <c r="E8" s="905">
        <f>+J8+J9</f>
        <v>9792.7999999999993</v>
      </c>
      <c r="F8" s="63" t="s">
        <v>245</v>
      </c>
      <c r="G8" s="63">
        <v>87251</v>
      </c>
      <c r="H8" s="40"/>
      <c r="I8" s="39">
        <v>100</v>
      </c>
      <c r="J8" s="39">
        <v>3945.8</v>
      </c>
      <c r="K8" s="877">
        <f t="shared" si="1"/>
        <v>30</v>
      </c>
      <c r="L8" s="911">
        <f>((+B8/A8)-(E8/D8))/(B8/A8)</f>
        <v>7.4948710673636149E-2</v>
      </c>
    </row>
    <row r="9" spans="1:12" ht="15" thickBot="1" x14ac:dyDescent="0.35">
      <c r="A9" s="893"/>
      <c r="B9" s="896"/>
      <c r="C9" s="896"/>
      <c r="D9" s="907"/>
      <c r="E9" s="907"/>
      <c r="F9" s="64" t="s">
        <v>245</v>
      </c>
      <c r="G9" s="64">
        <v>87251</v>
      </c>
      <c r="H9" s="43"/>
      <c r="I9" s="42">
        <v>147</v>
      </c>
      <c r="J9" s="42">
        <v>5847</v>
      </c>
      <c r="K9" s="878"/>
      <c r="L9" s="912"/>
    </row>
    <row r="10" spans="1:12" ht="15" thickBot="1" x14ac:dyDescent="0.35">
      <c r="A10" s="21">
        <v>214</v>
      </c>
      <c r="B10" s="22">
        <v>8435.25</v>
      </c>
      <c r="C10" s="22" t="s">
        <v>449</v>
      </c>
      <c r="D10" s="28">
        <f t="shared" ref="D10:E10" si="2">+I10</f>
        <v>214</v>
      </c>
      <c r="E10" s="28">
        <f t="shared" si="2"/>
        <v>8098</v>
      </c>
      <c r="F10" s="64" t="s">
        <v>450</v>
      </c>
      <c r="G10" s="64">
        <v>87671</v>
      </c>
      <c r="H10" s="43"/>
      <c r="I10" s="42">
        <v>214</v>
      </c>
      <c r="J10" s="42">
        <v>8098</v>
      </c>
      <c r="K10" s="54">
        <f>+A10-D10</f>
        <v>0</v>
      </c>
      <c r="L10" s="33">
        <f t="shared" ref="L10:L12" si="3">(+B10-E10)/B10</f>
        <v>3.9981031978898074E-2</v>
      </c>
    </row>
    <row r="11" spans="1:12" ht="15" thickBot="1" x14ac:dyDescent="0.35">
      <c r="A11" s="19">
        <v>183</v>
      </c>
      <c r="B11" s="20">
        <v>7079.5</v>
      </c>
      <c r="C11" s="20" t="s">
        <v>359</v>
      </c>
      <c r="D11" s="65">
        <f>+I11</f>
        <v>183</v>
      </c>
      <c r="E11" s="65">
        <f>+J11</f>
        <v>6938.9</v>
      </c>
      <c r="F11" s="65" t="s">
        <v>360</v>
      </c>
      <c r="G11" s="65">
        <v>87681</v>
      </c>
      <c r="H11" s="14"/>
      <c r="I11" s="45">
        <v>183</v>
      </c>
      <c r="J11" s="46">
        <v>6938.9</v>
      </c>
      <c r="K11" s="52">
        <f>+A11-D11</f>
        <v>0</v>
      </c>
      <c r="L11" s="33">
        <f t="shared" si="3"/>
        <v>1.9860159615792128E-2</v>
      </c>
    </row>
    <row r="12" spans="1:12" ht="15" thickBot="1" x14ac:dyDescent="0.35">
      <c r="A12" s="61">
        <v>118</v>
      </c>
      <c r="B12" s="20">
        <v>4966.75</v>
      </c>
      <c r="C12" s="62" t="s">
        <v>451</v>
      </c>
      <c r="D12" s="65">
        <f t="shared" ref="D12:E17" si="4">+I12</f>
        <v>118</v>
      </c>
      <c r="E12" s="65">
        <f t="shared" si="4"/>
        <v>4846.8</v>
      </c>
      <c r="F12" s="65" t="s">
        <v>452</v>
      </c>
      <c r="G12" s="65">
        <v>87871</v>
      </c>
      <c r="H12" s="14"/>
      <c r="I12" s="45">
        <v>118</v>
      </c>
      <c r="J12" s="46">
        <v>4846.8</v>
      </c>
      <c r="K12" s="52">
        <f>+A12-D12</f>
        <v>0</v>
      </c>
      <c r="L12" s="33">
        <f t="shared" si="3"/>
        <v>2.4150601499974795E-2</v>
      </c>
    </row>
    <row r="13" spans="1:12" ht="15" thickBot="1" x14ac:dyDescent="0.35">
      <c r="A13" s="61">
        <v>260</v>
      </c>
      <c r="B13" s="20">
        <v>10768.25</v>
      </c>
      <c r="C13" s="62" t="s">
        <v>453</v>
      </c>
      <c r="D13" s="65">
        <f t="shared" si="4"/>
        <v>260</v>
      </c>
      <c r="E13" s="65">
        <f t="shared" si="4"/>
        <v>10497.1</v>
      </c>
      <c r="F13" s="65" t="s">
        <v>454</v>
      </c>
      <c r="G13" s="65">
        <v>87881</v>
      </c>
      <c r="H13" s="14"/>
      <c r="I13" s="45">
        <v>260</v>
      </c>
      <c r="J13" s="46">
        <v>10497.1</v>
      </c>
      <c r="K13" s="52">
        <f>+A13-D13</f>
        <v>0</v>
      </c>
      <c r="L13" s="33">
        <f>(+B13-E13)/B13</f>
        <v>2.5180507510505386E-2</v>
      </c>
    </row>
    <row r="14" spans="1:12" ht="15" thickBot="1" x14ac:dyDescent="0.35">
      <c r="A14" s="61">
        <v>373</v>
      </c>
      <c r="B14" s="20">
        <v>14509.5</v>
      </c>
      <c r="C14" s="62" t="s">
        <v>531</v>
      </c>
      <c r="D14" s="65">
        <f t="shared" si="4"/>
        <v>371</v>
      </c>
      <c r="E14" s="65">
        <f t="shared" si="4"/>
        <v>14044.2</v>
      </c>
      <c r="F14" s="65" t="s">
        <v>533</v>
      </c>
      <c r="G14" s="65">
        <v>88121</v>
      </c>
      <c r="H14" s="14"/>
      <c r="I14" s="45">
        <v>371</v>
      </c>
      <c r="J14" s="45">
        <v>14044.2</v>
      </c>
      <c r="K14" s="52">
        <f t="shared" ref="K14:K17" si="5">+A14-D14</f>
        <v>2</v>
      </c>
      <c r="L14" s="136">
        <f t="shared" ref="L14:L15" si="6">((+B14/A14)-(E14/D14))/(B14/A14)</f>
        <v>2.6850685892289623E-2</v>
      </c>
    </row>
    <row r="15" spans="1:12" ht="15" thickBot="1" x14ac:dyDescent="0.35">
      <c r="A15" s="61">
        <v>270</v>
      </c>
      <c r="B15" s="20">
        <v>10909</v>
      </c>
      <c r="C15" s="62" t="s">
        <v>532</v>
      </c>
      <c r="D15" s="65">
        <f t="shared" si="4"/>
        <v>272</v>
      </c>
      <c r="E15" s="65">
        <f t="shared" si="4"/>
        <v>10778.5</v>
      </c>
      <c r="F15" s="65" t="s">
        <v>534</v>
      </c>
      <c r="G15" s="65">
        <v>88331</v>
      </c>
      <c r="H15" s="14"/>
      <c r="I15" s="45">
        <v>272</v>
      </c>
      <c r="J15" s="45">
        <v>10778.5</v>
      </c>
      <c r="K15" s="52">
        <f t="shared" si="5"/>
        <v>-2</v>
      </c>
      <c r="L15" s="31">
        <f t="shared" si="6"/>
        <v>1.9227580572975442E-2</v>
      </c>
    </row>
    <row r="16" spans="1:12" ht="15" thickBot="1" x14ac:dyDescent="0.35">
      <c r="A16" s="61">
        <f>+D16</f>
        <v>100</v>
      </c>
      <c r="B16" s="20">
        <f>+E16</f>
        <v>4039.8</v>
      </c>
      <c r="C16" s="62" t="s">
        <v>623</v>
      </c>
      <c r="D16" s="65">
        <f>+I16</f>
        <v>100</v>
      </c>
      <c r="E16" s="65">
        <f>+J16</f>
        <v>4039.8</v>
      </c>
      <c r="F16" s="65" t="s">
        <v>624</v>
      </c>
      <c r="G16" s="65">
        <v>88591</v>
      </c>
      <c r="H16" s="14"/>
      <c r="I16" s="186">
        <v>100</v>
      </c>
      <c r="J16" s="187">
        <v>4039.8</v>
      </c>
      <c r="K16" s="52">
        <f>+A16-D16</f>
        <v>0</v>
      </c>
      <c r="L16" s="33">
        <f>(+B16-E16)/B16</f>
        <v>0</v>
      </c>
    </row>
    <row r="17" spans="1:12" ht="15" thickBot="1" x14ac:dyDescent="0.35">
      <c r="A17" s="61">
        <v>155</v>
      </c>
      <c r="B17" s="20">
        <v>6136.75</v>
      </c>
      <c r="C17" s="62" t="s">
        <v>701</v>
      </c>
      <c r="D17" s="65">
        <f t="shared" si="4"/>
        <v>155</v>
      </c>
      <c r="E17" s="65">
        <f t="shared" si="4"/>
        <v>5901.4</v>
      </c>
      <c r="F17" s="65" t="s">
        <v>702</v>
      </c>
      <c r="G17" s="65">
        <v>88691</v>
      </c>
      <c r="H17" s="14"/>
      <c r="I17" s="45">
        <v>155</v>
      </c>
      <c r="J17" s="46">
        <v>5901.4</v>
      </c>
      <c r="K17" s="52">
        <f t="shared" si="5"/>
        <v>0</v>
      </c>
      <c r="L17" s="33">
        <f>(+B17-E17)/B17</f>
        <v>3.8350918645863097E-2</v>
      </c>
    </row>
    <row r="18" spans="1:12" ht="15" thickBot="1" x14ac:dyDescent="0.35">
      <c r="A18" s="61">
        <v>352</v>
      </c>
      <c r="B18" s="20">
        <v>15093.5</v>
      </c>
      <c r="C18" s="62" t="s">
        <v>841</v>
      </c>
      <c r="D18" s="65">
        <v>352</v>
      </c>
      <c r="E18" s="65">
        <v>14220.5</v>
      </c>
      <c r="F18" s="65" t="s">
        <v>534</v>
      </c>
      <c r="G18" s="65">
        <v>88331</v>
      </c>
      <c r="H18" s="14"/>
      <c r="I18" s="45">
        <v>272</v>
      </c>
      <c r="J18" s="45">
        <v>10778.5</v>
      </c>
      <c r="K18" s="52">
        <f t="shared" ref="K18:K24" si="7">+A18-D18</f>
        <v>0</v>
      </c>
      <c r="L18" s="33">
        <f>(+B18-E18)/B18</f>
        <v>5.7839467320369695E-2</v>
      </c>
    </row>
    <row r="19" spans="1:12" ht="15" thickBot="1" x14ac:dyDescent="0.35">
      <c r="A19" s="236">
        <v>65</v>
      </c>
      <c r="B19" s="240">
        <v>2770.5</v>
      </c>
      <c r="C19" s="244" t="s">
        <v>1571</v>
      </c>
      <c r="D19" s="39">
        <f t="shared" ref="D19:E19" si="8">+I19</f>
        <v>63</v>
      </c>
      <c r="E19" s="39">
        <f t="shared" si="8"/>
        <v>2545.8000000000002</v>
      </c>
      <c r="F19" s="39" t="s">
        <v>1572</v>
      </c>
      <c r="G19" s="39">
        <v>8893</v>
      </c>
      <c r="H19" s="40"/>
      <c r="I19" s="39">
        <v>63</v>
      </c>
      <c r="J19" s="41">
        <v>2545.8000000000002</v>
      </c>
      <c r="K19" s="52">
        <f t="shared" ref="K19" si="9">+A19-D19</f>
        <v>2</v>
      </c>
      <c r="L19" s="31">
        <f t="shared" ref="L19:L21" si="10">((+B19/A19)-(E19/D19))/(B19/A19)</f>
        <v>5.1933207861740556E-2</v>
      </c>
    </row>
    <row r="20" spans="1:12" ht="15" thickBot="1" x14ac:dyDescent="0.35">
      <c r="A20" s="207">
        <v>319</v>
      </c>
      <c r="B20" s="208">
        <v>13960.25</v>
      </c>
      <c r="C20" s="186" t="s">
        <v>1067</v>
      </c>
      <c r="D20" s="45">
        <v>316</v>
      </c>
      <c r="E20" s="45">
        <v>13348.5</v>
      </c>
      <c r="F20" s="45" t="s">
        <v>1068</v>
      </c>
      <c r="G20" s="45">
        <v>90141</v>
      </c>
      <c r="H20" s="14"/>
      <c r="I20" s="45">
        <v>100</v>
      </c>
      <c r="J20" s="46">
        <v>4230</v>
      </c>
      <c r="K20" s="52">
        <f t="shared" si="7"/>
        <v>3</v>
      </c>
      <c r="L20" s="31">
        <f t="shared" si="10"/>
        <v>3.4743198307853732E-2</v>
      </c>
    </row>
    <row r="21" spans="1:12" ht="15" thickBot="1" x14ac:dyDescent="0.35">
      <c r="A21" s="175">
        <v>55</v>
      </c>
      <c r="B21" s="242">
        <v>2567.5</v>
      </c>
      <c r="C21" s="8" t="s">
        <v>1533</v>
      </c>
      <c r="D21" s="8">
        <f>+I21:I21</f>
        <v>51</v>
      </c>
      <c r="E21" s="8">
        <f>+J21:J21</f>
        <v>2289.3000000000002</v>
      </c>
      <c r="F21" s="45" t="s">
        <v>1534</v>
      </c>
      <c r="G21" s="45">
        <v>90561</v>
      </c>
      <c r="H21" s="14"/>
      <c r="I21" s="45">
        <v>51</v>
      </c>
      <c r="J21" s="46">
        <v>2289.3000000000002</v>
      </c>
      <c r="K21" s="52">
        <f t="shared" si="7"/>
        <v>4</v>
      </c>
      <c r="L21" s="31">
        <f t="shared" si="10"/>
        <v>3.8421444527177877E-2</v>
      </c>
    </row>
    <row r="22" spans="1:12" ht="15" thickBot="1" x14ac:dyDescent="0.35">
      <c r="A22" s="175">
        <v>193</v>
      </c>
      <c r="B22" s="242">
        <v>8727.25</v>
      </c>
      <c r="C22" s="8" t="s">
        <v>1535</v>
      </c>
      <c r="D22" s="8">
        <f>+I22</f>
        <v>193</v>
      </c>
      <c r="E22" s="8">
        <f>+J22</f>
        <v>8478.6</v>
      </c>
      <c r="F22" s="45" t="s">
        <v>1536</v>
      </c>
      <c r="G22" s="45">
        <v>90661</v>
      </c>
      <c r="H22" s="14"/>
      <c r="I22" s="45">
        <v>193</v>
      </c>
      <c r="J22" s="46">
        <v>8478.6</v>
      </c>
      <c r="K22" s="52">
        <f t="shared" si="7"/>
        <v>0</v>
      </c>
      <c r="L22" s="33">
        <f>(+B22-E22)/B22</f>
        <v>2.8491220029218785E-2</v>
      </c>
    </row>
    <row r="23" spans="1:12" ht="15" thickBot="1" x14ac:dyDescent="0.35">
      <c r="A23" s="175">
        <v>216</v>
      </c>
      <c r="B23" s="242">
        <v>9750.25</v>
      </c>
      <c r="C23" s="8" t="s">
        <v>1711</v>
      </c>
      <c r="D23" s="8">
        <f t="shared" ref="D23:E24" si="11">+I23</f>
        <v>216</v>
      </c>
      <c r="E23" s="8">
        <f t="shared" si="11"/>
        <v>9407.6</v>
      </c>
      <c r="F23" s="45" t="s">
        <v>1712</v>
      </c>
      <c r="G23" s="45">
        <v>91491</v>
      </c>
      <c r="H23" s="14"/>
      <c r="I23" s="45">
        <v>216</v>
      </c>
      <c r="J23" s="46">
        <v>9407.6</v>
      </c>
      <c r="K23" s="52">
        <f t="shared" si="7"/>
        <v>0</v>
      </c>
      <c r="L23" s="33">
        <f t="shared" ref="L23:L24" si="12">(+B23-E23)/B23</f>
        <v>3.5142688649008963E-2</v>
      </c>
    </row>
    <row r="24" spans="1:12" ht="15" thickBot="1" x14ac:dyDescent="0.35">
      <c r="A24" s="175">
        <v>111</v>
      </c>
      <c r="B24" s="242">
        <v>3807.5</v>
      </c>
      <c r="C24" s="8" t="s">
        <v>1713</v>
      </c>
      <c r="D24" s="8">
        <f t="shared" si="11"/>
        <v>111</v>
      </c>
      <c r="E24" s="8">
        <f t="shared" si="11"/>
        <v>3639.7</v>
      </c>
      <c r="F24" s="45" t="s">
        <v>1714</v>
      </c>
      <c r="G24" s="45">
        <v>91861</v>
      </c>
      <c r="H24" s="14"/>
      <c r="I24" s="45">
        <v>111</v>
      </c>
      <c r="J24" s="46">
        <v>3639.7</v>
      </c>
      <c r="K24" s="52">
        <f t="shared" si="7"/>
        <v>0</v>
      </c>
      <c r="L24" s="33">
        <f t="shared" si="12"/>
        <v>4.4070912672357236E-2</v>
      </c>
    </row>
    <row r="25" spans="1:12" ht="15" thickBot="1" x14ac:dyDescent="0.35">
      <c r="A25" s="175">
        <v>420</v>
      </c>
      <c r="B25" s="242">
        <v>18208.5</v>
      </c>
      <c r="C25" s="8" t="s">
        <v>1810</v>
      </c>
      <c r="D25" s="8">
        <f>+I25</f>
        <v>420</v>
      </c>
      <c r="E25" s="8">
        <f>+J25</f>
        <v>17407.099999999999</v>
      </c>
      <c r="F25" s="45" t="s">
        <v>1811</v>
      </c>
      <c r="G25" s="45">
        <v>91871</v>
      </c>
      <c r="H25" s="14"/>
      <c r="I25" s="45">
        <v>420</v>
      </c>
      <c r="J25" s="46">
        <v>17407.099999999999</v>
      </c>
      <c r="K25" s="52">
        <f t="shared" ref="K25:K47" si="13">+A25-D25</f>
        <v>0</v>
      </c>
      <c r="L25" s="33">
        <f t="shared" ref="L25:L27" si="14">(+B25-E25)/B25</f>
        <v>4.4012411785704558E-2</v>
      </c>
    </row>
    <row r="26" spans="1:12" ht="15" thickBot="1" x14ac:dyDescent="0.35">
      <c r="A26" s="175">
        <v>259</v>
      </c>
      <c r="B26" s="242">
        <v>11161.75</v>
      </c>
      <c r="C26" s="8" t="s">
        <v>2030</v>
      </c>
      <c r="D26" s="8">
        <f t="shared" ref="D26:E27" si="15">+I26</f>
        <v>259</v>
      </c>
      <c r="E26" s="8">
        <f t="shared" si="15"/>
        <v>10663.900000000001</v>
      </c>
      <c r="F26" s="45" t="s">
        <v>2031</v>
      </c>
      <c r="G26" s="45">
        <v>92941</v>
      </c>
      <c r="H26" s="14"/>
      <c r="I26" s="45">
        <v>259</v>
      </c>
      <c r="J26" s="46">
        <v>10663.900000000001</v>
      </c>
      <c r="K26" s="52">
        <f t="shared" si="13"/>
        <v>0</v>
      </c>
      <c r="L26" s="33">
        <f t="shared" si="14"/>
        <v>4.4603220821107674E-2</v>
      </c>
    </row>
    <row r="27" spans="1:12" ht="15" thickBot="1" x14ac:dyDescent="0.35">
      <c r="A27" s="175">
        <v>49</v>
      </c>
      <c r="B27" s="242">
        <v>1669.5</v>
      </c>
      <c r="C27" s="8" t="s">
        <v>2070</v>
      </c>
      <c r="D27" s="8">
        <f t="shared" si="15"/>
        <v>49</v>
      </c>
      <c r="E27" s="8">
        <f t="shared" si="15"/>
        <v>1601.6</v>
      </c>
      <c r="F27" s="45" t="s">
        <v>2071</v>
      </c>
      <c r="G27" s="45">
        <v>93211</v>
      </c>
      <c r="H27" s="14"/>
      <c r="I27" s="45">
        <v>49</v>
      </c>
      <c r="J27" s="46">
        <v>1601.6</v>
      </c>
      <c r="K27" s="52">
        <f t="shared" si="13"/>
        <v>0</v>
      </c>
      <c r="L27" s="33">
        <f t="shared" si="14"/>
        <v>4.0670859538784118E-2</v>
      </c>
    </row>
    <row r="28" spans="1:12" x14ac:dyDescent="0.3">
      <c r="A28" s="935">
        <v>304</v>
      </c>
      <c r="B28" s="1008">
        <v>12913.1</v>
      </c>
      <c r="C28" s="908" t="s">
        <v>2341</v>
      </c>
      <c r="D28" s="873">
        <v>302</v>
      </c>
      <c r="E28" s="873">
        <v>11734.8</v>
      </c>
      <c r="F28" s="39" t="s">
        <v>2342</v>
      </c>
      <c r="G28" s="39">
        <v>93411</v>
      </c>
      <c r="H28" s="40"/>
      <c r="I28" s="39">
        <v>120</v>
      </c>
      <c r="J28" s="41">
        <v>4723.5</v>
      </c>
      <c r="K28" s="877">
        <f t="shared" si="13"/>
        <v>2</v>
      </c>
      <c r="L28" s="911">
        <f>((+B28/A28)-(E28/D28))/(B28/A28)</f>
        <v>8.5230199775052681E-2</v>
      </c>
    </row>
    <row r="29" spans="1:12" ht="15" thickBot="1" x14ac:dyDescent="0.35">
      <c r="A29" s="937"/>
      <c r="B29" s="1009"/>
      <c r="C29" s="910"/>
      <c r="D29" s="874"/>
      <c r="E29" s="874"/>
      <c r="F29" s="42" t="s">
        <v>2342</v>
      </c>
      <c r="G29" s="42">
        <v>93411</v>
      </c>
      <c r="H29" s="43"/>
      <c r="I29" s="42">
        <v>75</v>
      </c>
      <c r="J29" s="44">
        <v>2888.6</v>
      </c>
      <c r="K29" s="878"/>
      <c r="L29" s="912"/>
    </row>
    <row r="30" spans="1:12" ht="15" thickBot="1" x14ac:dyDescent="0.35">
      <c r="A30" s="175">
        <v>50</v>
      </c>
      <c r="B30" s="242">
        <v>1724.5</v>
      </c>
      <c r="C30" s="8" t="s">
        <v>2523</v>
      </c>
      <c r="D30" s="8">
        <f t="shared" ref="D30:E32" si="16">+I30</f>
        <v>50</v>
      </c>
      <c r="E30" s="8">
        <f t="shared" si="16"/>
        <v>1640.2</v>
      </c>
      <c r="F30" s="45" t="s">
        <v>2524</v>
      </c>
      <c r="G30" s="45">
        <v>93951</v>
      </c>
      <c r="H30" s="14"/>
      <c r="I30" s="45">
        <v>50</v>
      </c>
      <c r="J30" s="46">
        <v>1640.2</v>
      </c>
      <c r="K30" s="52">
        <f t="shared" si="13"/>
        <v>0</v>
      </c>
      <c r="L30" s="33">
        <f t="shared" ref="L30:L34" si="17">(+B30-E30)/B30</f>
        <v>4.8883734415772664E-2</v>
      </c>
    </row>
    <row r="31" spans="1:12" ht="15" thickBot="1" x14ac:dyDescent="0.35">
      <c r="A31" s="175">
        <v>26</v>
      </c>
      <c r="B31" s="242">
        <v>893</v>
      </c>
      <c r="C31" s="8" t="s">
        <v>2525</v>
      </c>
      <c r="D31" s="8">
        <f t="shared" si="16"/>
        <v>26</v>
      </c>
      <c r="E31" s="8">
        <f t="shared" si="16"/>
        <v>852</v>
      </c>
      <c r="F31" s="45" t="s">
        <v>2526</v>
      </c>
      <c r="G31" s="45">
        <v>94381</v>
      </c>
      <c r="H31" s="14"/>
      <c r="I31" s="45">
        <v>26</v>
      </c>
      <c r="J31" s="46">
        <v>852</v>
      </c>
      <c r="K31" s="52">
        <f t="shared" si="13"/>
        <v>0</v>
      </c>
      <c r="L31" s="33">
        <f t="shared" si="17"/>
        <v>4.591265397536394E-2</v>
      </c>
    </row>
    <row r="32" spans="1:12" ht="15" thickBot="1" x14ac:dyDescent="0.35">
      <c r="A32" s="175">
        <v>107</v>
      </c>
      <c r="B32" s="242">
        <v>3635</v>
      </c>
      <c r="C32" s="8" t="s">
        <v>2527</v>
      </c>
      <c r="D32" s="8">
        <f t="shared" si="16"/>
        <v>107</v>
      </c>
      <c r="E32" s="8">
        <f t="shared" si="16"/>
        <v>3464.9</v>
      </c>
      <c r="F32" s="45" t="s">
        <v>2528</v>
      </c>
      <c r="G32" s="45">
        <v>94391</v>
      </c>
      <c r="H32" s="14"/>
      <c r="I32" s="45">
        <v>107</v>
      </c>
      <c r="J32" s="46">
        <v>3464.9</v>
      </c>
      <c r="K32" s="52">
        <f t="shared" si="13"/>
        <v>0</v>
      </c>
      <c r="L32" s="33">
        <f t="shared" si="17"/>
        <v>4.6795048143053623E-2</v>
      </c>
    </row>
    <row r="33" spans="1:12" ht="15" thickBot="1" x14ac:dyDescent="0.35">
      <c r="A33" s="175">
        <v>80</v>
      </c>
      <c r="B33" s="242">
        <v>2715</v>
      </c>
      <c r="C33" s="8" t="s">
        <v>2529</v>
      </c>
      <c r="D33" s="8">
        <f>+I33</f>
        <v>80</v>
      </c>
      <c r="E33" s="8">
        <f>+J33</f>
        <v>2578.5</v>
      </c>
      <c r="F33" s="45" t="s">
        <v>2530</v>
      </c>
      <c r="G33" s="45">
        <v>94551</v>
      </c>
      <c r="H33" s="14"/>
      <c r="I33" s="45">
        <v>80</v>
      </c>
      <c r="J33" s="46">
        <v>2578.5</v>
      </c>
      <c r="K33" s="52">
        <f t="shared" si="13"/>
        <v>0</v>
      </c>
      <c r="L33" s="33">
        <f t="shared" si="17"/>
        <v>5.0276243093922653E-2</v>
      </c>
    </row>
    <row r="34" spans="1:12" ht="15" thickBot="1" x14ac:dyDescent="0.35">
      <c r="A34" s="175">
        <v>51</v>
      </c>
      <c r="B34" s="242">
        <v>1708.75</v>
      </c>
      <c r="C34" s="8" t="s">
        <v>2531</v>
      </c>
      <c r="D34" s="8">
        <f>+I34</f>
        <v>51</v>
      </c>
      <c r="E34" s="8">
        <f>+J34</f>
        <v>1635.7</v>
      </c>
      <c r="F34" s="45" t="s">
        <v>2532</v>
      </c>
      <c r="G34" s="45">
        <v>94561</v>
      </c>
      <c r="H34" s="14"/>
      <c r="I34" s="45">
        <v>51</v>
      </c>
      <c r="J34" s="46">
        <v>1635.7</v>
      </c>
      <c r="K34" s="52">
        <f t="shared" si="13"/>
        <v>0</v>
      </c>
      <c r="L34" s="33">
        <f t="shared" si="17"/>
        <v>4.2750548646671514E-2</v>
      </c>
    </row>
    <row r="35" spans="1:12" x14ac:dyDescent="0.3">
      <c r="A35" s="871">
        <v>240</v>
      </c>
      <c r="B35" s="964">
        <v>10411.25</v>
      </c>
      <c r="C35" s="873" t="s">
        <v>2671</v>
      </c>
      <c r="D35" s="873">
        <f>+I35+I36</f>
        <v>240</v>
      </c>
      <c r="E35" s="873">
        <f>+J35+J36</f>
        <v>9770.4</v>
      </c>
      <c r="F35" s="39" t="s">
        <v>2672</v>
      </c>
      <c r="G35" s="39">
        <v>94571</v>
      </c>
      <c r="H35" s="40"/>
      <c r="I35" s="39">
        <v>200</v>
      </c>
      <c r="J35" s="41">
        <v>8135.5</v>
      </c>
      <c r="K35" s="877">
        <f t="shared" si="13"/>
        <v>0</v>
      </c>
      <c r="L35" s="911">
        <f>(+B35-E35)/B35</f>
        <v>6.1553607876095602E-2</v>
      </c>
    </row>
    <row r="36" spans="1:12" ht="15" thickBot="1" x14ac:dyDescent="0.35">
      <c r="A36" s="872"/>
      <c r="B36" s="965"/>
      <c r="C36" s="874"/>
      <c r="D36" s="874"/>
      <c r="E36" s="874"/>
      <c r="F36" s="42" t="s">
        <v>2672</v>
      </c>
      <c r="G36" s="42">
        <v>94571</v>
      </c>
      <c r="H36" s="43"/>
      <c r="I36" s="42">
        <v>40</v>
      </c>
      <c r="J36" s="44">
        <v>1634.9</v>
      </c>
      <c r="K36" s="878"/>
      <c r="L36" s="912"/>
    </row>
    <row r="37" spans="1:12" ht="15" thickBot="1" x14ac:dyDescent="0.35">
      <c r="A37" s="175">
        <v>93</v>
      </c>
      <c r="B37" s="242">
        <v>3139.5</v>
      </c>
      <c r="C37" s="8" t="s">
        <v>2992</v>
      </c>
      <c r="D37" s="8">
        <f t="shared" ref="D37:E39" si="18">+I37</f>
        <v>93</v>
      </c>
      <c r="E37" s="8">
        <f t="shared" si="18"/>
        <v>3045.5</v>
      </c>
      <c r="F37" s="45" t="s">
        <v>2993</v>
      </c>
      <c r="G37" s="45">
        <v>94631</v>
      </c>
      <c r="H37" s="14"/>
      <c r="I37" s="45">
        <v>93</v>
      </c>
      <c r="J37" s="46">
        <v>3045.5</v>
      </c>
      <c r="K37" s="52">
        <f t="shared" ref="K37" si="19">+A37-D37</f>
        <v>0</v>
      </c>
      <c r="L37" s="33">
        <f t="shared" ref="L37" si="20">(+B37-E37)/B37</f>
        <v>2.9941073419334288E-2</v>
      </c>
    </row>
    <row r="38" spans="1:12" ht="15" thickBot="1" x14ac:dyDescent="0.35">
      <c r="A38" s="175">
        <v>82</v>
      </c>
      <c r="B38" s="242">
        <v>2791.5</v>
      </c>
      <c r="C38" s="8" t="s">
        <v>2673</v>
      </c>
      <c r="D38" s="8">
        <f t="shared" si="18"/>
        <v>82</v>
      </c>
      <c r="E38" s="8">
        <f t="shared" si="18"/>
        <v>2652.7</v>
      </c>
      <c r="F38" s="45" t="s">
        <v>2674</v>
      </c>
      <c r="G38" s="45">
        <v>94751</v>
      </c>
      <c r="H38" s="14"/>
      <c r="I38" s="45">
        <v>82</v>
      </c>
      <c r="J38" s="46">
        <v>2652.7</v>
      </c>
      <c r="K38" s="52">
        <f t="shared" si="13"/>
        <v>0</v>
      </c>
      <c r="L38" s="33">
        <f t="shared" ref="L38:L41" si="21">(+B38-E38)/B38</f>
        <v>4.972237148486483E-2</v>
      </c>
    </row>
    <row r="39" spans="1:12" ht="15" thickBot="1" x14ac:dyDescent="0.35">
      <c r="A39" s="199">
        <v>26</v>
      </c>
      <c r="B39" s="275">
        <v>891.75</v>
      </c>
      <c r="C39" s="10" t="s">
        <v>2653</v>
      </c>
      <c r="D39" s="8">
        <f t="shared" si="18"/>
        <v>26</v>
      </c>
      <c r="E39" s="8">
        <f t="shared" si="18"/>
        <v>838.2</v>
      </c>
      <c r="F39" s="42" t="s">
        <v>2654</v>
      </c>
      <c r="G39" s="42">
        <v>94761</v>
      </c>
      <c r="H39" s="43"/>
      <c r="I39" s="42">
        <v>26</v>
      </c>
      <c r="J39" s="44">
        <v>838.2</v>
      </c>
      <c r="K39" s="52">
        <f t="shared" si="13"/>
        <v>0</v>
      </c>
      <c r="L39" s="33">
        <f t="shared" si="21"/>
        <v>6.0050462573591201E-2</v>
      </c>
    </row>
    <row r="40" spans="1:12" ht="15" thickBot="1" x14ac:dyDescent="0.35">
      <c r="A40" s="175">
        <v>225</v>
      </c>
      <c r="B40" s="242">
        <v>10338.5</v>
      </c>
      <c r="C40" s="8" t="s">
        <v>2822</v>
      </c>
      <c r="D40" s="8">
        <f t="shared" ref="D40:E42" si="22">+I40</f>
        <v>225</v>
      </c>
      <c r="E40" s="8">
        <f t="shared" si="22"/>
        <v>9893</v>
      </c>
      <c r="F40" s="45" t="s">
        <v>2823</v>
      </c>
      <c r="G40" s="45">
        <v>94911</v>
      </c>
      <c r="H40" s="14"/>
      <c r="I40" s="45">
        <v>225</v>
      </c>
      <c r="J40" s="46">
        <v>9893</v>
      </c>
      <c r="K40" s="52">
        <f t="shared" si="13"/>
        <v>0</v>
      </c>
      <c r="L40" s="33">
        <f t="shared" si="21"/>
        <v>4.3091357547032937E-2</v>
      </c>
    </row>
    <row r="41" spans="1:12" ht="15" thickBot="1" x14ac:dyDescent="0.35">
      <c r="A41" s="175">
        <v>309</v>
      </c>
      <c r="B41" s="242">
        <v>13883.25</v>
      </c>
      <c r="C41" s="8" t="s">
        <v>2946</v>
      </c>
      <c r="D41" s="8">
        <f t="shared" si="22"/>
        <v>309</v>
      </c>
      <c r="E41" s="8">
        <f t="shared" si="22"/>
        <v>13444.7</v>
      </c>
      <c r="F41" s="45" t="s">
        <v>2947</v>
      </c>
      <c r="G41" s="45">
        <v>95131</v>
      </c>
      <c r="H41" s="14"/>
      <c r="I41" s="45">
        <v>309</v>
      </c>
      <c r="J41" s="46">
        <v>13444.7</v>
      </c>
      <c r="K41" s="52">
        <f t="shared" si="13"/>
        <v>0</v>
      </c>
      <c r="L41" s="33">
        <f t="shared" si="21"/>
        <v>3.1588424900509553E-2</v>
      </c>
    </row>
    <row r="42" spans="1:12" ht="15" thickBot="1" x14ac:dyDescent="0.35">
      <c r="A42" s="175">
        <v>135</v>
      </c>
      <c r="B42" s="242">
        <v>4510</v>
      </c>
      <c r="C42" s="8" t="s">
        <v>3094</v>
      </c>
      <c r="D42" s="8">
        <f t="shared" si="22"/>
        <v>135</v>
      </c>
      <c r="E42" s="8">
        <f t="shared" si="22"/>
        <v>4387.8999999999996</v>
      </c>
      <c r="F42" s="45" t="s">
        <v>3095</v>
      </c>
      <c r="G42" s="45">
        <v>96071</v>
      </c>
      <c r="H42" s="14"/>
      <c r="I42" s="45">
        <v>135</v>
      </c>
      <c r="J42" s="46">
        <v>4387.8999999999996</v>
      </c>
      <c r="K42" s="52">
        <f t="shared" si="13"/>
        <v>0</v>
      </c>
      <c r="L42" s="31">
        <f t="shared" ref="L42:L43" si="23">((+B42/A42)-(E42/D42))/(B42/A42)</f>
        <v>2.7073170731707296E-2</v>
      </c>
    </row>
    <row r="43" spans="1:12" x14ac:dyDescent="0.3">
      <c r="A43" s="871">
        <v>300</v>
      </c>
      <c r="B43" s="964">
        <v>13044.25</v>
      </c>
      <c r="C43" s="873" t="s">
        <v>3096</v>
      </c>
      <c r="D43" s="873">
        <f>+I43+I44</f>
        <v>300</v>
      </c>
      <c r="E43" s="873">
        <f>+J43+J44</f>
        <v>12578.400000000001</v>
      </c>
      <c r="F43" s="39" t="s">
        <v>3097</v>
      </c>
      <c r="G43" s="39">
        <v>96131</v>
      </c>
      <c r="H43" s="40"/>
      <c r="I43" s="39">
        <v>217</v>
      </c>
      <c r="J43" s="41">
        <v>9117.2000000000007</v>
      </c>
      <c r="K43" s="877">
        <f t="shared" si="13"/>
        <v>0</v>
      </c>
      <c r="L43" s="879">
        <f t="shared" si="23"/>
        <v>3.5713053644326018E-2</v>
      </c>
    </row>
    <row r="44" spans="1:12" ht="15" thickBot="1" x14ac:dyDescent="0.35">
      <c r="A44" s="872"/>
      <c r="B44" s="965"/>
      <c r="C44" s="874"/>
      <c r="D44" s="874"/>
      <c r="E44" s="874"/>
      <c r="F44" s="42" t="s">
        <v>3097</v>
      </c>
      <c r="G44" s="42">
        <v>96131</v>
      </c>
      <c r="H44" s="43"/>
      <c r="I44" s="42">
        <v>83</v>
      </c>
      <c r="J44" s="44">
        <v>3461.2</v>
      </c>
      <c r="K44" s="878"/>
      <c r="L44" s="880"/>
    </row>
    <row r="45" spans="1:12" ht="15" thickBot="1" x14ac:dyDescent="0.35">
      <c r="A45" s="175">
        <v>27</v>
      </c>
      <c r="B45" s="242">
        <v>918.5</v>
      </c>
      <c r="C45" s="8" t="s">
        <v>3098</v>
      </c>
      <c r="D45" s="8">
        <f t="shared" ref="D45:E46" si="24">+I45</f>
        <v>29</v>
      </c>
      <c r="E45" s="8">
        <f t="shared" si="24"/>
        <v>957.2</v>
      </c>
      <c r="F45" s="45" t="s">
        <v>3099</v>
      </c>
      <c r="G45" s="45">
        <v>96201</v>
      </c>
      <c r="H45" s="14"/>
      <c r="I45" s="45">
        <v>29</v>
      </c>
      <c r="J45" s="46">
        <v>957.2</v>
      </c>
      <c r="K45" s="52">
        <f t="shared" si="13"/>
        <v>-2</v>
      </c>
      <c r="L45" s="31">
        <f t="shared" ref="L45:L48" si="25">((+B45/A45)-(E45/D45))/(B45/A45)</f>
        <v>2.9737390422915892E-2</v>
      </c>
    </row>
    <row r="46" spans="1:12" ht="15" thickBot="1" x14ac:dyDescent="0.35">
      <c r="A46" s="199">
        <v>76</v>
      </c>
      <c r="B46" s="275">
        <v>2514.25</v>
      </c>
      <c r="C46" s="10" t="s">
        <v>3100</v>
      </c>
      <c r="D46" s="10">
        <f t="shared" si="24"/>
        <v>76</v>
      </c>
      <c r="E46" s="10">
        <f t="shared" si="24"/>
        <v>2510.9</v>
      </c>
      <c r="F46" s="42" t="s">
        <v>3101</v>
      </c>
      <c r="G46" s="42">
        <v>96231</v>
      </c>
      <c r="H46" s="43"/>
      <c r="I46" s="42">
        <v>76</v>
      </c>
      <c r="J46" s="44">
        <v>2510.9</v>
      </c>
      <c r="K46" s="52">
        <f t="shared" si="13"/>
        <v>0</v>
      </c>
      <c r="L46" s="31">
        <f t="shared" si="25"/>
        <v>1.3324052898478086E-3</v>
      </c>
    </row>
    <row r="47" spans="1:12" ht="15" thickBot="1" x14ac:dyDescent="0.35">
      <c r="A47" s="199">
        <v>666</v>
      </c>
      <c r="B47" s="275">
        <v>31039.25</v>
      </c>
      <c r="C47" s="10" t="s">
        <v>3102</v>
      </c>
      <c r="D47" s="10">
        <v>666</v>
      </c>
      <c r="E47" s="10">
        <v>30087.7</v>
      </c>
      <c r="F47" s="42" t="s">
        <v>3103</v>
      </c>
      <c r="G47" s="42">
        <v>96371</v>
      </c>
      <c r="H47" s="43"/>
      <c r="I47" s="42">
        <v>320</v>
      </c>
      <c r="J47" s="44">
        <v>14111.6</v>
      </c>
      <c r="K47" s="52">
        <f t="shared" si="13"/>
        <v>0</v>
      </c>
      <c r="L47" s="31">
        <f t="shared" si="25"/>
        <v>3.0656346400122412E-2</v>
      </c>
    </row>
    <row r="48" spans="1:12" x14ac:dyDescent="0.3">
      <c r="A48" s="871">
        <v>704</v>
      </c>
      <c r="B48" s="964">
        <v>31389.25</v>
      </c>
      <c r="C48" s="873" t="s">
        <v>3246</v>
      </c>
      <c r="D48" s="873">
        <f>+I48+I49+277</f>
        <v>680</v>
      </c>
      <c r="E48" s="873">
        <f>+J48+J49+11880.3</f>
        <v>29088.3</v>
      </c>
      <c r="F48" s="39" t="s">
        <v>3247</v>
      </c>
      <c r="G48" s="39">
        <v>96531</v>
      </c>
      <c r="H48" s="40"/>
      <c r="I48" s="39">
        <v>200</v>
      </c>
      <c r="J48" s="41">
        <v>8594.6</v>
      </c>
      <c r="K48" s="877">
        <f t="shared" ref="K48" si="26">+A48-D48</f>
        <v>24</v>
      </c>
      <c r="L48" s="879">
        <f t="shared" si="25"/>
        <v>4.0596832280066032E-2</v>
      </c>
    </row>
    <row r="49" spans="1:12" ht="15" thickBot="1" x14ac:dyDescent="0.35">
      <c r="A49" s="872"/>
      <c r="B49" s="965"/>
      <c r="C49" s="874"/>
      <c r="D49" s="874"/>
      <c r="E49" s="874"/>
      <c r="F49" s="42" t="s">
        <v>3247</v>
      </c>
      <c r="G49" s="42">
        <v>96531</v>
      </c>
      <c r="H49" s="43"/>
      <c r="I49" s="42">
        <v>203</v>
      </c>
      <c r="J49" s="44">
        <v>8613.4</v>
      </c>
      <c r="K49" s="878"/>
      <c r="L49" s="880"/>
    </row>
    <row r="50" spans="1:12" ht="15" thickBot="1" x14ac:dyDescent="0.35">
      <c r="A50" s="313">
        <v>282</v>
      </c>
      <c r="B50" s="316">
        <v>12771.75</v>
      </c>
      <c r="C50" s="27" t="s">
        <v>3475</v>
      </c>
      <c r="D50" s="8">
        <f>+I50</f>
        <v>280</v>
      </c>
      <c r="E50" s="8">
        <f>+J50</f>
        <v>12039.9</v>
      </c>
      <c r="F50" s="45" t="s">
        <v>3476</v>
      </c>
      <c r="G50" s="45">
        <v>97091</v>
      </c>
      <c r="H50" s="14"/>
      <c r="I50" s="45">
        <v>280</v>
      </c>
      <c r="J50" s="46">
        <v>12039.9</v>
      </c>
      <c r="K50" s="52">
        <f t="shared" ref="K50" si="27">+A50-D50</f>
        <v>2</v>
      </c>
      <c r="L50" s="31">
        <f t="shared" ref="L50" si="28">((+B50/A50)-(E50/D50))/(B50/A50)</f>
        <v>5.0568693740929468E-2</v>
      </c>
    </row>
    <row r="51" spans="1:12" ht="15" thickBot="1" x14ac:dyDescent="0.35">
      <c r="A51" s="175">
        <v>273</v>
      </c>
      <c r="B51" s="242">
        <v>12380.25</v>
      </c>
      <c r="C51" s="8" t="s">
        <v>3621</v>
      </c>
      <c r="D51" s="8">
        <f>+I51</f>
        <v>273</v>
      </c>
      <c r="E51" s="8">
        <f>+J51</f>
        <v>11771.1</v>
      </c>
      <c r="F51" s="45" t="s">
        <v>3622</v>
      </c>
      <c r="G51" s="45">
        <v>97711</v>
      </c>
      <c r="H51" s="14"/>
      <c r="I51" s="45">
        <v>273</v>
      </c>
      <c r="J51" s="46">
        <v>11771.1</v>
      </c>
      <c r="K51" s="52">
        <f t="shared" ref="K51" si="29">+A51-D51</f>
        <v>0</v>
      </c>
      <c r="L51" s="31">
        <f t="shared" ref="L51" si="30">((+B51/A51)-(E51/D51))/(B51/A51)</f>
        <v>4.9203368268007551E-2</v>
      </c>
    </row>
    <row r="52" spans="1:12" ht="15" thickBot="1" x14ac:dyDescent="0.35">
      <c r="A52" s="175">
        <v>228</v>
      </c>
      <c r="B52" s="326">
        <v>10347.75</v>
      </c>
      <c r="C52" s="8" t="s">
        <v>3791</v>
      </c>
      <c r="D52" s="8">
        <f t="shared" ref="D52:E52" si="31">+I52</f>
        <v>228</v>
      </c>
      <c r="E52" s="8">
        <f t="shared" si="31"/>
        <v>9819.9</v>
      </c>
      <c r="F52" s="45" t="s">
        <v>3792</v>
      </c>
      <c r="G52" s="45">
        <v>98131</v>
      </c>
      <c r="H52" s="14"/>
      <c r="I52" s="45">
        <v>228</v>
      </c>
      <c r="J52" s="46">
        <v>9819.9</v>
      </c>
      <c r="K52" s="52">
        <f t="shared" ref="K52:K53" si="32">+A52-D52</f>
        <v>0</v>
      </c>
      <c r="L52" s="31">
        <f t="shared" ref="L52:L53" si="33">((+B52/A52)-(E52/D52))/(B52/A52)</f>
        <v>5.1011089367253688E-2</v>
      </c>
    </row>
    <row r="53" spans="1:12" x14ac:dyDescent="0.3">
      <c r="A53" s="871">
        <v>510</v>
      </c>
      <c r="B53" s="1006">
        <v>23024.5</v>
      </c>
      <c r="C53" s="873" t="s">
        <v>4059</v>
      </c>
      <c r="D53" s="873">
        <f>+I53+I54</f>
        <v>508</v>
      </c>
      <c r="E53" s="873">
        <f>+J53+J54</f>
        <v>22129.7</v>
      </c>
      <c r="F53" s="39" t="s">
        <v>4060</v>
      </c>
      <c r="G53" s="39">
        <v>98391</v>
      </c>
      <c r="H53" s="40"/>
      <c r="I53" s="39">
        <v>236</v>
      </c>
      <c r="J53" s="41">
        <v>10043.6</v>
      </c>
      <c r="K53" s="877">
        <f t="shared" si="32"/>
        <v>2</v>
      </c>
      <c r="L53" s="879">
        <f t="shared" si="33"/>
        <v>3.5078946202974769E-2</v>
      </c>
    </row>
    <row r="54" spans="1:12" ht="15" thickBot="1" x14ac:dyDescent="0.35">
      <c r="A54" s="872"/>
      <c r="B54" s="1007"/>
      <c r="C54" s="874"/>
      <c r="D54" s="874"/>
      <c r="E54" s="874"/>
      <c r="F54" s="42" t="s">
        <v>4060</v>
      </c>
      <c r="G54" s="42">
        <v>98391</v>
      </c>
      <c r="H54" s="43"/>
      <c r="I54" s="42">
        <v>272</v>
      </c>
      <c r="J54" s="44">
        <v>12086.1</v>
      </c>
      <c r="K54" s="878"/>
      <c r="L54" s="880"/>
    </row>
    <row r="55" spans="1:12" x14ac:dyDescent="0.3">
      <c r="A55" s="871">
        <v>442</v>
      </c>
      <c r="B55" s="1006">
        <v>20000.5</v>
      </c>
      <c r="C55" s="873" t="s">
        <v>4284</v>
      </c>
      <c r="D55" s="873">
        <f>+I55+I56</f>
        <v>440</v>
      </c>
      <c r="E55" s="873">
        <f>+J55+J56</f>
        <v>19196.099999999999</v>
      </c>
      <c r="F55" s="39" t="s">
        <v>4285</v>
      </c>
      <c r="G55" s="39">
        <v>98491</v>
      </c>
      <c r="H55" s="40"/>
      <c r="I55" s="39">
        <v>200</v>
      </c>
      <c r="J55" s="41">
        <v>8647.6</v>
      </c>
      <c r="K55" s="877">
        <f t="shared" ref="K55" si="34">+A55-D55</f>
        <v>2</v>
      </c>
      <c r="L55" s="879">
        <f t="shared" ref="L55" si="35">((+B55/A55)-(E55/D55))/(B55/A55)</f>
        <v>3.5856353591160274E-2</v>
      </c>
    </row>
    <row r="56" spans="1:12" ht="15" thickBot="1" x14ac:dyDescent="0.35">
      <c r="A56" s="872"/>
      <c r="B56" s="1007"/>
      <c r="C56" s="874"/>
      <c r="D56" s="874"/>
      <c r="E56" s="874"/>
      <c r="F56" s="42" t="s">
        <v>4285</v>
      </c>
      <c r="G56" s="42">
        <v>98491</v>
      </c>
      <c r="H56" s="43"/>
      <c r="I56" s="42">
        <v>240</v>
      </c>
      <c r="J56" s="44">
        <v>10548.5</v>
      </c>
      <c r="K56" s="878"/>
      <c r="L56" s="880"/>
    </row>
    <row r="57" spans="1:12" ht="15" thickBot="1" x14ac:dyDescent="0.35">
      <c r="A57" s="178">
        <v>265</v>
      </c>
      <c r="B57" s="8">
        <v>13014.5</v>
      </c>
      <c r="C57" s="45" t="s">
        <v>4061</v>
      </c>
      <c r="D57" s="45">
        <f>+I57</f>
        <v>267</v>
      </c>
      <c r="E57" s="45">
        <f>+J57</f>
        <v>11404.2</v>
      </c>
      <c r="F57" s="45" t="s">
        <v>4062</v>
      </c>
      <c r="G57" s="45">
        <v>98771</v>
      </c>
      <c r="H57" s="14"/>
      <c r="I57" s="45">
        <v>267</v>
      </c>
      <c r="J57" s="46">
        <v>11404.2</v>
      </c>
      <c r="K57" s="52">
        <f t="shared" ref="K57" si="36">+A57-D57</f>
        <v>-2</v>
      </c>
      <c r="L57" s="31">
        <f t="shared" ref="L57" si="37">((+B57/A57)-(E57/D57))/(B57/A57)</f>
        <v>0.13029503393147046</v>
      </c>
    </row>
    <row r="58" spans="1:12" ht="15" thickBot="1" x14ac:dyDescent="0.35">
      <c r="A58" s="178">
        <v>767</v>
      </c>
      <c r="B58" s="8">
        <v>33705</v>
      </c>
      <c r="C58" s="45" t="s">
        <v>4359</v>
      </c>
      <c r="D58" s="42">
        <v>767</v>
      </c>
      <c r="E58" s="42">
        <v>32698</v>
      </c>
      <c r="F58" s="45" t="s">
        <v>4360</v>
      </c>
      <c r="G58" s="45">
        <v>99171</v>
      </c>
      <c r="H58" s="14"/>
      <c r="I58" s="45">
        <v>396</v>
      </c>
      <c r="J58" s="46">
        <v>16323.900000000001</v>
      </c>
      <c r="K58" s="52">
        <f t="shared" ref="K58" si="38">+A58-D58</f>
        <v>0</v>
      </c>
      <c r="L58" s="31">
        <f t="shared" ref="L58" si="39">((+B58/A58)-(E58/D58))/(B58/A58)</f>
        <v>2.9876872867527115E-2</v>
      </c>
    </row>
    <row r="59" spans="1:12" ht="15" thickBot="1" x14ac:dyDescent="0.35">
      <c r="A59" s="178">
        <v>310</v>
      </c>
      <c r="B59" s="8">
        <v>13852.5</v>
      </c>
      <c r="C59" s="45" t="s">
        <v>4723</v>
      </c>
      <c r="D59" s="42">
        <f>+I59</f>
        <v>310</v>
      </c>
      <c r="E59" s="42">
        <f>+J59</f>
        <v>13507.5</v>
      </c>
      <c r="F59" s="45" t="s">
        <v>4724</v>
      </c>
      <c r="G59" s="45">
        <v>99521</v>
      </c>
      <c r="H59" s="14"/>
      <c r="I59" s="45">
        <v>310</v>
      </c>
      <c r="J59" s="46">
        <v>13507.5</v>
      </c>
      <c r="K59" s="52">
        <f t="shared" ref="K59" si="40">+A59-D59</f>
        <v>0</v>
      </c>
      <c r="L59" s="31">
        <f t="shared" ref="L59" si="41">((+B59/A59)-(E59/D59))/(B59/A59)</f>
        <v>2.4905251759610263E-2</v>
      </c>
    </row>
    <row r="60" spans="1:12" ht="15" thickBot="1" x14ac:dyDescent="0.35">
      <c r="A60" s="207">
        <v>348</v>
      </c>
      <c r="B60" s="161">
        <v>15644.25</v>
      </c>
      <c r="C60" s="186" t="s">
        <v>4915</v>
      </c>
      <c r="D60" s="8">
        <v>348</v>
      </c>
      <c r="E60" s="8">
        <v>15200.2</v>
      </c>
      <c r="F60" s="45" t="s">
        <v>4916</v>
      </c>
      <c r="G60" s="45">
        <v>100261</v>
      </c>
      <c r="H60" s="14"/>
      <c r="I60" s="45">
        <v>200</v>
      </c>
      <c r="J60" s="46">
        <v>8740.4</v>
      </c>
      <c r="K60" s="52">
        <f t="shared" ref="K60" si="42">+A60-D60</f>
        <v>0</v>
      </c>
      <c r="L60" s="31">
        <f t="shared" ref="L60" si="43">((+B60/A60)-(E60/D60))/(B60/A60)</f>
        <v>2.8384230627866391E-2</v>
      </c>
    </row>
    <row r="61" spans="1:12" ht="15" thickBot="1" x14ac:dyDescent="0.35">
      <c r="A61" s="178">
        <v>490</v>
      </c>
      <c r="B61" s="45">
        <v>22157.25</v>
      </c>
      <c r="C61" s="45" t="s">
        <v>5328</v>
      </c>
      <c r="D61" s="45">
        <v>320</v>
      </c>
      <c r="E61" s="45">
        <v>13992.8</v>
      </c>
      <c r="F61" s="45" t="s">
        <v>5329</v>
      </c>
      <c r="G61" s="45">
        <v>101071</v>
      </c>
      <c r="H61" s="14"/>
      <c r="I61" s="45">
        <v>200</v>
      </c>
      <c r="J61" s="46">
        <v>8863.2999999999993</v>
      </c>
      <c r="K61" s="52">
        <f t="shared" ref="K61" si="44">+A61-D61</f>
        <v>170</v>
      </c>
      <c r="L61" s="31">
        <f t="shared" ref="L61" si="45">((+B61/A61)-(E61/D61))/(B61/A61)</f>
        <v>3.2981304087826742E-2</v>
      </c>
    </row>
    <row r="63" spans="1:12" x14ac:dyDescent="0.3">
      <c r="A63" s="124">
        <f>SUM(A5:A62)</f>
        <v>11831</v>
      </c>
      <c r="B63" s="124">
        <f>SUM(B5:B62)</f>
        <v>512548.35310000001</v>
      </c>
      <c r="D63" s="124">
        <f>SUM(D5:D62)</f>
        <v>11573</v>
      </c>
      <c r="E63" s="124">
        <f>SUM(E5:E62)</f>
        <v>480000.00000000006</v>
      </c>
    </row>
  </sheetData>
  <mergeCells count="61">
    <mergeCell ref="K43:K44"/>
    <mergeCell ref="L43:L44"/>
    <mergeCell ref="A43:A44"/>
    <mergeCell ref="B43:B44"/>
    <mergeCell ref="C43:C44"/>
    <mergeCell ref="D43:D44"/>
    <mergeCell ref="E43:E44"/>
    <mergeCell ref="K35:K36"/>
    <mergeCell ref="L35:L36"/>
    <mergeCell ref="A35:A36"/>
    <mergeCell ref="B35:B36"/>
    <mergeCell ref="C35:C36"/>
    <mergeCell ref="D35:D36"/>
    <mergeCell ref="E35:E36"/>
    <mergeCell ref="A3:C3"/>
    <mergeCell ref="D3:E3"/>
    <mergeCell ref="G3:G4"/>
    <mergeCell ref="K3:K4"/>
    <mergeCell ref="L3:L4"/>
    <mergeCell ref="K5:K6"/>
    <mergeCell ref="L5:L6"/>
    <mergeCell ref="A8:A9"/>
    <mergeCell ref="B8:B9"/>
    <mergeCell ref="C8:C9"/>
    <mergeCell ref="D8:D9"/>
    <mergeCell ref="E8:E9"/>
    <mergeCell ref="K8:K9"/>
    <mergeCell ref="L8:L9"/>
    <mergeCell ref="A5:A6"/>
    <mergeCell ref="B5:B6"/>
    <mergeCell ref="C5:C6"/>
    <mergeCell ref="D5:D6"/>
    <mergeCell ref="E5:E6"/>
    <mergeCell ref="K28:K29"/>
    <mergeCell ref="L28:L29"/>
    <mergeCell ref="A28:A29"/>
    <mergeCell ref="B28:B29"/>
    <mergeCell ref="C28:C29"/>
    <mergeCell ref="D28:D29"/>
    <mergeCell ref="E28:E29"/>
    <mergeCell ref="K48:K49"/>
    <mergeCell ref="L48:L49"/>
    <mergeCell ref="A48:A49"/>
    <mergeCell ref="B48:B49"/>
    <mergeCell ref="C48:C49"/>
    <mergeCell ref="D48:D49"/>
    <mergeCell ref="E48:E49"/>
    <mergeCell ref="K53:K54"/>
    <mergeCell ref="L53:L54"/>
    <mergeCell ref="A53:A54"/>
    <mergeCell ref="B53:B54"/>
    <mergeCell ref="C53:C54"/>
    <mergeCell ref="D53:D54"/>
    <mergeCell ref="E53:E54"/>
    <mergeCell ref="K55:K56"/>
    <mergeCell ref="L55:L56"/>
    <mergeCell ref="A55:A56"/>
    <mergeCell ref="B55:B56"/>
    <mergeCell ref="C55:C56"/>
    <mergeCell ref="D55:D56"/>
    <mergeCell ref="E55:E5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33"/>
  <sheetViews>
    <sheetView zoomScale="80" zoomScaleNormal="80" workbookViewId="0">
      <selection activeCell="E38" sqref="E38"/>
    </sheetView>
  </sheetViews>
  <sheetFormatPr baseColWidth="10" defaultColWidth="8.88671875" defaultRowHeight="14.4" x14ac:dyDescent="0.3"/>
  <cols>
    <col min="1" max="1" width="11.88671875" customWidth="1"/>
    <col min="2" max="2" width="13.5546875" customWidth="1"/>
    <col min="3" max="3" width="12" customWidth="1"/>
    <col min="4" max="4" width="10.44140625" customWidth="1"/>
    <col min="5" max="5" width="12.33203125" bestFit="1" customWidth="1"/>
    <col min="6" max="6" width="10.44140625" customWidth="1"/>
    <col min="7" max="7" width="9.88671875" customWidth="1"/>
    <col min="8" max="8" width="13.109375" hidden="1" customWidth="1"/>
    <col min="9" max="9" width="6.33203125" hidden="1" customWidth="1"/>
    <col min="10" max="10" width="8.6640625" hidden="1" customWidth="1"/>
    <col min="12" max="12" width="12" bestFit="1" customWidth="1"/>
  </cols>
  <sheetData>
    <row r="1" spans="1:12" ht="23.4" x14ac:dyDescent="0.3">
      <c r="A1" s="1" t="s">
        <v>1573</v>
      </c>
      <c r="B1" s="1"/>
      <c r="C1" s="1"/>
      <c r="D1" s="1"/>
      <c r="E1" s="1"/>
      <c r="F1" s="1"/>
      <c r="G1" s="1"/>
      <c r="H1" s="1"/>
      <c r="I1" s="1"/>
      <c r="J1" s="2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2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72" t="s">
        <v>8</v>
      </c>
      <c r="G4" s="923"/>
      <c r="H4" s="7" t="s">
        <v>9</v>
      </c>
      <c r="I4" s="6" t="s">
        <v>5</v>
      </c>
      <c r="J4" s="6" t="s">
        <v>10</v>
      </c>
      <c r="K4" s="923"/>
      <c r="L4" s="1010"/>
    </row>
    <row r="5" spans="1:12" x14ac:dyDescent="0.3">
      <c r="A5" s="871">
        <f>+D5</f>
        <v>96</v>
      </c>
      <c r="B5" s="873">
        <f>+E5*1.04</f>
        <v>3915.7040000000006</v>
      </c>
      <c r="C5" s="873" t="s">
        <v>1574</v>
      </c>
      <c r="D5" s="873">
        <f>+I5+I6</f>
        <v>96</v>
      </c>
      <c r="E5" s="873">
        <f>+J5+J6</f>
        <v>3765.1000000000004</v>
      </c>
      <c r="F5" s="245" t="s">
        <v>1575</v>
      </c>
      <c r="G5" s="245">
        <v>35851</v>
      </c>
      <c r="H5" s="40"/>
      <c r="I5" s="245">
        <v>30</v>
      </c>
      <c r="J5" s="245">
        <v>1148.8</v>
      </c>
      <c r="K5" s="877">
        <f t="shared" ref="K5:K7" si="0">+A5-D5</f>
        <v>0</v>
      </c>
      <c r="L5" s="879">
        <f>+(B5-E5)/B5</f>
        <v>3.8461538461538526E-2</v>
      </c>
    </row>
    <row r="6" spans="1:12" ht="15" thickBot="1" x14ac:dyDescent="0.35">
      <c r="A6" s="872"/>
      <c r="B6" s="874"/>
      <c r="C6" s="874"/>
      <c r="D6" s="874"/>
      <c r="E6" s="874"/>
      <c r="F6" s="246" t="s">
        <v>1575</v>
      </c>
      <c r="G6" s="246">
        <v>35852</v>
      </c>
      <c r="H6" s="43"/>
      <c r="I6" s="246">
        <v>66</v>
      </c>
      <c r="J6" s="246">
        <v>2616.3000000000002</v>
      </c>
      <c r="K6" s="878"/>
      <c r="L6" s="880"/>
    </row>
    <row r="7" spans="1:12" x14ac:dyDescent="0.3">
      <c r="A7" s="875">
        <v>338</v>
      </c>
      <c r="B7" s="966">
        <v>15390</v>
      </c>
      <c r="C7" s="881" t="s">
        <v>1576</v>
      </c>
      <c r="D7" s="881">
        <f>+I7+I8</f>
        <v>338</v>
      </c>
      <c r="E7" s="881">
        <f>+J7+J8</f>
        <v>14763.9</v>
      </c>
      <c r="F7" s="50" t="s">
        <v>1577</v>
      </c>
      <c r="G7" s="50">
        <v>12261</v>
      </c>
      <c r="I7" s="50">
        <v>241</v>
      </c>
      <c r="J7" s="51">
        <v>10640.8</v>
      </c>
      <c r="K7" s="886">
        <f t="shared" si="0"/>
        <v>0</v>
      </c>
      <c r="L7" s="919">
        <f>+(B7-E7)/B7</f>
        <v>4.0682261208577021E-2</v>
      </c>
    </row>
    <row r="8" spans="1:12" ht="15" thickBot="1" x14ac:dyDescent="0.35">
      <c r="A8" s="872"/>
      <c r="B8" s="965"/>
      <c r="C8" s="874"/>
      <c r="D8" s="874"/>
      <c r="E8" s="874"/>
      <c r="F8" s="42" t="s">
        <v>1578</v>
      </c>
      <c r="G8" s="42">
        <v>10521</v>
      </c>
      <c r="H8" s="43"/>
      <c r="I8" s="42">
        <v>97</v>
      </c>
      <c r="J8" s="44">
        <v>4123.1000000000004</v>
      </c>
      <c r="K8" s="878"/>
      <c r="L8" s="912"/>
    </row>
    <row r="9" spans="1:12" ht="15" thickBot="1" x14ac:dyDescent="0.35">
      <c r="A9" s="175">
        <v>214</v>
      </c>
      <c r="B9" s="242">
        <v>9538.5</v>
      </c>
      <c r="C9" s="8" t="s">
        <v>1930</v>
      </c>
      <c r="D9" s="8">
        <v>208</v>
      </c>
      <c r="E9" s="8">
        <v>8670.1</v>
      </c>
      <c r="F9" s="45" t="s">
        <v>1931</v>
      </c>
      <c r="G9" s="45">
        <v>92301</v>
      </c>
      <c r="H9" s="14"/>
      <c r="I9" s="45">
        <v>193</v>
      </c>
      <c r="J9" s="46">
        <v>8076.8</v>
      </c>
      <c r="K9" s="52">
        <f t="shared" ref="K9:K12" si="1">+A9-D9</f>
        <v>6</v>
      </c>
      <c r="L9" s="31">
        <f t="shared" ref="L9" si="2">((+B9/A9)-(E9/D9))/(B9/A9)</f>
        <v>6.4821613622525726E-2</v>
      </c>
    </row>
    <row r="10" spans="1:12" ht="15" thickBot="1" x14ac:dyDescent="0.35">
      <c r="A10" s="175">
        <v>358</v>
      </c>
      <c r="B10" s="242">
        <v>16322</v>
      </c>
      <c r="C10" s="8" t="s">
        <v>2032</v>
      </c>
      <c r="D10" s="8">
        <v>358</v>
      </c>
      <c r="E10" s="8">
        <v>15563.4</v>
      </c>
      <c r="F10" s="45" t="s">
        <v>2033</v>
      </c>
      <c r="G10" s="45">
        <v>93091</v>
      </c>
      <c r="H10" s="14"/>
      <c r="I10" s="45">
        <v>373</v>
      </c>
      <c r="J10" s="46">
        <v>16156.699999999999</v>
      </c>
      <c r="K10" s="52">
        <f t="shared" si="1"/>
        <v>0</v>
      </c>
      <c r="L10" s="31">
        <f>(+B10-E10)/B10</f>
        <v>4.6477147408405854E-2</v>
      </c>
    </row>
    <row r="11" spans="1:12" ht="15" thickBot="1" x14ac:dyDescent="0.35">
      <c r="A11" s="174">
        <v>49</v>
      </c>
      <c r="B11" s="261">
        <v>2039.5</v>
      </c>
      <c r="C11" s="12" t="s">
        <v>2343</v>
      </c>
      <c r="D11" s="12">
        <f>+I11</f>
        <v>49</v>
      </c>
      <c r="E11" s="12">
        <f>+J11</f>
        <v>1960.6</v>
      </c>
      <c r="F11" s="39" t="s">
        <v>2344</v>
      </c>
      <c r="G11" s="39">
        <v>92311</v>
      </c>
      <c r="H11" s="40"/>
      <c r="I11" s="39">
        <v>49</v>
      </c>
      <c r="J11" s="41">
        <v>1960.6</v>
      </c>
      <c r="K11" s="52">
        <f t="shared" si="1"/>
        <v>0</v>
      </c>
      <c r="L11" s="31">
        <f>(+B11-E11)/B11</f>
        <v>3.8685952439323407E-2</v>
      </c>
    </row>
    <row r="12" spans="1:12" x14ac:dyDescent="0.3">
      <c r="A12" s="871">
        <v>266</v>
      </c>
      <c r="B12" s="964">
        <v>11125</v>
      </c>
      <c r="C12" s="873" t="s">
        <v>2345</v>
      </c>
      <c r="D12" s="873">
        <f>+I12+I13</f>
        <v>266</v>
      </c>
      <c r="E12" s="873">
        <f>+J12+J13</f>
        <v>10472.299999999999</v>
      </c>
      <c r="F12" s="39" t="s">
        <v>2474</v>
      </c>
      <c r="G12" s="39">
        <v>92351</v>
      </c>
      <c r="H12" s="40"/>
      <c r="I12" s="39">
        <v>171</v>
      </c>
      <c r="J12" s="41">
        <v>6720.9</v>
      </c>
      <c r="K12" s="886">
        <f t="shared" si="1"/>
        <v>0</v>
      </c>
      <c r="L12" s="919">
        <f>+(B12-E12)/B12</f>
        <v>5.8669662921348377E-2</v>
      </c>
    </row>
    <row r="13" spans="1:12" ht="15" thickBot="1" x14ac:dyDescent="0.35">
      <c r="A13" s="872"/>
      <c r="B13" s="965"/>
      <c r="C13" s="874"/>
      <c r="D13" s="874"/>
      <c r="E13" s="874"/>
      <c r="F13" s="42" t="s">
        <v>2474</v>
      </c>
      <c r="G13" s="42">
        <v>92351</v>
      </c>
      <c r="H13" s="43"/>
      <c r="I13" s="42">
        <v>95</v>
      </c>
      <c r="J13" s="44">
        <v>3751.4</v>
      </c>
      <c r="K13" s="878"/>
      <c r="L13" s="912"/>
    </row>
    <row r="14" spans="1:12" ht="15" thickBot="1" x14ac:dyDescent="0.35">
      <c r="A14" s="175">
        <v>369</v>
      </c>
      <c r="B14" s="242">
        <v>15094.8</v>
      </c>
      <c r="C14" s="8" t="s">
        <v>2346</v>
      </c>
      <c r="D14" s="8">
        <f>+I14</f>
        <v>369</v>
      </c>
      <c r="E14" s="8">
        <f>+J14</f>
        <v>14299.5</v>
      </c>
      <c r="F14" s="45" t="s">
        <v>2347</v>
      </c>
      <c r="G14" s="45">
        <v>93961</v>
      </c>
      <c r="H14" s="14"/>
      <c r="I14" s="45">
        <v>369</v>
      </c>
      <c r="J14" s="46">
        <v>14299.5</v>
      </c>
      <c r="K14" s="52">
        <f t="shared" ref="K14:K18" si="3">+A14-D14</f>
        <v>0</v>
      </c>
      <c r="L14" s="31">
        <f>(+B14-E14)/B14</f>
        <v>5.2687018045949552E-2</v>
      </c>
    </row>
    <row r="15" spans="1:12" ht="15" thickBot="1" x14ac:dyDescent="0.35">
      <c r="A15" s="175">
        <v>49</v>
      </c>
      <c r="B15" s="242">
        <v>2174</v>
      </c>
      <c r="C15" s="8" t="s">
        <v>2948</v>
      </c>
      <c r="D15" s="8">
        <f t="shared" ref="D15:E19" si="4">+I15</f>
        <v>49</v>
      </c>
      <c r="E15" s="8">
        <f t="shared" si="4"/>
        <v>2142.8000000000002</v>
      </c>
      <c r="F15" s="45" t="s">
        <v>2949</v>
      </c>
      <c r="G15" s="45">
        <v>94261</v>
      </c>
      <c r="H15" s="14"/>
      <c r="I15" s="45">
        <v>49</v>
      </c>
      <c r="J15" s="46">
        <v>2142.8000000000002</v>
      </c>
      <c r="K15" s="52">
        <f t="shared" si="3"/>
        <v>0</v>
      </c>
      <c r="L15" s="31">
        <f t="shared" ref="L15:L18" si="5">(+B15-E15)/B15</f>
        <v>1.4351425942962197E-2</v>
      </c>
    </row>
    <row r="16" spans="1:12" ht="15" thickBot="1" x14ac:dyDescent="0.35">
      <c r="A16" s="175">
        <v>77</v>
      </c>
      <c r="B16" s="242">
        <v>3421.75</v>
      </c>
      <c r="C16" s="8" t="s">
        <v>2950</v>
      </c>
      <c r="D16" s="8">
        <f>+I16+20</f>
        <v>77</v>
      </c>
      <c r="E16" s="8">
        <f>+J16+822.1</f>
        <v>3278.4</v>
      </c>
      <c r="F16" s="45" t="s">
        <v>2951</v>
      </c>
      <c r="G16" s="45">
        <v>94271</v>
      </c>
      <c r="H16" s="14"/>
      <c r="I16" s="45">
        <v>57</v>
      </c>
      <c r="J16" s="46">
        <v>2456.3000000000002</v>
      </c>
      <c r="K16" s="52">
        <f t="shared" si="3"/>
        <v>0</v>
      </c>
      <c r="L16" s="31">
        <f t="shared" ref="L16" si="6">((+B16/A16)-(E16/D16))/(B16/A16)</f>
        <v>4.1893767808869574E-2</v>
      </c>
    </row>
    <row r="17" spans="1:12" ht="15" thickBot="1" x14ac:dyDescent="0.35">
      <c r="A17" s="175">
        <v>238</v>
      </c>
      <c r="B17" s="242">
        <v>9905.2000000000007</v>
      </c>
      <c r="C17" s="8" t="s">
        <v>2952</v>
      </c>
      <c r="D17" s="8">
        <f t="shared" si="4"/>
        <v>238</v>
      </c>
      <c r="E17" s="8">
        <f t="shared" si="4"/>
        <v>9444.2000000000007</v>
      </c>
      <c r="F17" s="45" t="s">
        <v>2953</v>
      </c>
      <c r="G17" s="45">
        <v>95971</v>
      </c>
      <c r="H17" s="14"/>
      <c r="I17" s="45">
        <v>238</v>
      </c>
      <c r="J17" s="46">
        <v>9444.2000000000007</v>
      </c>
      <c r="K17" s="52">
        <f t="shared" si="3"/>
        <v>0</v>
      </c>
      <c r="L17" s="31">
        <f t="shared" si="5"/>
        <v>4.6541210677220043E-2</v>
      </c>
    </row>
    <row r="18" spans="1:12" ht="15" thickBot="1" x14ac:dyDescent="0.35">
      <c r="A18" s="175">
        <v>100</v>
      </c>
      <c r="B18" s="242">
        <v>4225.95</v>
      </c>
      <c r="C18" s="8" t="s">
        <v>2954</v>
      </c>
      <c r="D18" s="8">
        <f t="shared" si="4"/>
        <v>100</v>
      </c>
      <c r="E18" s="8">
        <f t="shared" si="4"/>
        <v>4121.2</v>
      </c>
      <c r="F18" s="45" t="s">
        <v>2955</v>
      </c>
      <c r="G18" s="45">
        <v>95981</v>
      </c>
      <c r="H18" s="14"/>
      <c r="I18" s="45">
        <v>100</v>
      </c>
      <c r="J18" s="46">
        <v>4121.2</v>
      </c>
      <c r="K18" s="52">
        <f t="shared" si="3"/>
        <v>0</v>
      </c>
      <c r="L18" s="31">
        <f t="shared" si="5"/>
        <v>2.4787325926714704E-2</v>
      </c>
    </row>
    <row r="19" spans="1:12" ht="15" thickBot="1" x14ac:dyDescent="0.35">
      <c r="A19" s="175">
        <v>382</v>
      </c>
      <c r="B19" s="242">
        <v>15561</v>
      </c>
      <c r="C19" s="8" t="s">
        <v>3477</v>
      </c>
      <c r="D19" s="8">
        <f t="shared" si="4"/>
        <v>378</v>
      </c>
      <c r="E19" s="8">
        <f t="shared" si="4"/>
        <v>14263.5</v>
      </c>
      <c r="F19" s="45" t="s">
        <v>3478</v>
      </c>
      <c r="G19" s="45">
        <v>96221</v>
      </c>
      <c r="H19" s="14"/>
      <c r="I19" s="45">
        <v>378</v>
      </c>
      <c r="J19" s="46">
        <v>14263.5</v>
      </c>
      <c r="K19" s="52">
        <f t="shared" ref="K19" si="7">+A19-D19</f>
        <v>4</v>
      </c>
      <c r="L19" s="31">
        <f t="shared" ref="L19" si="8">((+B19/A19)-(E19/D19))/(B19/A19)</f>
        <v>7.3681864408681574E-2</v>
      </c>
    </row>
    <row r="20" spans="1:12" ht="15" thickBot="1" x14ac:dyDescent="0.35">
      <c r="A20" s="175">
        <v>462</v>
      </c>
      <c r="B20" s="242">
        <v>18997.8</v>
      </c>
      <c r="C20" s="8" t="s">
        <v>3793</v>
      </c>
      <c r="D20" s="8">
        <v>460</v>
      </c>
      <c r="E20" s="8">
        <v>17690.3</v>
      </c>
      <c r="F20" s="45" t="s">
        <v>3794</v>
      </c>
      <c r="G20" s="46">
        <v>96641</v>
      </c>
      <c r="H20" s="40"/>
      <c r="I20" s="39">
        <v>233</v>
      </c>
      <c r="J20" s="41">
        <v>9121.5</v>
      </c>
      <c r="K20" s="52">
        <f t="shared" ref="K20" si="9">+A20-D20</f>
        <v>2</v>
      </c>
      <c r="L20" s="31">
        <f t="shared" ref="L20" si="10">((+B20/A20)-(E20/D20))/(B20/A20)</f>
        <v>6.47751661862907E-2</v>
      </c>
    </row>
    <row r="21" spans="1:12" ht="15" thickBot="1" x14ac:dyDescent="0.35">
      <c r="A21" s="175">
        <v>220</v>
      </c>
      <c r="B21" s="242">
        <v>8630.7000000000007</v>
      </c>
      <c r="C21" s="8" t="s">
        <v>4063</v>
      </c>
      <c r="D21" s="8">
        <f t="shared" ref="D21:E28" si="11">+I21</f>
        <v>220</v>
      </c>
      <c r="E21" s="8">
        <f t="shared" si="11"/>
        <v>8231.6</v>
      </c>
      <c r="F21" s="45" t="s">
        <v>4064</v>
      </c>
      <c r="G21" s="45">
        <v>98661</v>
      </c>
      <c r="H21" s="14"/>
      <c r="I21" s="45">
        <v>220</v>
      </c>
      <c r="J21" s="46">
        <v>8231.6</v>
      </c>
      <c r="K21" s="52">
        <f t="shared" ref="K21" si="12">+A21-D21</f>
        <v>0</v>
      </c>
      <c r="L21" s="31">
        <f t="shared" ref="L21" si="13">((+B21/A21)-(E21/D21))/(B21/A21)</f>
        <v>4.6241903901189894E-2</v>
      </c>
    </row>
    <row r="22" spans="1:12" ht="15" thickBot="1" x14ac:dyDescent="0.35">
      <c r="A22" s="175">
        <v>220</v>
      </c>
      <c r="B22" s="242">
        <v>9178.9</v>
      </c>
      <c r="C22" s="8" t="s">
        <v>4286</v>
      </c>
      <c r="D22" s="8">
        <f t="shared" si="11"/>
        <v>220</v>
      </c>
      <c r="E22" s="8">
        <f t="shared" si="11"/>
        <v>8717</v>
      </c>
      <c r="F22" s="45" t="s">
        <v>4287</v>
      </c>
      <c r="G22" s="45">
        <v>99011</v>
      </c>
      <c r="H22" s="14"/>
      <c r="I22" s="45">
        <v>220</v>
      </c>
      <c r="J22" s="46">
        <v>8717</v>
      </c>
      <c r="K22" s="52">
        <f t="shared" ref="K22:K23" si="14">+A22-D22</f>
        <v>0</v>
      </c>
      <c r="L22" s="31">
        <f t="shared" ref="L22:L23" si="15">((+B22/A22)-(E22/D22))/(B22/A22)</f>
        <v>5.0321934000806076E-2</v>
      </c>
    </row>
    <row r="23" spans="1:12" ht="15" thickBot="1" x14ac:dyDescent="0.35">
      <c r="A23" s="175">
        <v>531</v>
      </c>
      <c r="B23" s="242">
        <v>22113.1</v>
      </c>
      <c r="C23" s="8" t="s">
        <v>4288</v>
      </c>
      <c r="D23" s="8">
        <f t="shared" si="11"/>
        <v>526</v>
      </c>
      <c r="E23" s="8">
        <f t="shared" si="11"/>
        <v>20772.7</v>
      </c>
      <c r="F23" s="45" t="s">
        <v>4289</v>
      </c>
      <c r="G23" s="45">
        <v>99211</v>
      </c>
      <c r="H23" s="14"/>
      <c r="I23" s="45">
        <v>526</v>
      </c>
      <c r="J23" s="46">
        <v>20772.7</v>
      </c>
      <c r="K23" s="52">
        <f t="shared" si="14"/>
        <v>5</v>
      </c>
      <c r="L23" s="31">
        <f t="shared" si="15"/>
        <v>5.1686144164531898E-2</v>
      </c>
    </row>
    <row r="24" spans="1:12" ht="15" thickBot="1" x14ac:dyDescent="0.35">
      <c r="A24" s="175">
        <v>220</v>
      </c>
      <c r="B24" s="242">
        <v>9446.7000000000007</v>
      </c>
      <c r="C24" s="8" t="s">
        <v>4361</v>
      </c>
      <c r="D24" s="8">
        <f t="shared" si="11"/>
        <v>220</v>
      </c>
      <c r="E24" s="8">
        <f t="shared" si="11"/>
        <v>9060.4</v>
      </c>
      <c r="F24" s="45" t="s">
        <v>4362</v>
      </c>
      <c r="G24" s="45">
        <v>99281</v>
      </c>
      <c r="H24" s="14"/>
      <c r="I24" s="45">
        <v>220</v>
      </c>
      <c r="J24" s="46">
        <v>9060.4</v>
      </c>
      <c r="K24" s="52">
        <f t="shared" ref="K24:K25" si="16">+A24-D24</f>
        <v>0</v>
      </c>
      <c r="L24" s="31">
        <f t="shared" ref="L24:L25" si="17">((+B24/A24)-(E24/D24))/(B24/A24)</f>
        <v>4.0892586829263326E-2</v>
      </c>
    </row>
    <row r="25" spans="1:12" ht="15" thickBot="1" x14ac:dyDescent="0.35">
      <c r="A25" s="175">
        <v>175</v>
      </c>
      <c r="B25" s="242">
        <v>7742.4</v>
      </c>
      <c r="C25" s="8" t="s">
        <v>4363</v>
      </c>
      <c r="D25" s="8">
        <f t="shared" si="11"/>
        <v>174</v>
      </c>
      <c r="E25" s="8">
        <f t="shared" si="11"/>
        <v>7278.6</v>
      </c>
      <c r="F25" s="45" t="s">
        <v>4364</v>
      </c>
      <c r="G25" s="45">
        <v>99381</v>
      </c>
      <c r="H25" s="14"/>
      <c r="I25" s="45">
        <v>174</v>
      </c>
      <c r="J25" s="46">
        <v>7278.6</v>
      </c>
      <c r="K25" s="52">
        <f t="shared" si="16"/>
        <v>1</v>
      </c>
      <c r="L25" s="31">
        <f t="shared" si="17"/>
        <v>5.4501054649364618E-2</v>
      </c>
    </row>
    <row r="26" spans="1:12" ht="15" thickBot="1" x14ac:dyDescent="0.35">
      <c r="A26" s="175">
        <v>525</v>
      </c>
      <c r="B26" s="242">
        <v>22419.9</v>
      </c>
      <c r="C26" s="8" t="s">
        <v>4465</v>
      </c>
      <c r="D26" s="8">
        <f t="shared" si="11"/>
        <v>526</v>
      </c>
      <c r="E26" s="8">
        <f t="shared" si="11"/>
        <v>20984.2</v>
      </c>
      <c r="F26" s="45" t="s">
        <v>4466</v>
      </c>
      <c r="G26" s="45">
        <v>99501</v>
      </c>
      <c r="H26" s="14"/>
      <c r="I26" s="45">
        <v>526</v>
      </c>
      <c r="J26" s="46">
        <v>20984.2</v>
      </c>
      <c r="K26" s="52">
        <f t="shared" ref="K26:K29" si="18">+A26-D26</f>
        <v>-1</v>
      </c>
      <c r="L26" s="31">
        <f t="shared" ref="L26:L28" si="19">((+B26/A26)-(E26/D26))/(B26/A26)</f>
        <v>6.5816257715235707E-2</v>
      </c>
    </row>
    <row r="27" spans="1:12" ht="15" thickBot="1" x14ac:dyDescent="0.35">
      <c r="A27" s="175">
        <v>600</v>
      </c>
      <c r="B27" s="242">
        <v>27108.3</v>
      </c>
      <c r="C27" s="8" t="s">
        <v>4467</v>
      </c>
      <c r="D27" s="8">
        <f t="shared" si="11"/>
        <v>600</v>
      </c>
      <c r="E27" s="8">
        <f t="shared" si="11"/>
        <v>25247.199999999997</v>
      </c>
      <c r="F27" s="45" t="s">
        <v>4468</v>
      </c>
      <c r="G27" s="45">
        <v>99511</v>
      </c>
      <c r="H27" s="14"/>
      <c r="I27" s="45">
        <v>600</v>
      </c>
      <c r="J27" s="46">
        <v>25247.199999999997</v>
      </c>
      <c r="K27" s="52">
        <f t="shared" si="18"/>
        <v>0</v>
      </c>
      <c r="L27" s="31">
        <f t="shared" si="19"/>
        <v>6.8654249805410267E-2</v>
      </c>
    </row>
    <row r="28" spans="1:12" ht="15" thickBot="1" x14ac:dyDescent="0.35">
      <c r="A28" s="175">
        <v>45</v>
      </c>
      <c r="B28" s="242">
        <v>2049.25</v>
      </c>
      <c r="C28" s="8" t="s">
        <v>4469</v>
      </c>
      <c r="D28" s="8">
        <f t="shared" si="11"/>
        <v>47</v>
      </c>
      <c r="E28" s="8">
        <f t="shared" si="11"/>
        <v>1998.6</v>
      </c>
      <c r="F28" s="45" t="s">
        <v>4470</v>
      </c>
      <c r="G28" s="45">
        <v>99831</v>
      </c>
      <c r="H28" s="14"/>
      <c r="I28" s="45">
        <v>47</v>
      </c>
      <c r="J28" s="46">
        <v>1998.6</v>
      </c>
      <c r="K28" s="52">
        <f t="shared" si="18"/>
        <v>-2</v>
      </c>
      <c r="L28" s="31">
        <f t="shared" si="19"/>
        <v>6.6217791148292474E-2</v>
      </c>
    </row>
    <row r="29" spans="1:12" x14ac:dyDescent="0.3">
      <c r="A29" s="871">
        <v>760</v>
      </c>
      <c r="B29" s="964">
        <v>33389.5</v>
      </c>
      <c r="C29" s="873" t="s">
        <v>4725</v>
      </c>
      <c r="D29" s="873">
        <f>+I29+I30</f>
        <v>761</v>
      </c>
      <c r="E29" s="873">
        <f>+J29+J30</f>
        <v>31496.399999999998</v>
      </c>
      <c r="F29" s="39" t="s">
        <v>4726</v>
      </c>
      <c r="G29" s="39">
        <v>100061</v>
      </c>
      <c r="H29" s="40"/>
      <c r="I29" s="39">
        <v>519</v>
      </c>
      <c r="J29" s="41">
        <v>21356.799999999999</v>
      </c>
      <c r="K29" s="886">
        <f t="shared" si="18"/>
        <v>-1</v>
      </c>
      <c r="L29" s="919">
        <f>+(B29-E29)/B29</f>
        <v>5.6697464771859482E-2</v>
      </c>
    </row>
    <row r="30" spans="1:12" ht="15" thickBot="1" x14ac:dyDescent="0.35">
      <c r="A30" s="872"/>
      <c r="B30" s="965"/>
      <c r="C30" s="874"/>
      <c r="D30" s="874"/>
      <c r="E30" s="874"/>
      <c r="F30" s="42" t="s">
        <v>4726</v>
      </c>
      <c r="G30" s="42">
        <v>100061</v>
      </c>
      <c r="H30" s="43"/>
      <c r="I30" s="42">
        <v>242</v>
      </c>
      <c r="J30" s="44">
        <v>10139.599999999999</v>
      </c>
      <c r="K30" s="878"/>
      <c r="L30" s="912"/>
    </row>
    <row r="31" spans="1:12" ht="15" thickBot="1" x14ac:dyDescent="0.35">
      <c r="A31" s="175">
        <v>569</v>
      </c>
      <c r="B31" s="242">
        <v>25012.6</v>
      </c>
      <c r="C31" s="8" t="s">
        <v>4728</v>
      </c>
      <c r="D31" s="8">
        <f>+I31</f>
        <v>569</v>
      </c>
      <c r="E31" s="8">
        <f>+J31</f>
        <v>23382.1</v>
      </c>
      <c r="F31" s="45" t="s">
        <v>4727</v>
      </c>
      <c r="G31" s="45">
        <v>100071</v>
      </c>
      <c r="H31" s="14"/>
      <c r="I31" s="45">
        <v>569</v>
      </c>
      <c r="J31" s="46">
        <v>23382.1</v>
      </c>
      <c r="K31" s="52">
        <f t="shared" ref="K31" si="20">+A31-D31</f>
        <v>0</v>
      </c>
      <c r="L31" s="31">
        <f t="shared" ref="L31" si="21">((+B31/A31)-(E31/D31))/(B31/A31)</f>
        <v>6.5187145678577973E-2</v>
      </c>
    </row>
    <row r="33" spans="1:5" x14ac:dyDescent="0.3">
      <c r="A33" s="124">
        <f>SUM(A5:A32)</f>
        <v>6863</v>
      </c>
      <c r="B33" s="124">
        <f>SUM(B5:B32)</f>
        <v>294802.554</v>
      </c>
      <c r="D33" s="124">
        <f>SUM(D5:D32)</f>
        <v>6849</v>
      </c>
      <c r="E33" s="124">
        <f>SUM(E5:E32)</f>
        <v>277604.09999999998</v>
      </c>
    </row>
  </sheetData>
  <mergeCells count="33">
    <mergeCell ref="K5:K6"/>
    <mergeCell ref="L5:L6"/>
    <mergeCell ref="A7:A8"/>
    <mergeCell ref="B7:B8"/>
    <mergeCell ref="C7:C8"/>
    <mergeCell ref="D7:D8"/>
    <mergeCell ref="E7:E8"/>
    <mergeCell ref="K7:K8"/>
    <mergeCell ref="L7:L8"/>
    <mergeCell ref="A5:A6"/>
    <mergeCell ref="E5:E6"/>
    <mergeCell ref="D5:D6"/>
    <mergeCell ref="C5:C6"/>
    <mergeCell ref="B5:B6"/>
    <mergeCell ref="A3:C3"/>
    <mergeCell ref="D3:E3"/>
    <mergeCell ref="G3:G4"/>
    <mergeCell ref="K3:K4"/>
    <mergeCell ref="L3:L4"/>
    <mergeCell ref="K12:K13"/>
    <mergeCell ref="L12:L13"/>
    <mergeCell ref="A12:A13"/>
    <mergeCell ref="B12:B13"/>
    <mergeCell ref="C12:C13"/>
    <mergeCell ref="D12:D13"/>
    <mergeCell ref="E12:E13"/>
    <mergeCell ref="K29:K30"/>
    <mergeCell ref="L29:L30"/>
    <mergeCell ref="A29:A30"/>
    <mergeCell ref="B29:B30"/>
    <mergeCell ref="C29:C30"/>
    <mergeCell ref="D29:D30"/>
    <mergeCell ref="E29:E3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29"/>
  <sheetViews>
    <sheetView zoomScale="80" zoomScaleNormal="80" workbookViewId="0">
      <selection activeCell="K18" sqref="K18:L20"/>
    </sheetView>
  </sheetViews>
  <sheetFormatPr baseColWidth="10" defaultColWidth="8.88671875" defaultRowHeight="14.4" x14ac:dyDescent="0.3"/>
  <cols>
    <col min="1" max="1" width="12" customWidth="1"/>
    <col min="2" max="2" width="14.109375" customWidth="1"/>
    <col min="4" max="4" width="10.44140625" customWidth="1"/>
    <col min="5" max="5" width="14.109375" customWidth="1"/>
    <col min="6" max="6" width="8.88671875" bestFit="1" customWidth="1"/>
    <col min="7" max="7" width="12.33203125" bestFit="1" customWidth="1"/>
    <col min="8" max="8" width="13.109375" hidden="1" customWidth="1"/>
    <col min="9" max="10" width="0" hidden="1" customWidth="1"/>
    <col min="12" max="12" width="12" bestFit="1" customWidth="1"/>
  </cols>
  <sheetData>
    <row r="1" spans="1:12" ht="23.4" x14ac:dyDescent="0.3">
      <c r="A1" s="1" t="s">
        <v>2537</v>
      </c>
      <c r="B1" s="1"/>
      <c r="C1" s="1"/>
      <c r="D1" s="1"/>
      <c r="E1" s="1"/>
      <c r="F1" s="1"/>
      <c r="G1" s="1"/>
      <c r="H1" s="1"/>
      <c r="I1" s="1"/>
      <c r="J1" s="2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2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72" t="s">
        <v>8</v>
      </c>
      <c r="G4" s="923"/>
      <c r="H4" s="7" t="s">
        <v>9</v>
      </c>
      <c r="I4" s="6" t="s">
        <v>5</v>
      </c>
      <c r="J4" s="6" t="s">
        <v>10</v>
      </c>
      <c r="K4" s="916"/>
      <c r="L4" s="1010"/>
    </row>
    <row r="5" spans="1:12" x14ac:dyDescent="0.3">
      <c r="A5" s="871">
        <v>145</v>
      </c>
      <c r="B5" s="873">
        <v>6128.5</v>
      </c>
      <c r="C5" s="873" t="s">
        <v>2533</v>
      </c>
      <c r="D5" s="873">
        <f>+I5+I6</f>
        <v>142</v>
      </c>
      <c r="E5" s="873">
        <f>+J5+J6</f>
        <v>5637.7</v>
      </c>
      <c r="F5" s="40" t="s">
        <v>2534</v>
      </c>
      <c r="G5" s="40">
        <v>93891</v>
      </c>
      <c r="H5" s="40"/>
      <c r="I5" s="39">
        <v>37</v>
      </c>
      <c r="J5" s="41">
        <v>1441</v>
      </c>
      <c r="K5" s="886">
        <f t="shared" ref="K5" si="0">+A5-D5</f>
        <v>3</v>
      </c>
      <c r="L5" s="879">
        <f>((+B5/A5)-(E5/D5))/(B5/A5)</f>
        <v>6.0650022349976587E-2</v>
      </c>
    </row>
    <row r="6" spans="1:12" ht="15" thickBot="1" x14ac:dyDescent="0.35">
      <c r="A6" s="872"/>
      <c r="B6" s="874"/>
      <c r="C6" s="874"/>
      <c r="D6" s="874"/>
      <c r="E6" s="874"/>
      <c r="F6" s="43" t="s">
        <v>2534</v>
      </c>
      <c r="G6" s="43">
        <v>93891</v>
      </c>
      <c r="H6" s="43"/>
      <c r="I6" s="42">
        <v>105</v>
      </c>
      <c r="J6" s="44">
        <v>4196.7</v>
      </c>
      <c r="K6" s="878"/>
      <c r="L6" s="880"/>
    </row>
    <row r="7" spans="1:12" ht="15" thickBot="1" x14ac:dyDescent="0.35">
      <c r="A7" s="178">
        <v>383</v>
      </c>
      <c r="B7" s="45">
        <v>17010</v>
      </c>
      <c r="C7" s="14" t="s">
        <v>2535</v>
      </c>
      <c r="D7" s="45">
        <f>+I7</f>
        <v>383</v>
      </c>
      <c r="E7" s="45">
        <f>+J7</f>
        <v>16559.8</v>
      </c>
      <c r="F7" s="14" t="s">
        <v>2536</v>
      </c>
      <c r="G7" s="14">
        <v>94661</v>
      </c>
      <c r="H7" s="14"/>
      <c r="I7" s="45">
        <v>383</v>
      </c>
      <c r="J7" s="46">
        <v>16559.8</v>
      </c>
      <c r="K7" s="52">
        <f t="shared" ref="K7:K18" si="1">+A7-D7</f>
        <v>0</v>
      </c>
      <c r="L7" s="31">
        <f>(+B7-E7)/B7</f>
        <v>2.6466784244562065E-2</v>
      </c>
    </row>
    <row r="8" spans="1:12" ht="15" thickBot="1" x14ac:dyDescent="0.35">
      <c r="A8" s="178">
        <v>540</v>
      </c>
      <c r="B8" s="45">
        <v>23908</v>
      </c>
      <c r="C8" s="14" t="s">
        <v>2675</v>
      </c>
      <c r="D8" s="45">
        <f t="shared" ref="D8:E15" si="2">+I8</f>
        <v>540</v>
      </c>
      <c r="E8" s="45">
        <f t="shared" si="2"/>
        <v>23107.1</v>
      </c>
      <c r="F8" s="14" t="s">
        <v>2676</v>
      </c>
      <c r="G8" s="14">
        <v>94741</v>
      </c>
      <c r="H8" s="14"/>
      <c r="I8" s="45">
        <v>540</v>
      </c>
      <c r="J8" s="46">
        <v>23107.1</v>
      </c>
      <c r="K8" s="52">
        <f t="shared" si="1"/>
        <v>0</v>
      </c>
      <c r="L8" s="31">
        <f t="shared" ref="L8:L10" si="3">(+B8-E8)/B8</f>
        <v>3.3499247113936821E-2</v>
      </c>
    </row>
    <row r="9" spans="1:12" ht="15" thickBot="1" x14ac:dyDescent="0.35">
      <c r="A9" s="178">
        <v>426</v>
      </c>
      <c r="B9" s="45">
        <v>18845.25</v>
      </c>
      <c r="C9" s="14" t="s">
        <v>2677</v>
      </c>
      <c r="D9" s="45">
        <f t="shared" si="2"/>
        <v>426</v>
      </c>
      <c r="E9" s="45">
        <f t="shared" si="2"/>
        <v>18408.400000000001</v>
      </c>
      <c r="F9" s="14" t="s">
        <v>2678</v>
      </c>
      <c r="G9" s="14">
        <v>94861</v>
      </c>
      <c r="H9" s="14"/>
      <c r="I9" s="45">
        <v>426</v>
      </c>
      <c r="J9" s="46">
        <v>18408.400000000001</v>
      </c>
      <c r="K9" s="52">
        <f t="shared" si="1"/>
        <v>0</v>
      </c>
      <c r="L9" s="31">
        <f t="shared" si="3"/>
        <v>2.3180907655775251E-2</v>
      </c>
    </row>
    <row r="10" spans="1:12" ht="15" thickBot="1" x14ac:dyDescent="0.35">
      <c r="A10" s="178">
        <v>222</v>
      </c>
      <c r="B10" s="45">
        <v>9788.5</v>
      </c>
      <c r="C10" s="14" t="s">
        <v>2679</v>
      </c>
      <c r="D10" s="45">
        <f t="shared" si="2"/>
        <v>222</v>
      </c>
      <c r="E10" s="45">
        <f t="shared" si="2"/>
        <v>9581.7000000000007</v>
      </c>
      <c r="F10" s="14" t="s">
        <v>2680</v>
      </c>
      <c r="G10" s="14">
        <v>94961</v>
      </c>
      <c r="H10" s="14"/>
      <c r="I10" s="45">
        <v>222</v>
      </c>
      <c r="J10" s="46">
        <v>9581.7000000000007</v>
      </c>
      <c r="K10" s="52">
        <f t="shared" si="1"/>
        <v>0</v>
      </c>
      <c r="L10" s="31">
        <f t="shared" si="3"/>
        <v>2.1126832507534277E-2</v>
      </c>
    </row>
    <row r="11" spans="1:12" ht="15" thickBot="1" x14ac:dyDescent="0.35">
      <c r="A11" s="178">
        <v>135</v>
      </c>
      <c r="B11" s="45">
        <v>5761</v>
      </c>
      <c r="C11" s="14" t="s">
        <v>2681</v>
      </c>
      <c r="D11" s="45">
        <f t="shared" si="2"/>
        <v>133</v>
      </c>
      <c r="E11" s="45">
        <f t="shared" si="2"/>
        <v>5405.9</v>
      </c>
      <c r="F11" s="14" t="s">
        <v>2682</v>
      </c>
      <c r="G11" s="14">
        <v>95011</v>
      </c>
      <c r="H11" s="14"/>
      <c r="I11" s="45">
        <v>133</v>
      </c>
      <c r="J11" s="46">
        <v>5405.9</v>
      </c>
      <c r="K11" s="52">
        <f t="shared" si="1"/>
        <v>2</v>
      </c>
      <c r="L11" s="31">
        <f t="shared" ref="L11:L13" si="4">((+B11/A11)-(E11/D11))/(B11/A11)</f>
        <v>4.7527906730896179E-2</v>
      </c>
    </row>
    <row r="12" spans="1:12" ht="15" thickBot="1" x14ac:dyDescent="0.35">
      <c r="A12" s="178">
        <v>246</v>
      </c>
      <c r="B12" s="45">
        <v>10028.25</v>
      </c>
      <c r="C12" s="14" t="s">
        <v>2683</v>
      </c>
      <c r="D12" s="45">
        <f t="shared" si="2"/>
        <v>247</v>
      </c>
      <c r="E12" s="45">
        <f t="shared" si="2"/>
        <v>9540.5</v>
      </c>
      <c r="F12" s="14" t="s">
        <v>2684</v>
      </c>
      <c r="G12" s="14">
        <v>95081</v>
      </c>
      <c r="H12" s="14"/>
      <c r="I12" s="45">
        <v>247</v>
      </c>
      <c r="J12" s="46">
        <v>9540.5</v>
      </c>
      <c r="K12" s="52">
        <f t="shared" si="1"/>
        <v>-1</v>
      </c>
      <c r="L12" s="31">
        <f t="shared" si="4"/>
        <v>5.2489268423989696E-2</v>
      </c>
    </row>
    <row r="13" spans="1:12" ht="15" thickBot="1" x14ac:dyDescent="0.35">
      <c r="A13" s="178">
        <v>300</v>
      </c>
      <c r="B13" s="45">
        <v>12864.75</v>
      </c>
      <c r="C13" s="14" t="s">
        <v>2685</v>
      </c>
      <c r="D13" s="45">
        <f t="shared" si="2"/>
        <v>301</v>
      </c>
      <c r="E13" s="45">
        <f t="shared" si="2"/>
        <v>12282.9</v>
      </c>
      <c r="F13" s="14" t="s">
        <v>2686</v>
      </c>
      <c r="G13" s="14">
        <v>95091</v>
      </c>
      <c r="H13" s="14"/>
      <c r="I13" s="45">
        <v>301</v>
      </c>
      <c r="J13" s="46">
        <v>12282.9</v>
      </c>
      <c r="K13" s="52">
        <f t="shared" si="1"/>
        <v>-1</v>
      </c>
      <c r="L13" s="31">
        <f t="shared" si="4"/>
        <v>4.8400239160822138E-2</v>
      </c>
    </row>
    <row r="14" spans="1:12" ht="15" thickBot="1" x14ac:dyDescent="0.35">
      <c r="A14" s="178">
        <v>360</v>
      </c>
      <c r="B14" s="45">
        <v>16366.25</v>
      </c>
      <c r="C14" s="14" t="s">
        <v>2824</v>
      </c>
      <c r="D14" s="45">
        <f t="shared" si="2"/>
        <v>360</v>
      </c>
      <c r="E14" s="45">
        <f t="shared" si="2"/>
        <v>15559.8</v>
      </c>
      <c r="F14" s="14" t="s">
        <v>2825</v>
      </c>
      <c r="G14" s="14">
        <v>95191</v>
      </c>
      <c r="H14" s="14"/>
      <c r="I14" s="45">
        <v>360</v>
      </c>
      <c r="J14" s="46">
        <v>15559.8</v>
      </c>
      <c r="K14" s="52">
        <f t="shared" si="1"/>
        <v>0</v>
      </c>
      <c r="L14" s="31">
        <f t="shared" ref="L14" si="5">(+B14-E14)/B14</f>
        <v>4.9275185213472891E-2</v>
      </c>
    </row>
    <row r="15" spans="1:12" ht="15" thickBot="1" x14ac:dyDescent="0.35">
      <c r="A15" s="178">
        <v>176</v>
      </c>
      <c r="B15" s="45">
        <v>7847</v>
      </c>
      <c r="C15" s="14" t="s">
        <v>2826</v>
      </c>
      <c r="D15" s="45">
        <f t="shared" si="2"/>
        <v>175</v>
      </c>
      <c r="E15" s="45">
        <f t="shared" si="2"/>
        <v>7469.3</v>
      </c>
      <c r="F15" s="14" t="s">
        <v>2827</v>
      </c>
      <c r="G15" s="14">
        <v>95321</v>
      </c>
      <c r="H15" s="14"/>
      <c r="I15" s="45">
        <v>175</v>
      </c>
      <c r="J15" s="46">
        <v>7469.3</v>
      </c>
      <c r="K15" s="52">
        <f t="shared" si="1"/>
        <v>1</v>
      </c>
      <c r="L15" s="31">
        <f t="shared" ref="L15" si="6">((+B15/A15)-(E15/D15))/(B15/A15)</f>
        <v>4.2693804729742046E-2</v>
      </c>
    </row>
    <row r="16" spans="1:12" ht="15" thickBot="1" x14ac:dyDescent="0.35">
      <c r="A16" s="178">
        <v>583</v>
      </c>
      <c r="B16" s="45">
        <v>25418.25</v>
      </c>
      <c r="C16" s="14" t="s">
        <v>2828</v>
      </c>
      <c r="D16" s="45">
        <f>+I16</f>
        <v>583</v>
      </c>
      <c r="E16" s="45">
        <f>+J16</f>
        <v>24194.5</v>
      </c>
      <c r="F16" s="14" t="s">
        <v>2829</v>
      </c>
      <c r="G16" s="14">
        <v>95381</v>
      </c>
      <c r="H16" s="14"/>
      <c r="I16" s="45">
        <v>583</v>
      </c>
      <c r="J16" s="46">
        <v>24194.5</v>
      </c>
      <c r="K16" s="52">
        <f t="shared" si="1"/>
        <v>0</v>
      </c>
      <c r="L16" s="31">
        <f t="shared" ref="L16:L18" si="7">(+B16-E16)/B16</f>
        <v>4.8144541815427891E-2</v>
      </c>
    </row>
    <row r="17" spans="1:12" ht="15" thickBot="1" x14ac:dyDescent="0.35">
      <c r="A17" s="178">
        <v>367</v>
      </c>
      <c r="B17" s="45">
        <v>15951</v>
      </c>
      <c r="C17" s="14" t="s">
        <v>2830</v>
      </c>
      <c r="D17" s="45">
        <f>+I17</f>
        <v>367</v>
      </c>
      <c r="E17" s="45">
        <f>+J17</f>
        <v>15647.2</v>
      </c>
      <c r="F17" s="14" t="s">
        <v>2831</v>
      </c>
      <c r="G17" s="14">
        <v>95461</v>
      </c>
      <c r="H17" s="14"/>
      <c r="I17" s="45">
        <v>367</v>
      </c>
      <c r="J17" s="46">
        <v>15647.2</v>
      </c>
      <c r="K17" s="52">
        <f t="shared" si="1"/>
        <v>0</v>
      </c>
      <c r="L17" s="31">
        <f t="shared" si="7"/>
        <v>1.9045827847783792E-2</v>
      </c>
    </row>
    <row r="18" spans="1:12" x14ac:dyDescent="0.3">
      <c r="A18" s="871">
        <v>600</v>
      </c>
      <c r="B18" s="873">
        <v>27461.5</v>
      </c>
      <c r="C18" s="873" t="s">
        <v>3248</v>
      </c>
      <c r="D18" s="873">
        <f>+I18+I19+I20</f>
        <v>600</v>
      </c>
      <c r="E18" s="873">
        <f>+J18+J19+J20</f>
        <v>26568.399999999998</v>
      </c>
      <c r="F18" s="294" t="s">
        <v>3249</v>
      </c>
      <c r="G18" s="295">
        <v>95621</v>
      </c>
      <c r="H18" s="40"/>
      <c r="I18" s="39">
        <v>200</v>
      </c>
      <c r="J18" s="41">
        <v>8995.9</v>
      </c>
      <c r="K18" s="882">
        <f t="shared" si="1"/>
        <v>0</v>
      </c>
      <c r="L18" s="879">
        <f t="shared" si="7"/>
        <v>3.252189428836743E-2</v>
      </c>
    </row>
    <row r="19" spans="1:12" x14ac:dyDescent="0.3">
      <c r="A19" s="875"/>
      <c r="B19" s="881"/>
      <c r="C19" s="881"/>
      <c r="D19" s="881"/>
      <c r="E19" s="881"/>
      <c r="F19" s="296" t="s">
        <v>3249</v>
      </c>
      <c r="G19" s="297">
        <v>95621</v>
      </c>
      <c r="I19" s="50">
        <v>200</v>
      </c>
      <c r="J19" s="51">
        <v>8817.2000000000007</v>
      </c>
      <c r="K19" s="883"/>
      <c r="L19" s="885"/>
    </row>
    <row r="20" spans="1:12" ht="15" thickBot="1" x14ac:dyDescent="0.35">
      <c r="A20" s="872"/>
      <c r="B20" s="874"/>
      <c r="C20" s="874"/>
      <c r="D20" s="874"/>
      <c r="E20" s="874"/>
      <c r="F20" s="298" t="s">
        <v>3249</v>
      </c>
      <c r="G20" s="299">
        <v>95621</v>
      </c>
      <c r="H20" s="43"/>
      <c r="I20" s="42">
        <v>200</v>
      </c>
      <c r="J20" s="44">
        <v>8755.2999999999993</v>
      </c>
      <c r="K20" s="884"/>
      <c r="L20" s="880"/>
    </row>
    <row r="21" spans="1:12" ht="15" thickBot="1" x14ac:dyDescent="0.35">
      <c r="A21" s="178">
        <v>429</v>
      </c>
      <c r="B21" s="45">
        <v>18246</v>
      </c>
      <c r="C21" s="14" t="s">
        <v>3250</v>
      </c>
      <c r="D21" s="45">
        <f>+I21</f>
        <v>428</v>
      </c>
      <c r="E21" s="45">
        <f>+J21</f>
        <v>17806</v>
      </c>
      <c r="F21" s="300" t="s">
        <v>3251</v>
      </c>
      <c r="G21" s="301">
        <v>95701</v>
      </c>
      <c r="H21" s="14"/>
      <c r="I21" s="45">
        <v>428</v>
      </c>
      <c r="J21" s="46">
        <v>17806</v>
      </c>
      <c r="K21" s="52">
        <f t="shared" ref="K21" si="8">+A21-D21</f>
        <v>1</v>
      </c>
      <c r="L21" s="31">
        <f t="shared" ref="L21" si="9">((+B21/A21)-(E21/D21))/(B21/A21)</f>
        <v>2.1834769059612059E-2</v>
      </c>
    </row>
    <row r="22" spans="1:12" ht="15" thickBot="1" x14ac:dyDescent="0.35">
      <c r="A22" s="178">
        <v>401</v>
      </c>
      <c r="B22" s="45">
        <v>17398.099999999999</v>
      </c>
      <c r="C22" s="14" t="s">
        <v>3352</v>
      </c>
      <c r="D22" s="45">
        <f>+I22+163</f>
        <v>384</v>
      </c>
      <c r="E22" s="45">
        <f>+J22+6601.6</f>
        <v>15593.4</v>
      </c>
      <c r="F22" s="304" t="s">
        <v>3353</v>
      </c>
      <c r="G22" s="301">
        <v>96971</v>
      </c>
      <c r="H22" s="14"/>
      <c r="I22" s="45">
        <v>221</v>
      </c>
      <c r="J22" s="45">
        <v>8991.7999999999993</v>
      </c>
      <c r="K22" s="52">
        <f t="shared" ref="K22" si="10">+A22-D22</f>
        <v>17</v>
      </c>
      <c r="L22" s="31">
        <f t="shared" ref="L22" si="11">((+B22/A22)-(E22/D22))/(B22/A22)</f>
        <v>6.4051085319661305E-2</v>
      </c>
    </row>
    <row r="23" spans="1:12" ht="15" thickBot="1" x14ac:dyDescent="0.35">
      <c r="A23" s="178">
        <v>250</v>
      </c>
      <c r="B23" s="45">
        <v>10958.6</v>
      </c>
      <c r="C23" s="8" t="s">
        <v>3795</v>
      </c>
      <c r="D23" s="45">
        <f t="shared" ref="D23:E23" si="12">+I23</f>
        <v>250</v>
      </c>
      <c r="E23" s="45">
        <f t="shared" si="12"/>
        <v>10432.5</v>
      </c>
      <c r="F23" s="300" t="s">
        <v>3796</v>
      </c>
      <c r="G23" s="329">
        <v>97141</v>
      </c>
      <c r="H23" s="14"/>
      <c r="I23" s="45">
        <v>250</v>
      </c>
      <c r="J23" s="46">
        <v>10432.5</v>
      </c>
      <c r="K23" s="52">
        <f t="shared" ref="K23:K25" si="13">+A23-D23</f>
        <v>0</v>
      </c>
      <c r="L23" s="31">
        <f t="shared" ref="L23:L24" si="14">((+B23/A23)-(E23/D23))/(B23/A23)</f>
        <v>4.8007957220812997E-2</v>
      </c>
    </row>
    <row r="24" spans="1:12" ht="15" thickBot="1" x14ac:dyDescent="0.35">
      <c r="A24" s="178">
        <v>250</v>
      </c>
      <c r="B24" s="45">
        <v>10892.3</v>
      </c>
      <c r="C24" s="8" t="s">
        <v>3797</v>
      </c>
      <c r="D24" s="45">
        <f>+I24</f>
        <v>250</v>
      </c>
      <c r="E24" s="45">
        <f>+J24</f>
        <v>10453.1</v>
      </c>
      <c r="F24" s="300" t="s">
        <v>3798</v>
      </c>
      <c r="G24" s="329">
        <v>97541</v>
      </c>
      <c r="H24" s="14"/>
      <c r="I24" s="45">
        <v>250</v>
      </c>
      <c r="J24" s="46">
        <v>10453.1</v>
      </c>
      <c r="K24" s="52">
        <f t="shared" si="13"/>
        <v>0</v>
      </c>
      <c r="L24" s="31">
        <f t="shared" si="14"/>
        <v>4.0322062374337636E-2</v>
      </c>
    </row>
    <row r="25" spans="1:12" x14ac:dyDescent="0.3">
      <c r="A25" s="871">
        <v>250</v>
      </c>
      <c r="B25" s="873">
        <v>10862.9</v>
      </c>
      <c r="C25" s="873" t="s">
        <v>3799</v>
      </c>
      <c r="D25" s="873">
        <f>+I25+I26</f>
        <v>249</v>
      </c>
      <c r="E25" s="873">
        <f>+J25+J26</f>
        <v>10536.8</v>
      </c>
      <c r="F25" s="327" t="s">
        <v>3800</v>
      </c>
      <c r="G25" s="295">
        <v>97861</v>
      </c>
      <c r="H25" s="38"/>
      <c r="I25" s="12">
        <v>200</v>
      </c>
      <c r="J25" s="13">
        <v>8462.7999999999993</v>
      </c>
      <c r="K25" s="886">
        <f t="shared" si="13"/>
        <v>1</v>
      </c>
      <c r="L25" s="879">
        <f>((+B25/A25)-(E25/D25))/(B25/A25)</f>
        <v>2.6124104441405723E-2</v>
      </c>
    </row>
    <row r="26" spans="1:12" ht="15" thickBot="1" x14ac:dyDescent="0.35">
      <c r="A26" s="872"/>
      <c r="B26" s="874"/>
      <c r="C26" s="874"/>
      <c r="D26" s="874"/>
      <c r="E26" s="874"/>
      <c r="F26" s="328" t="s">
        <v>3800</v>
      </c>
      <c r="G26" s="299">
        <v>98761</v>
      </c>
      <c r="H26" s="82"/>
      <c r="I26" s="10">
        <v>49</v>
      </c>
      <c r="J26" s="11">
        <v>2074</v>
      </c>
      <c r="K26" s="878"/>
      <c r="L26" s="880"/>
    </row>
    <row r="27" spans="1:12" ht="15" thickBot="1" x14ac:dyDescent="0.35">
      <c r="A27" s="178">
        <v>250</v>
      </c>
      <c r="B27" s="45">
        <v>10362.799999999999</v>
      </c>
      <c r="C27" s="45" t="s">
        <v>3801</v>
      </c>
      <c r="D27" s="45">
        <v>120</v>
      </c>
      <c r="E27" s="45">
        <v>4849.3</v>
      </c>
      <c r="F27" s="300" t="s">
        <v>3802</v>
      </c>
      <c r="G27" s="330">
        <v>97991</v>
      </c>
      <c r="I27" s="50">
        <v>70</v>
      </c>
      <c r="J27" s="50">
        <v>2905.2000000000003</v>
      </c>
      <c r="K27" s="52">
        <f t="shared" ref="K27" si="15">+A27-D27</f>
        <v>130</v>
      </c>
      <c r="L27" s="31">
        <f t="shared" ref="L27" si="16">((+B27/A27)-(E27/D27))/(B27/A27)</f>
        <v>2.5098589827717021E-2</v>
      </c>
    </row>
    <row r="28" spans="1:12" x14ac:dyDescent="0.3">
      <c r="F28" s="296"/>
    </row>
    <row r="29" spans="1:12" x14ac:dyDescent="0.3">
      <c r="A29" s="155">
        <f>SUM(A5:A28)</f>
        <v>6313</v>
      </c>
      <c r="B29" s="155">
        <f>SUM(B5:B28)</f>
        <v>276098.95</v>
      </c>
      <c r="C29" s="155"/>
      <c r="D29" s="155">
        <f>SUM(D5:D28)</f>
        <v>6160</v>
      </c>
      <c r="E29" s="155">
        <f>SUM(E5:E28)</f>
        <v>259634.29999999996</v>
      </c>
    </row>
  </sheetData>
  <mergeCells count="26">
    <mergeCell ref="K25:K26"/>
    <mergeCell ref="L25:L26"/>
    <mergeCell ref="A25:A26"/>
    <mergeCell ref="B25:B26"/>
    <mergeCell ref="C25:C26"/>
    <mergeCell ref="D25:D26"/>
    <mergeCell ref="E25:E26"/>
    <mergeCell ref="K5:K6"/>
    <mergeCell ref="L5:L6"/>
    <mergeCell ref="A3:C3"/>
    <mergeCell ref="D3:E3"/>
    <mergeCell ref="G3:G4"/>
    <mergeCell ref="K3:K4"/>
    <mergeCell ref="L3:L4"/>
    <mergeCell ref="A5:A6"/>
    <mergeCell ref="B5:B6"/>
    <mergeCell ref="C5:C6"/>
    <mergeCell ref="D5:D6"/>
    <mergeCell ref="E5:E6"/>
    <mergeCell ref="K18:K20"/>
    <mergeCell ref="L18:L20"/>
    <mergeCell ref="A18:A20"/>
    <mergeCell ref="B18:B20"/>
    <mergeCell ref="C18:C20"/>
    <mergeCell ref="D18:D20"/>
    <mergeCell ref="E18:E20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41600B-1237-4AE2-9315-1AF7D696F987}">
  <dimension ref="A1:L52"/>
  <sheetViews>
    <sheetView zoomScale="80" zoomScaleNormal="80" workbookViewId="0">
      <selection activeCell="A51" sqref="A51"/>
    </sheetView>
  </sheetViews>
  <sheetFormatPr baseColWidth="10" defaultColWidth="8.88671875" defaultRowHeight="14.4" x14ac:dyDescent="0.3"/>
  <cols>
    <col min="1" max="1" width="13.5546875" customWidth="1"/>
    <col min="2" max="2" width="12.33203125" bestFit="1" customWidth="1"/>
    <col min="3" max="3" width="10.6640625" bestFit="1" customWidth="1"/>
    <col min="4" max="4" width="12.33203125" customWidth="1"/>
    <col min="5" max="5" width="14.6640625" customWidth="1"/>
    <col min="8" max="10" width="0" hidden="1" customWidth="1"/>
    <col min="12" max="12" width="12" bestFit="1" customWidth="1"/>
  </cols>
  <sheetData>
    <row r="1" spans="1:12" ht="23.4" x14ac:dyDescent="0.3">
      <c r="A1" s="1" t="s">
        <v>4365</v>
      </c>
      <c r="B1" s="1"/>
      <c r="C1" s="1"/>
      <c r="D1" s="1"/>
      <c r="E1" s="1"/>
      <c r="F1" s="1"/>
      <c r="G1" s="1"/>
      <c r="H1" s="1"/>
      <c r="I1" s="1"/>
      <c r="J1" s="2"/>
    </row>
    <row r="2" spans="1:12" ht="24" thickBot="1" x14ac:dyDescent="0.35">
      <c r="A2" s="3"/>
      <c r="B2" s="3"/>
      <c r="C2" s="3"/>
      <c r="D2" s="3"/>
      <c r="E2" s="3"/>
      <c r="F2" s="3"/>
      <c r="G2" s="3"/>
      <c r="H2" s="3"/>
      <c r="I2" s="3"/>
      <c r="J2" s="2"/>
    </row>
    <row r="3" spans="1:12" x14ac:dyDescent="0.3">
      <c r="A3" s="920" t="s">
        <v>1</v>
      </c>
      <c r="B3" s="921"/>
      <c r="C3" s="922"/>
      <c r="D3" s="920" t="s">
        <v>2</v>
      </c>
      <c r="E3" s="922"/>
      <c r="F3" s="67"/>
      <c r="G3" s="915" t="s">
        <v>3</v>
      </c>
      <c r="H3" s="4" t="s">
        <v>4</v>
      </c>
      <c r="I3" s="5"/>
      <c r="J3" s="5"/>
      <c r="K3" s="915" t="s">
        <v>91</v>
      </c>
      <c r="L3" s="984" t="s">
        <v>92</v>
      </c>
    </row>
    <row r="4" spans="1:12" ht="15" thickBot="1" x14ac:dyDescent="0.35">
      <c r="A4" s="69" t="s">
        <v>5</v>
      </c>
      <c r="B4" s="70" t="s">
        <v>6</v>
      </c>
      <c r="C4" s="71" t="s">
        <v>4</v>
      </c>
      <c r="D4" s="70" t="s">
        <v>7</v>
      </c>
      <c r="E4" s="71" t="s">
        <v>6</v>
      </c>
      <c r="F4" s="72" t="s">
        <v>8</v>
      </c>
      <c r="G4" s="923"/>
      <c r="H4" s="7" t="s">
        <v>9</v>
      </c>
      <c r="I4" s="6" t="s">
        <v>5</v>
      </c>
      <c r="J4" s="6" t="s">
        <v>10</v>
      </c>
      <c r="K4" s="916"/>
      <c r="L4" s="1010"/>
    </row>
    <row r="5" spans="1:12" x14ac:dyDescent="0.3">
      <c r="A5" s="871">
        <v>126</v>
      </c>
      <c r="B5" s="873">
        <v>5472.17</v>
      </c>
      <c r="C5" s="873" t="s">
        <v>4370</v>
      </c>
      <c r="D5" s="873">
        <f>+I5+I6</f>
        <v>115</v>
      </c>
      <c r="E5" s="873">
        <f>+J5+J6</f>
        <v>4755.3999999999996</v>
      </c>
      <c r="F5" s="39" t="s">
        <v>1901</v>
      </c>
      <c r="G5" s="39">
        <v>17271</v>
      </c>
      <c r="H5" s="39"/>
      <c r="I5" s="39">
        <v>88</v>
      </c>
      <c r="J5" s="39">
        <v>3569.2</v>
      </c>
      <c r="K5" s="877">
        <f>+A5-D5</f>
        <v>11</v>
      </c>
      <c r="L5" s="879">
        <f>((+B5/A5)-(E5/D5))/(B5/A5)</f>
        <v>4.7861388110002609E-2</v>
      </c>
    </row>
    <row r="6" spans="1:12" ht="15" thickBot="1" x14ac:dyDescent="0.35">
      <c r="A6" s="872"/>
      <c r="B6" s="874"/>
      <c r="C6" s="874"/>
      <c r="D6" s="874"/>
      <c r="E6" s="874"/>
      <c r="F6" s="42" t="s">
        <v>1901</v>
      </c>
      <c r="G6" s="42">
        <v>17371</v>
      </c>
      <c r="H6" s="42"/>
      <c r="I6" s="42">
        <v>27</v>
      </c>
      <c r="J6" s="42">
        <v>1186.2</v>
      </c>
      <c r="K6" s="878"/>
      <c r="L6" s="880"/>
    </row>
    <row r="7" spans="1:12" ht="15" thickBot="1" x14ac:dyDescent="0.35">
      <c r="A7" s="179">
        <v>131</v>
      </c>
      <c r="B7" s="42">
        <v>6557.16</v>
      </c>
      <c r="C7" s="42" t="s">
        <v>4366</v>
      </c>
      <c r="D7" s="50">
        <f t="shared" ref="D7:E8" si="0">+I7</f>
        <v>133</v>
      </c>
      <c r="E7" s="50">
        <f t="shared" si="0"/>
        <v>6458.3</v>
      </c>
      <c r="F7" s="42" t="s">
        <v>4367</v>
      </c>
      <c r="G7" s="42">
        <v>99391</v>
      </c>
      <c r="H7" s="42"/>
      <c r="I7" s="42">
        <v>133</v>
      </c>
      <c r="J7" s="42">
        <v>6458.3</v>
      </c>
      <c r="K7" s="52">
        <f t="shared" ref="K7:K8" si="1">+A7-D7</f>
        <v>-2</v>
      </c>
      <c r="L7" s="31">
        <f t="shared" ref="L7:L9" si="2">((+B7/A7)-(E7/D7))/(B7/A7)</f>
        <v>2.9887526495172116E-2</v>
      </c>
    </row>
    <row r="8" spans="1:12" ht="15" thickBot="1" x14ac:dyDescent="0.35">
      <c r="A8" s="179">
        <v>363</v>
      </c>
      <c r="B8" s="42">
        <v>15029.75</v>
      </c>
      <c r="C8" s="42" t="s">
        <v>4368</v>
      </c>
      <c r="D8" s="45">
        <f t="shared" si="0"/>
        <v>363</v>
      </c>
      <c r="E8" s="45">
        <f t="shared" si="0"/>
        <v>14394.5</v>
      </c>
      <c r="F8" s="42" t="s">
        <v>4369</v>
      </c>
      <c r="G8" s="42">
        <v>99531</v>
      </c>
      <c r="H8" s="42"/>
      <c r="I8" s="42">
        <v>363</v>
      </c>
      <c r="J8" s="42">
        <v>14394.5</v>
      </c>
      <c r="K8" s="52">
        <f t="shared" si="1"/>
        <v>0</v>
      </c>
      <c r="L8" s="31">
        <f t="shared" si="2"/>
        <v>4.2266172092017495E-2</v>
      </c>
    </row>
    <row r="9" spans="1:12" x14ac:dyDescent="0.3">
      <c r="A9" s="871">
        <v>450</v>
      </c>
      <c r="B9" s="873">
        <v>19116</v>
      </c>
      <c r="C9" s="873" t="s">
        <v>4471</v>
      </c>
      <c r="D9" s="873">
        <f>+I9+I10</f>
        <v>450</v>
      </c>
      <c r="E9" s="873">
        <f>+J9+J10</f>
        <v>18178.400000000001</v>
      </c>
      <c r="F9" s="39" t="s">
        <v>4472</v>
      </c>
      <c r="G9" s="39">
        <v>99761</v>
      </c>
      <c r="H9" s="39"/>
      <c r="I9" s="39">
        <v>250</v>
      </c>
      <c r="J9" s="39">
        <v>10067</v>
      </c>
      <c r="K9" s="877">
        <f>+A9-D9</f>
        <v>0</v>
      </c>
      <c r="L9" s="879">
        <f t="shared" si="2"/>
        <v>4.9047917974471493E-2</v>
      </c>
    </row>
    <row r="10" spans="1:12" ht="15" thickBot="1" x14ac:dyDescent="0.35">
      <c r="A10" s="872"/>
      <c r="B10" s="874"/>
      <c r="C10" s="874"/>
      <c r="D10" s="874"/>
      <c r="E10" s="874"/>
      <c r="F10" s="42" t="s">
        <v>4472</v>
      </c>
      <c r="G10" s="42">
        <v>66761</v>
      </c>
      <c r="H10" s="42"/>
      <c r="I10" s="42">
        <v>200</v>
      </c>
      <c r="J10" s="42">
        <v>8111.4</v>
      </c>
      <c r="K10" s="878"/>
      <c r="L10" s="880"/>
    </row>
    <row r="11" spans="1:12" ht="15" thickBot="1" x14ac:dyDescent="0.35">
      <c r="A11" s="199">
        <v>335</v>
      </c>
      <c r="B11" s="42">
        <v>14473</v>
      </c>
      <c r="C11" s="42" t="s">
        <v>4473</v>
      </c>
      <c r="D11" s="42">
        <f t="shared" ref="D11:E11" si="3">+I11</f>
        <v>335</v>
      </c>
      <c r="E11" s="42">
        <f t="shared" si="3"/>
        <v>13692.800000000001</v>
      </c>
      <c r="F11" s="42" t="s">
        <v>4474</v>
      </c>
      <c r="G11" s="42">
        <v>99841</v>
      </c>
      <c r="H11" s="42"/>
      <c r="I11" s="42">
        <v>335</v>
      </c>
      <c r="J11" s="42">
        <v>13692.800000000001</v>
      </c>
      <c r="K11" s="52">
        <f t="shared" ref="K11" si="4">+A11-D11</f>
        <v>0</v>
      </c>
      <c r="L11" s="31">
        <f t="shared" ref="L11" si="5">((+B11/A11)-(E11/D11))/(B11/A11)</f>
        <v>5.3907275616665376E-2</v>
      </c>
    </row>
    <row r="12" spans="1:12" ht="15" thickBot="1" x14ac:dyDescent="0.35">
      <c r="A12" s="348">
        <v>378</v>
      </c>
      <c r="B12" s="45">
        <v>15940.5</v>
      </c>
      <c r="C12" s="45" t="s">
        <v>4561</v>
      </c>
      <c r="D12" s="45">
        <f>+I12</f>
        <v>378</v>
      </c>
      <c r="E12" s="45">
        <f>+J12</f>
        <v>15226.5</v>
      </c>
      <c r="F12" s="45" t="s">
        <v>4562</v>
      </c>
      <c r="G12" s="45">
        <v>99941</v>
      </c>
      <c r="H12" s="14"/>
      <c r="I12" s="45">
        <v>378</v>
      </c>
      <c r="J12" s="45">
        <v>15226.5</v>
      </c>
      <c r="K12" s="52">
        <f t="shared" ref="K12" si="6">+A12-D12</f>
        <v>0</v>
      </c>
      <c r="L12" s="31">
        <f t="shared" ref="L12" si="7">((+B12/A12)-(E12/D12))/(B12/A12)</f>
        <v>4.4791568645901877E-2</v>
      </c>
    </row>
    <row r="13" spans="1:12" x14ac:dyDescent="0.3">
      <c r="A13" s="901">
        <v>1054</v>
      </c>
      <c r="B13" s="873">
        <v>43914</v>
      </c>
      <c r="C13" s="873" t="s">
        <v>4729</v>
      </c>
      <c r="D13" s="873">
        <f>+I13+I14</f>
        <v>1054</v>
      </c>
      <c r="E13" s="873">
        <f>+J13+J14</f>
        <v>41752.800000000003</v>
      </c>
      <c r="F13" s="39" t="s">
        <v>4730</v>
      </c>
      <c r="G13" s="39">
        <v>99991</v>
      </c>
      <c r="H13" s="40"/>
      <c r="I13" s="39">
        <v>504</v>
      </c>
      <c r="J13" s="39">
        <v>19751.099999999999</v>
      </c>
      <c r="K13" s="877">
        <f>+A13-D13</f>
        <v>0</v>
      </c>
      <c r="L13" s="879">
        <f>((+B13/A13)-(E13/D13))/(B13/A13)</f>
        <v>4.921437354829887E-2</v>
      </c>
    </row>
    <row r="14" spans="1:12" ht="15" thickBot="1" x14ac:dyDescent="0.35">
      <c r="A14" s="888"/>
      <c r="B14" s="874"/>
      <c r="C14" s="874"/>
      <c r="D14" s="874"/>
      <c r="E14" s="874"/>
      <c r="F14" s="42" t="s">
        <v>4730</v>
      </c>
      <c r="G14" s="42">
        <v>99991</v>
      </c>
      <c r="H14" s="43"/>
      <c r="I14" s="42">
        <v>550</v>
      </c>
      <c r="J14" s="42">
        <v>22001.7</v>
      </c>
      <c r="K14" s="878"/>
      <c r="L14" s="880"/>
    </row>
    <row r="15" spans="1:12" ht="15" thickBot="1" x14ac:dyDescent="0.35">
      <c r="A15" s="197">
        <v>1712</v>
      </c>
      <c r="B15" s="253">
        <v>72619.75</v>
      </c>
      <c r="C15" s="8" t="s">
        <v>5017</v>
      </c>
      <c r="D15" s="8">
        <f>1525+187</f>
        <v>1712</v>
      </c>
      <c r="E15" s="8">
        <f>62622.2+7500.5</f>
        <v>70122.7</v>
      </c>
      <c r="F15" s="45" t="s">
        <v>5018</v>
      </c>
      <c r="G15" s="45">
        <v>100471</v>
      </c>
      <c r="H15" s="14"/>
      <c r="I15" s="45">
        <v>399</v>
      </c>
      <c r="J15" s="46">
        <v>16542</v>
      </c>
      <c r="K15" s="52">
        <f t="shared" ref="K15" si="8">+A15-D15</f>
        <v>0</v>
      </c>
      <c r="L15" s="31">
        <f t="shared" ref="L15" si="9">((+B15/A15)-(E15/D15))/(B15/A15)</f>
        <v>3.4385273978497666E-2</v>
      </c>
    </row>
    <row r="16" spans="1:12" ht="15" thickBot="1" x14ac:dyDescent="0.35">
      <c r="A16" s="197">
        <v>151</v>
      </c>
      <c r="B16" s="253">
        <v>5033.75</v>
      </c>
      <c r="C16" s="8" t="s">
        <v>5911</v>
      </c>
      <c r="D16" s="8">
        <f>+I16</f>
        <v>151</v>
      </c>
      <c r="E16" s="8">
        <f>+J16</f>
        <v>4891.5</v>
      </c>
      <c r="F16" s="45" t="s">
        <v>5912</v>
      </c>
      <c r="G16" s="45">
        <v>103411</v>
      </c>
      <c r="H16" s="14"/>
      <c r="I16" s="45">
        <v>151</v>
      </c>
      <c r="J16" s="45">
        <v>4891.5</v>
      </c>
      <c r="K16" s="52">
        <f t="shared" ref="K16:K19" si="10">+A16-D16</f>
        <v>0</v>
      </c>
      <c r="L16" s="31">
        <f t="shared" ref="L16:L19" si="11">((+B16/A16)-(E16/D16))/(B16/A16)</f>
        <v>2.8259250062080792E-2</v>
      </c>
    </row>
    <row r="17" spans="1:12" ht="15" thickBot="1" x14ac:dyDescent="0.35">
      <c r="A17" s="486">
        <v>220</v>
      </c>
      <c r="B17" s="490">
        <v>9327</v>
      </c>
      <c r="C17" s="481" t="s">
        <v>5913</v>
      </c>
      <c r="D17" s="8">
        <f>+I17</f>
        <v>220</v>
      </c>
      <c r="E17" s="8">
        <f>+J17</f>
        <v>9105.2999999999993</v>
      </c>
      <c r="F17" s="488" t="s">
        <v>5914</v>
      </c>
      <c r="G17" s="488">
        <v>103421</v>
      </c>
      <c r="H17" s="491"/>
      <c r="I17" s="488">
        <v>220</v>
      </c>
      <c r="J17" s="488">
        <v>9105.2999999999993</v>
      </c>
      <c r="K17" s="52">
        <f t="shared" si="10"/>
        <v>0</v>
      </c>
      <c r="L17" s="31">
        <f t="shared" si="11"/>
        <v>2.3769700868446614E-2</v>
      </c>
    </row>
    <row r="18" spans="1:12" ht="15" thickBot="1" x14ac:dyDescent="0.35">
      <c r="A18" s="197">
        <v>161</v>
      </c>
      <c r="B18" s="253">
        <v>7353.1</v>
      </c>
      <c r="C18" s="8" t="s">
        <v>5915</v>
      </c>
      <c r="D18" s="8">
        <f t="shared" ref="D18:E19" si="12">+I18</f>
        <v>161</v>
      </c>
      <c r="E18" s="8">
        <f t="shared" si="12"/>
        <v>7179.6</v>
      </c>
      <c r="F18" s="45" t="s">
        <v>5916</v>
      </c>
      <c r="G18" s="45">
        <v>103501</v>
      </c>
      <c r="H18" s="14"/>
      <c r="I18" s="45">
        <v>161</v>
      </c>
      <c r="J18" s="45">
        <v>7179.6</v>
      </c>
      <c r="K18" s="52">
        <f t="shared" si="10"/>
        <v>0</v>
      </c>
      <c r="L18" s="31">
        <f t="shared" si="11"/>
        <v>2.3595490337408705E-2</v>
      </c>
    </row>
    <row r="19" spans="1:12" ht="15" thickBot="1" x14ac:dyDescent="0.35">
      <c r="A19" s="486">
        <v>197</v>
      </c>
      <c r="B19" s="490">
        <v>9062.5</v>
      </c>
      <c r="C19" s="481" t="s">
        <v>5917</v>
      </c>
      <c r="D19" s="8">
        <f t="shared" si="12"/>
        <v>197</v>
      </c>
      <c r="E19" s="8">
        <f t="shared" si="12"/>
        <v>8840.7000000000007</v>
      </c>
      <c r="F19" s="488" t="s">
        <v>5918</v>
      </c>
      <c r="G19" s="488">
        <v>103631</v>
      </c>
      <c r="H19" s="491"/>
      <c r="I19" s="488">
        <v>197</v>
      </c>
      <c r="J19" s="488">
        <v>8840.7000000000007</v>
      </c>
      <c r="K19" s="52">
        <f t="shared" si="10"/>
        <v>0</v>
      </c>
      <c r="L19" s="31">
        <f t="shared" si="11"/>
        <v>2.4474482758620665E-2</v>
      </c>
    </row>
    <row r="20" spans="1:12" ht="15" thickBot="1" x14ac:dyDescent="0.35">
      <c r="A20" s="197">
        <v>216</v>
      </c>
      <c r="B20" s="253">
        <v>9820.5</v>
      </c>
      <c r="C20" s="8" t="s">
        <v>6036</v>
      </c>
      <c r="D20" s="8">
        <f>+I20</f>
        <v>216</v>
      </c>
      <c r="E20" s="8">
        <f>+J20</f>
        <v>9460.2000000000007</v>
      </c>
      <c r="F20" s="45" t="s">
        <v>6037</v>
      </c>
      <c r="G20" s="45">
        <v>103801</v>
      </c>
      <c r="H20" s="14"/>
      <c r="I20" s="45">
        <v>216</v>
      </c>
      <c r="J20" s="45">
        <v>9460.2000000000007</v>
      </c>
      <c r="K20" s="52">
        <f t="shared" ref="K20" si="13">+A20-D20</f>
        <v>0</v>
      </c>
      <c r="L20" s="31">
        <f t="shared" ref="L20" si="14">((+B20/A20)-(E20/D20))/(B20/A20)</f>
        <v>3.6688559645639197E-2</v>
      </c>
    </row>
    <row r="21" spans="1:12" ht="15" thickBot="1" x14ac:dyDescent="0.35">
      <c r="A21" s="197">
        <v>39</v>
      </c>
      <c r="B21" s="253">
        <v>1632.75</v>
      </c>
      <c r="C21" s="8" t="s">
        <v>6144</v>
      </c>
      <c r="D21" s="8">
        <f t="shared" ref="D21:E24" si="15">+I21</f>
        <v>39</v>
      </c>
      <c r="E21" s="8">
        <f t="shared" si="15"/>
        <v>1570.4</v>
      </c>
      <c r="F21" s="45" t="s">
        <v>6145</v>
      </c>
      <c r="G21" s="45">
        <v>104071</v>
      </c>
      <c r="H21" s="14"/>
      <c r="I21" s="45">
        <v>39</v>
      </c>
      <c r="J21" s="45">
        <v>1570.4</v>
      </c>
      <c r="K21" s="52">
        <f t="shared" ref="K21:K23" si="16">+A21-D21</f>
        <v>0</v>
      </c>
      <c r="L21" s="31">
        <f t="shared" ref="L21:L23" si="17">((+B21/A21)-(E21/D21))/(B21/A21)</f>
        <v>3.8187107640483817E-2</v>
      </c>
    </row>
    <row r="22" spans="1:12" ht="15" thickBot="1" x14ac:dyDescent="0.35">
      <c r="A22" s="197">
        <v>336</v>
      </c>
      <c r="B22" s="253">
        <v>12360.4</v>
      </c>
      <c r="C22" s="8" t="s">
        <v>6146</v>
      </c>
      <c r="D22" s="8">
        <f t="shared" si="15"/>
        <v>336</v>
      </c>
      <c r="E22" s="8">
        <f t="shared" si="15"/>
        <v>12147.6</v>
      </c>
      <c r="F22" s="45" t="s">
        <v>6147</v>
      </c>
      <c r="G22" s="45">
        <v>104141</v>
      </c>
      <c r="H22" s="14"/>
      <c r="I22" s="45">
        <v>336</v>
      </c>
      <c r="J22" s="45">
        <v>12147.6</v>
      </c>
      <c r="K22" s="52">
        <f t="shared" si="16"/>
        <v>0</v>
      </c>
      <c r="L22" s="31">
        <f t="shared" si="17"/>
        <v>1.7216271318080116E-2</v>
      </c>
    </row>
    <row r="23" spans="1:12" ht="15" thickBot="1" x14ac:dyDescent="0.35">
      <c r="A23" s="197">
        <v>125</v>
      </c>
      <c r="B23" s="253">
        <v>4631.3999999999996</v>
      </c>
      <c r="C23" s="8" t="s">
        <v>6148</v>
      </c>
      <c r="D23" s="8">
        <f t="shared" si="15"/>
        <v>125</v>
      </c>
      <c r="E23" s="8">
        <f t="shared" si="15"/>
        <v>4482.1000000000004</v>
      </c>
      <c r="F23" s="45" t="s">
        <v>6149</v>
      </c>
      <c r="G23" s="45">
        <v>104151</v>
      </c>
      <c r="H23" s="14"/>
      <c r="I23" s="45">
        <v>125</v>
      </c>
      <c r="J23" s="45">
        <v>4482.1000000000004</v>
      </c>
      <c r="K23" s="52">
        <f t="shared" si="16"/>
        <v>0</v>
      </c>
      <c r="L23" s="31">
        <f t="shared" si="17"/>
        <v>3.2236472772811532E-2</v>
      </c>
    </row>
    <row r="24" spans="1:12" ht="15" thickBot="1" x14ac:dyDescent="0.35">
      <c r="A24" s="578">
        <v>172</v>
      </c>
      <c r="B24" s="576">
        <v>6401.8</v>
      </c>
      <c r="C24" s="8" t="s">
        <v>6293</v>
      </c>
      <c r="D24" s="8">
        <f t="shared" si="15"/>
        <v>172</v>
      </c>
      <c r="E24" s="8">
        <f t="shared" si="15"/>
        <v>6201.8</v>
      </c>
      <c r="F24" s="45" t="s">
        <v>6294</v>
      </c>
      <c r="G24" s="45">
        <v>104211</v>
      </c>
      <c r="H24" s="14"/>
      <c r="I24" s="579">
        <v>172</v>
      </c>
      <c r="J24" s="579">
        <v>6201.8</v>
      </c>
      <c r="K24" s="52">
        <f t="shared" ref="K24:K25" si="18">+A24-D24</f>
        <v>0</v>
      </c>
      <c r="L24" s="31">
        <f t="shared" ref="L24:L25" si="19">((+B24/A24)-(E24/D24))/(B24/A24)</f>
        <v>3.1241213408728943E-2</v>
      </c>
    </row>
    <row r="25" spans="1:12" ht="15" thickBot="1" x14ac:dyDescent="0.35">
      <c r="A25" s="197">
        <v>300</v>
      </c>
      <c r="B25" s="580">
        <v>11145.7</v>
      </c>
      <c r="C25" s="198" t="s">
        <v>6295</v>
      </c>
      <c r="D25" s="8">
        <v>300</v>
      </c>
      <c r="E25" s="8">
        <v>10876.8</v>
      </c>
      <c r="F25" s="323" t="s">
        <v>6296</v>
      </c>
      <c r="G25" s="323">
        <v>104381</v>
      </c>
      <c r="H25" s="581"/>
      <c r="I25" s="579">
        <v>200</v>
      </c>
      <c r="J25" s="579">
        <v>7260.1</v>
      </c>
      <c r="K25" s="52">
        <f t="shared" si="18"/>
        <v>0</v>
      </c>
      <c r="L25" s="31">
        <f t="shared" si="19"/>
        <v>2.4125896085486008E-2</v>
      </c>
    </row>
    <row r="26" spans="1:12" x14ac:dyDescent="0.3">
      <c r="A26" s="871">
        <v>285</v>
      </c>
      <c r="B26" s="1001">
        <v>10796</v>
      </c>
      <c r="C26" s="873" t="s">
        <v>6356</v>
      </c>
      <c r="D26" s="873">
        <f>+I26+I27</f>
        <v>285</v>
      </c>
      <c r="E26" s="873">
        <f>+J26+J27</f>
        <v>10439.4</v>
      </c>
      <c r="F26" s="598" t="s">
        <v>6357</v>
      </c>
      <c r="G26" s="598">
        <v>104491</v>
      </c>
      <c r="H26" s="40"/>
      <c r="I26" s="598">
        <v>117</v>
      </c>
      <c r="J26" s="598">
        <v>4312.8999999999996</v>
      </c>
      <c r="K26" s="877">
        <f>+A26-D26</f>
        <v>0</v>
      </c>
      <c r="L26" s="879">
        <f>((+B26/A26)-(E26/D26))/(B26/A26)</f>
        <v>3.3030752130418797E-2</v>
      </c>
    </row>
    <row r="27" spans="1:12" ht="15" thickBot="1" x14ac:dyDescent="0.35">
      <c r="A27" s="872"/>
      <c r="B27" s="1002"/>
      <c r="C27" s="874"/>
      <c r="D27" s="874"/>
      <c r="E27" s="874"/>
      <c r="F27" s="599" t="s">
        <v>6357</v>
      </c>
      <c r="G27" s="599">
        <v>104491</v>
      </c>
      <c r="H27" s="600"/>
      <c r="I27" s="599">
        <v>168</v>
      </c>
      <c r="J27" s="599">
        <v>6126.5</v>
      </c>
      <c r="K27" s="878"/>
      <c r="L27" s="880"/>
    </row>
    <row r="28" spans="1:12" ht="15" thickBot="1" x14ac:dyDescent="0.35">
      <c r="A28" s="178">
        <v>326</v>
      </c>
      <c r="B28" s="438">
        <v>11252.25</v>
      </c>
      <c r="C28" s="45" t="s">
        <v>6358</v>
      </c>
      <c r="D28" s="45">
        <f>+I28</f>
        <v>326</v>
      </c>
      <c r="E28" s="45">
        <f>+J28</f>
        <v>10792.4</v>
      </c>
      <c r="F28" s="45" t="s">
        <v>6359</v>
      </c>
      <c r="G28" s="45">
        <v>104661</v>
      </c>
      <c r="H28" s="45"/>
      <c r="I28" s="45">
        <v>326</v>
      </c>
      <c r="J28" s="45">
        <v>10792.4</v>
      </c>
      <c r="K28" s="52">
        <f t="shared" ref="K28" si="20">+A28-D28</f>
        <v>0</v>
      </c>
      <c r="L28" s="31">
        <f t="shared" ref="L28" si="21">((+B28/A28)-(E28/D28))/(B28/A28)</f>
        <v>4.0867382079139807E-2</v>
      </c>
    </row>
    <row r="29" spans="1:12" x14ac:dyDescent="0.3">
      <c r="A29" s="871">
        <v>291</v>
      </c>
      <c r="B29" s="1001">
        <v>10064</v>
      </c>
      <c r="C29" s="873" t="s">
        <v>6518</v>
      </c>
      <c r="D29" s="873">
        <f>+I29+I30</f>
        <v>291</v>
      </c>
      <c r="E29" s="873">
        <f>+J29+J30</f>
        <v>9691.7000000000007</v>
      </c>
      <c r="F29" s="614" t="s">
        <v>6519</v>
      </c>
      <c r="G29" s="614">
        <v>104731</v>
      </c>
      <c r="H29" s="614"/>
      <c r="I29" s="614">
        <v>200</v>
      </c>
      <c r="J29" s="614">
        <v>6662.6</v>
      </c>
      <c r="K29" s="877">
        <f>+A29-D29</f>
        <v>0</v>
      </c>
      <c r="L29" s="879">
        <f>((+B29/A29)-(E29/D29))/(B29/A29)</f>
        <v>3.6993243243243164E-2</v>
      </c>
    </row>
    <row r="30" spans="1:12" ht="15" thickBot="1" x14ac:dyDescent="0.35">
      <c r="A30" s="872"/>
      <c r="B30" s="1002"/>
      <c r="C30" s="874"/>
      <c r="D30" s="874"/>
      <c r="E30" s="874"/>
      <c r="F30" s="615" t="s">
        <v>6519</v>
      </c>
      <c r="G30" s="615">
        <v>104731</v>
      </c>
      <c r="H30" s="615"/>
      <c r="I30" s="615">
        <v>91</v>
      </c>
      <c r="J30" s="615">
        <v>3029.1</v>
      </c>
      <c r="K30" s="878"/>
      <c r="L30" s="880"/>
    </row>
    <row r="31" spans="1:12" ht="15" thickBot="1" x14ac:dyDescent="0.35">
      <c r="A31" s="178">
        <v>51</v>
      </c>
      <c r="B31" s="438">
        <v>1713.25</v>
      </c>
      <c r="C31" s="45" t="s">
        <v>6713</v>
      </c>
      <c r="D31" s="45">
        <f>+I31</f>
        <v>51</v>
      </c>
      <c r="E31" s="45">
        <f>+J31</f>
        <v>1713.1</v>
      </c>
      <c r="F31" s="45" t="s">
        <v>6714</v>
      </c>
      <c r="G31" s="45">
        <v>105871</v>
      </c>
      <c r="H31" s="45"/>
      <c r="I31" s="45">
        <v>51</v>
      </c>
      <c r="J31" s="45">
        <v>1713.1</v>
      </c>
      <c r="K31" s="52">
        <f t="shared" ref="K31" si="22">+A31-D31</f>
        <v>0</v>
      </c>
      <c r="L31" s="31">
        <f t="shared" ref="L31" si="23">((+B31/A31)-(E31/D31))/(B31/A31)</f>
        <v>8.755289654179247E-5</v>
      </c>
    </row>
    <row r="32" spans="1:12" ht="15" thickBot="1" x14ac:dyDescent="0.35">
      <c r="A32" s="178">
        <v>378</v>
      </c>
      <c r="B32" s="438">
        <v>14299.9</v>
      </c>
      <c r="C32" s="45" t="s">
        <v>6614</v>
      </c>
      <c r="D32" s="45">
        <v>378</v>
      </c>
      <c r="E32" s="45">
        <v>14231.4</v>
      </c>
      <c r="F32" s="45" t="s">
        <v>6615</v>
      </c>
      <c r="G32" s="45">
        <v>105071</v>
      </c>
      <c r="H32" s="45"/>
      <c r="I32" s="45">
        <v>200</v>
      </c>
      <c r="J32" s="45">
        <v>7571</v>
      </c>
      <c r="K32" s="52">
        <f t="shared" ref="K32" si="24">+A32-D32</f>
        <v>0</v>
      </c>
      <c r="L32" s="31">
        <f t="shared" ref="L32" si="25">((+B32/A32)-(E32/D32))/(B32/A32)</f>
        <v>4.7902432884147673E-3</v>
      </c>
    </row>
    <row r="33" spans="1:12" x14ac:dyDescent="0.3">
      <c r="A33" s="871">
        <v>227</v>
      </c>
      <c r="B33" s="1001">
        <v>8749.4</v>
      </c>
      <c r="C33" s="873" t="s">
        <v>6715</v>
      </c>
      <c r="D33" s="873">
        <f>+I33+I34</f>
        <v>227</v>
      </c>
      <c r="E33" s="873">
        <f>+J33+J34</f>
        <v>8574.7999999999993</v>
      </c>
      <c r="F33" s="671" t="s">
        <v>6716</v>
      </c>
      <c r="G33" s="671">
        <v>105371</v>
      </c>
      <c r="H33" s="671"/>
      <c r="I33" s="671">
        <v>200</v>
      </c>
      <c r="J33" s="671">
        <v>7548.4</v>
      </c>
      <c r="K33" s="877">
        <f>+A33-D33</f>
        <v>0</v>
      </c>
      <c r="L33" s="879">
        <f>((+B33/A33)-(E33/D33))/(B33/A33)</f>
        <v>1.995565410199553E-2</v>
      </c>
    </row>
    <row r="34" spans="1:12" ht="15" thickBot="1" x14ac:dyDescent="0.35">
      <c r="A34" s="872"/>
      <c r="B34" s="1002"/>
      <c r="C34" s="874"/>
      <c r="D34" s="874"/>
      <c r="E34" s="874"/>
      <c r="F34" s="672" t="s">
        <v>6716</v>
      </c>
      <c r="G34" s="672">
        <v>105371</v>
      </c>
      <c r="H34" s="672"/>
      <c r="I34" s="672">
        <v>27</v>
      </c>
      <c r="J34" s="672">
        <v>1026.4000000000001</v>
      </c>
      <c r="K34" s="878"/>
      <c r="L34" s="880"/>
    </row>
    <row r="35" spans="1:12" x14ac:dyDescent="0.3">
      <c r="A35" s="871">
        <v>230</v>
      </c>
      <c r="B35" s="1001">
        <v>8674.1</v>
      </c>
      <c r="C35" s="873" t="s">
        <v>6717</v>
      </c>
      <c r="D35" s="873">
        <f>+I35+I36+I37</f>
        <v>230</v>
      </c>
      <c r="E35" s="873">
        <f>+J35+J36+J37</f>
        <v>8545.2999999999993</v>
      </c>
      <c r="F35" s="671" t="s">
        <v>6718</v>
      </c>
      <c r="G35" s="671">
        <v>105431</v>
      </c>
      <c r="H35" s="671"/>
      <c r="I35" s="671">
        <v>50</v>
      </c>
      <c r="J35" s="671">
        <v>1844.1</v>
      </c>
      <c r="K35" s="882">
        <f t="shared" ref="K35" si="26">+A35-D35</f>
        <v>0</v>
      </c>
      <c r="L35" s="879">
        <f t="shared" ref="L35" si="27">(+B35-E35)/B35</f>
        <v>1.4848802757634923E-2</v>
      </c>
    </row>
    <row r="36" spans="1:12" x14ac:dyDescent="0.3">
      <c r="A36" s="875"/>
      <c r="B36" s="1011"/>
      <c r="C36" s="881"/>
      <c r="D36" s="881"/>
      <c r="E36" s="881"/>
      <c r="F36" s="50" t="s">
        <v>6718</v>
      </c>
      <c r="G36" s="50">
        <v>105431</v>
      </c>
      <c r="H36" s="50"/>
      <c r="I36" s="50">
        <v>50</v>
      </c>
      <c r="J36" s="50">
        <v>1854.5</v>
      </c>
      <c r="K36" s="883"/>
      <c r="L36" s="885"/>
    </row>
    <row r="37" spans="1:12" ht="15" thickBot="1" x14ac:dyDescent="0.35">
      <c r="A37" s="872"/>
      <c r="B37" s="1002"/>
      <c r="C37" s="874"/>
      <c r="D37" s="874"/>
      <c r="E37" s="874"/>
      <c r="F37" s="672" t="s">
        <v>6718</v>
      </c>
      <c r="G37" s="672">
        <v>105431</v>
      </c>
      <c r="H37" s="672"/>
      <c r="I37" s="672">
        <v>130</v>
      </c>
      <c r="J37" s="672">
        <v>4846.7</v>
      </c>
      <c r="K37" s="884"/>
      <c r="L37" s="880"/>
    </row>
    <row r="38" spans="1:12" x14ac:dyDescent="0.3">
      <c r="A38" s="871">
        <v>278</v>
      </c>
      <c r="B38" s="1001">
        <v>10480.700000000001</v>
      </c>
      <c r="C38" s="873" t="s">
        <v>6860</v>
      </c>
      <c r="D38" s="873">
        <f>+I38+I39</f>
        <v>278</v>
      </c>
      <c r="E38" s="873">
        <f>+J38+J39</f>
        <v>10358.1</v>
      </c>
      <c r="F38" s="697" t="s">
        <v>6861</v>
      </c>
      <c r="G38" s="697">
        <v>105581</v>
      </c>
      <c r="H38" s="697"/>
      <c r="I38" s="552">
        <v>107</v>
      </c>
      <c r="J38" s="697">
        <v>3914.5</v>
      </c>
      <c r="K38" s="877">
        <f>+A38-D38</f>
        <v>0</v>
      </c>
      <c r="L38" s="879">
        <f>((+B38/A38)-(E38/D38))/(B38/A38)</f>
        <v>1.1697691948056928E-2</v>
      </c>
    </row>
    <row r="39" spans="1:12" ht="15" thickBot="1" x14ac:dyDescent="0.35">
      <c r="A39" s="872"/>
      <c r="B39" s="1002"/>
      <c r="C39" s="874"/>
      <c r="D39" s="874"/>
      <c r="E39" s="874"/>
      <c r="F39" s="698" t="s">
        <v>6861</v>
      </c>
      <c r="G39" s="698">
        <v>105581</v>
      </c>
      <c r="H39" s="698"/>
      <c r="I39" s="553">
        <v>171</v>
      </c>
      <c r="J39" s="698">
        <v>6443.6</v>
      </c>
      <c r="K39" s="878"/>
      <c r="L39" s="880"/>
    </row>
    <row r="40" spans="1:12" ht="15" thickBot="1" x14ac:dyDescent="0.35">
      <c r="A40" s="175">
        <v>230</v>
      </c>
      <c r="B40" s="253">
        <v>8421.9</v>
      </c>
      <c r="C40" s="8" t="s">
        <v>6862</v>
      </c>
      <c r="D40" s="8">
        <v>230</v>
      </c>
      <c r="E40" s="8">
        <v>8305.9</v>
      </c>
      <c r="F40" s="45" t="s">
        <v>6863</v>
      </c>
      <c r="G40" s="45">
        <v>106041</v>
      </c>
      <c r="H40" s="45"/>
      <c r="I40" s="554">
        <v>100</v>
      </c>
      <c r="J40" s="45">
        <v>3607.4</v>
      </c>
      <c r="K40" s="52">
        <f t="shared" ref="K40" si="28">+A40-D40</f>
        <v>0</v>
      </c>
      <c r="L40" s="31">
        <f t="shared" ref="L40" si="29">((+B40/A40)-(E40/D40))/(B40/A40)</f>
        <v>1.3773614030088217E-2</v>
      </c>
    </row>
    <row r="41" spans="1:12" x14ac:dyDescent="0.3">
      <c r="A41" s="871">
        <v>314</v>
      </c>
      <c r="B41" s="1001">
        <v>11519</v>
      </c>
      <c r="C41" s="873" t="s">
        <v>7029</v>
      </c>
      <c r="D41" s="873">
        <f>+I41+I42</f>
        <v>314</v>
      </c>
      <c r="E41" s="873">
        <f>+J41+J42</f>
        <v>11433.1</v>
      </c>
      <c r="F41" s="748" t="s">
        <v>7030</v>
      </c>
      <c r="G41" s="748">
        <v>106221</v>
      </c>
      <c r="H41" s="40"/>
      <c r="I41" s="758">
        <v>84</v>
      </c>
      <c r="J41" s="748">
        <v>3084.9</v>
      </c>
      <c r="K41" s="877">
        <f>+A41-D41</f>
        <v>0</v>
      </c>
      <c r="L41" s="879">
        <f>((+B41/A41)-(E41/D41))/(B41/A41)</f>
        <v>7.4572445524785768E-3</v>
      </c>
    </row>
    <row r="42" spans="1:12" ht="15" thickBot="1" x14ac:dyDescent="0.35">
      <c r="A42" s="872"/>
      <c r="B42" s="1002"/>
      <c r="C42" s="874"/>
      <c r="D42" s="874"/>
      <c r="E42" s="874"/>
      <c r="F42" s="749" t="s">
        <v>7030</v>
      </c>
      <c r="G42" s="749">
        <v>106221</v>
      </c>
      <c r="H42" s="754"/>
      <c r="I42" s="759">
        <v>230</v>
      </c>
      <c r="J42" s="749">
        <v>8348.2000000000007</v>
      </c>
      <c r="K42" s="878"/>
      <c r="L42" s="880"/>
    </row>
    <row r="43" spans="1:12" x14ac:dyDescent="0.3">
      <c r="A43" s="875">
        <v>450</v>
      </c>
      <c r="B43" s="1011">
        <v>21459</v>
      </c>
      <c r="C43" s="881" t="s">
        <v>7031</v>
      </c>
      <c r="D43" s="881">
        <f>+I43+I44+I45+I46</f>
        <v>450</v>
      </c>
      <c r="E43" s="881">
        <f>+J43+J44+J45+J46</f>
        <v>21143.800000000003</v>
      </c>
      <c r="F43" s="50" t="s">
        <v>7032</v>
      </c>
      <c r="G43" s="50">
        <v>106271</v>
      </c>
      <c r="I43" s="761">
        <v>178</v>
      </c>
      <c r="J43" s="50">
        <v>8936.1</v>
      </c>
      <c r="K43" s="877">
        <f>+A43-D43</f>
        <v>0</v>
      </c>
      <c r="L43" s="879">
        <f t="shared" ref="L43" si="30">((+B43/A43)-(E43/D43))/(B43/A43)</f>
        <v>1.4688475697842219E-2</v>
      </c>
    </row>
    <row r="44" spans="1:12" x14ac:dyDescent="0.3">
      <c r="A44" s="875"/>
      <c r="B44" s="1011"/>
      <c r="C44" s="881"/>
      <c r="D44" s="881"/>
      <c r="E44" s="881"/>
      <c r="F44" s="50" t="s">
        <v>7032</v>
      </c>
      <c r="G44" s="50">
        <v>106271</v>
      </c>
      <c r="I44" s="761">
        <v>138</v>
      </c>
      <c r="J44" s="50">
        <v>6194.8</v>
      </c>
      <c r="K44" s="886"/>
      <c r="L44" s="885"/>
    </row>
    <row r="45" spans="1:12" x14ac:dyDescent="0.3">
      <c r="A45" s="875"/>
      <c r="B45" s="1011"/>
      <c r="C45" s="881"/>
      <c r="D45" s="881"/>
      <c r="E45" s="881"/>
      <c r="F45" s="50" t="s">
        <v>7032</v>
      </c>
      <c r="G45" s="50">
        <v>106271</v>
      </c>
      <c r="I45" s="761">
        <v>52</v>
      </c>
      <c r="J45" s="50">
        <v>2334.9</v>
      </c>
      <c r="K45" s="886"/>
      <c r="L45" s="885"/>
    </row>
    <row r="46" spans="1:12" ht="15" thickBot="1" x14ac:dyDescent="0.35">
      <c r="A46" s="872"/>
      <c r="B46" s="1002"/>
      <c r="C46" s="874"/>
      <c r="D46" s="874"/>
      <c r="E46" s="874"/>
      <c r="F46" s="749" t="s">
        <v>7032</v>
      </c>
      <c r="G46" s="749">
        <v>106271</v>
      </c>
      <c r="H46" s="754"/>
      <c r="I46" s="759">
        <v>82</v>
      </c>
      <c r="J46" s="749">
        <v>3678</v>
      </c>
      <c r="K46" s="878"/>
      <c r="L46" s="880"/>
    </row>
    <row r="47" spans="1:12" ht="15" thickBot="1" x14ac:dyDescent="0.35">
      <c r="A47" s="178">
        <v>200</v>
      </c>
      <c r="B47" s="438">
        <v>9078</v>
      </c>
      <c r="C47" s="8" t="s">
        <v>7033</v>
      </c>
      <c r="D47" s="45">
        <f>+I47</f>
        <v>200</v>
      </c>
      <c r="E47" s="45">
        <f>+J47</f>
        <v>9089.1</v>
      </c>
      <c r="F47" s="45" t="s">
        <v>7034</v>
      </c>
      <c r="G47" s="45">
        <v>106391</v>
      </c>
      <c r="H47" s="14"/>
      <c r="I47" s="760">
        <v>200</v>
      </c>
      <c r="J47" s="45">
        <v>9089.1</v>
      </c>
      <c r="K47" s="52">
        <f t="shared" ref="K47" si="31">+A47-D47</f>
        <v>0</v>
      </c>
      <c r="L47" s="31">
        <f t="shared" ref="L47" si="32">((+B47/A47)-(E47/D47))/(B47/A47)</f>
        <v>-1.2227362855254924E-3</v>
      </c>
    </row>
    <row r="48" spans="1:12" x14ac:dyDescent="0.3">
      <c r="A48" s="871">
        <v>276</v>
      </c>
      <c r="B48" s="1001">
        <v>13081</v>
      </c>
      <c r="C48" s="873" t="s">
        <v>7188</v>
      </c>
      <c r="D48" s="873">
        <f>+I48+I49</f>
        <v>276</v>
      </c>
      <c r="E48" s="873">
        <f>+J48+J49</f>
        <v>13186.599999999999</v>
      </c>
      <c r="F48" s="803" t="s">
        <v>7189</v>
      </c>
      <c r="G48" s="803">
        <v>106681</v>
      </c>
      <c r="H48" s="40"/>
      <c r="I48" s="803">
        <v>254</v>
      </c>
      <c r="J48" s="803">
        <v>12130.599999999999</v>
      </c>
      <c r="K48" s="877">
        <f>+A48-D48</f>
        <v>0</v>
      </c>
      <c r="L48" s="879">
        <f>((+B48/A48)-(E48/D48))/(B48/A48)</f>
        <v>-8.0727773106030066E-3</v>
      </c>
    </row>
    <row r="49" spans="1:12" ht="15" thickBot="1" x14ac:dyDescent="0.35">
      <c r="A49" s="872"/>
      <c r="B49" s="1002"/>
      <c r="C49" s="874"/>
      <c r="D49" s="874"/>
      <c r="E49" s="874"/>
      <c r="F49" s="804" t="s">
        <v>7189</v>
      </c>
      <c r="G49" s="804">
        <v>106681</v>
      </c>
      <c r="H49" s="807"/>
      <c r="I49" s="804">
        <v>22</v>
      </c>
      <c r="J49" s="804">
        <v>1056</v>
      </c>
      <c r="K49" s="878"/>
      <c r="L49" s="880"/>
    </row>
    <row r="50" spans="1:12" ht="15" thickBot="1" x14ac:dyDescent="0.35">
      <c r="A50" s="178">
        <v>182</v>
      </c>
      <c r="B50" s="438">
        <v>9128.5</v>
      </c>
      <c r="C50" s="8" t="s">
        <v>7237</v>
      </c>
      <c r="D50" s="45">
        <f>+I50</f>
        <v>182</v>
      </c>
      <c r="E50" s="45">
        <f>+J50</f>
        <v>8678.1</v>
      </c>
      <c r="F50" s="45" t="s">
        <v>7238</v>
      </c>
      <c r="G50" s="45">
        <v>106841</v>
      </c>
      <c r="H50" s="14"/>
      <c r="I50" s="45">
        <v>182</v>
      </c>
      <c r="J50" s="45">
        <v>8678.1</v>
      </c>
      <c r="K50" s="52">
        <f t="shared" ref="K50" si="33">+A50-D50</f>
        <v>0</v>
      </c>
      <c r="L50" s="31">
        <f t="shared" ref="L50" si="34">((+B50/A50)-(E50/D50))/(B50/A50)</f>
        <v>4.9339979186065586E-2</v>
      </c>
    </row>
    <row r="51" spans="1:12" x14ac:dyDescent="0.3">
      <c r="A51" s="364"/>
      <c r="B51" s="624"/>
      <c r="C51" s="364"/>
      <c r="D51" s="364"/>
      <c r="E51" s="364"/>
      <c r="F51" s="364"/>
      <c r="G51" s="364"/>
      <c r="H51" s="364"/>
      <c r="I51" s="364"/>
      <c r="J51" s="364"/>
      <c r="K51" s="368"/>
      <c r="L51" s="369"/>
    </row>
    <row r="52" spans="1:12" x14ac:dyDescent="0.3">
      <c r="A52" s="155">
        <f>SUM(A5:A14)</f>
        <v>2837</v>
      </c>
      <c r="B52" s="155">
        <f t="shared" ref="B52:E52" si="35">SUM(B5:B14)</f>
        <v>120502.58</v>
      </c>
      <c r="C52" s="155">
        <f t="shared" si="35"/>
        <v>0</v>
      </c>
      <c r="D52" s="155">
        <f t="shared" si="35"/>
        <v>2828</v>
      </c>
      <c r="E52" s="155">
        <f t="shared" si="35"/>
        <v>114458.70000000001</v>
      </c>
    </row>
  </sheetData>
  <mergeCells count="82">
    <mergeCell ref="K48:K49"/>
    <mergeCell ref="L48:L49"/>
    <mergeCell ref="A48:A49"/>
    <mergeCell ref="B48:B49"/>
    <mergeCell ref="C48:C49"/>
    <mergeCell ref="D48:D49"/>
    <mergeCell ref="E48:E49"/>
    <mergeCell ref="K38:K39"/>
    <mergeCell ref="L38:L39"/>
    <mergeCell ref="A38:A39"/>
    <mergeCell ref="B38:B39"/>
    <mergeCell ref="C38:C39"/>
    <mergeCell ref="D38:D39"/>
    <mergeCell ref="E38:E39"/>
    <mergeCell ref="K33:K34"/>
    <mergeCell ref="L33:L34"/>
    <mergeCell ref="K35:K37"/>
    <mergeCell ref="L35:L37"/>
    <mergeCell ref="A35:A37"/>
    <mergeCell ref="B35:B37"/>
    <mergeCell ref="C35:C37"/>
    <mergeCell ref="D35:D37"/>
    <mergeCell ref="E35:E37"/>
    <mergeCell ref="A33:A34"/>
    <mergeCell ref="B33:B34"/>
    <mergeCell ref="C33:C34"/>
    <mergeCell ref="D33:D34"/>
    <mergeCell ref="E33:E34"/>
    <mergeCell ref="K29:K30"/>
    <mergeCell ref="L29:L30"/>
    <mergeCell ref="A29:A30"/>
    <mergeCell ref="B29:B30"/>
    <mergeCell ref="C29:C30"/>
    <mergeCell ref="D29:D30"/>
    <mergeCell ref="E29:E30"/>
    <mergeCell ref="K5:K6"/>
    <mergeCell ref="L5:L6"/>
    <mergeCell ref="A3:C3"/>
    <mergeCell ref="D3:E3"/>
    <mergeCell ref="G3:G4"/>
    <mergeCell ref="K3:K4"/>
    <mergeCell ref="L3:L4"/>
    <mergeCell ref="A5:A6"/>
    <mergeCell ref="B5:B6"/>
    <mergeCell ref="C5:C6"/>
    <mergeCell ref="D5:D6"/>
    <mergeCell ref="E5:E6"/>
    <mergeCell ref="K9:K10"/>
    <mergeCell ref="L9:L10"/>
    <mergeCell ref="A9:A10"/>
    <mergeCell ref="B9:B10"/>
    <mergeCell ref="C9:C10"/>
    <mergeCell ref="D9:D10"/>
    <mergeCell ref="E9:E10"/>
    <mergeCell ref="K13:K14"/>
    <mergeCell ref="L13:L14"/>
    <mergeCell ref="A13:A14"/>
    <mergeCell ref="B13:B14"/>
    <mergeCell ref="C13:C14"/>
    <mergeCell ref="D13:D14"/>
    <mergeCell ref="E13:E14"/>
    <mergeCell ref="K26:K27"/>
    <mergeCell ref="L26:L27"/>
    <mergeCell ref="A26:A27"/>
    <mergeCell ref="B26:B27"/>
    <mergeCell ref="C26:C27"/>
    <mergeCell ref="D26:D27"/>
    <mergeCell ref="E26:E27"/>
    <mergeCell ref="K41:K42"/>
    <mergeCell ref="L41:L42"/>
    <mergeCell ref="K43:K46"/>
    <mergeCell ref="L43:L46"/>
    <mergeCell ref="A43:A46"/>
    <mergeCell ref="B43:B46"/>
    <mergeCell ref="C43:C46"/>
    <mergeCell ref="D43:D46"/>
    <mergeCell ref="E43:E46"/>
    <mergeCell ref="A41:A42"/>
    <mergeCell ref="B41:B42"/>
    <mergeCell ref="C41:C42"/>
    <mergeCell ref="D41:D42"/>
    <mergeCell ref="E41:E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51</vt:i4>
      </vt:variant>
    </vt:vector>
  </HeadingPairs>
  <TitlesOfParts>
    <vt:vector size="51" baseType="lpstr">
      <vt:lpstr>CAPRI DX9</vt:lpstr>
      <vt:lpstr>NAPPA DX9</vt:lpstr>
      <vt:lpstr>CAPRI HL1</vt:lpstr>
      <vt:lpstr>NAPPA HL1</vt:lpstr>
      <vt:lpstr>NAPPA LC5</vt:lpstr>
      <vt:lpstr>NAPPA LU5</vt:lpstr>
      <vt:lpstr>NAPPA LV5</vt:lpstr>
      <vt:lpstr>CAPRI GREY SA5</vt:lpstr>
      <vt:lpstr>JRR</vt:lpstr>
      <vt:lpstr>LT5</vt:lpstr>
      <vt:lpstr>WU9</vt:lpstr>
      <vt:lpstr>WA3</vt:lpstr>
      <vt:lpstr>MP 2N4</vt:lpstr>
      <vt:lpstr>MP 5B8</vt:lpstr>
      <vt:lpstr>MP DN3</vt:lpstr>
      <vt:lpstr>MP DY3</vt:lpstr>
      <vt:lpstr>MP DY8</vt:lpstr>
      <vt:lpstr>LEAR MP 5B8</vt:lpstr>
      <vt:lpstr>LEAR MP DN3</vt:lpstr>
      <vt:lpstr>LEAR SOHO 5B8</vt:lpstr>
      <vt:lpstr>LEAR SOHO DN3</vt:lpstr>
      <vt:lpstr>DX9 MCKINEY</vt:lpstr>
      <vt:lpstr>PD2 MCKINLEY</vt:lpstr>
      <vt:lpstr>DX9 NAPPA RU</vt:lpstr>
      <vt:lpstr>ML8 NAPPA</vt:lpstr>
      <vt:lpstr>PD2 NAPPA</vt:lpstr>
      <vt:lpstr>VEV NAPPA</vt:lpstr>
      <vt:lpstr>LK5 NAPPA</vt:lpstr>
      <vt:lpstr>TX7</vt:lpstr>
      <vt:lpstr>VT9</vt:lpstr>
      <vt:lpstr>NAPPA TX7-JL</vt:lpstr>
      <vt:lpstr>MCKINLEY SA5</vt:lpstr>
      <vt:lpstr>NAPPA SA5</vt:lpstr>
      <vt:lpstr>STT</vt:lpstr>
      <vt:lpstr>PS4</vt:lpstr>
      <vt:lpstr>LAGUNA DX9</vt:lpstr>
      <vt:lpstr>NAPPA TX7-WL</vt:lpstr>
      <vt:lpstr>CAPRI TX7-WL</vt:lpstr>
      <vt:lpstr>PALERMO TX7-WL</vt:lpstr>
      <vt:lpstr>NAPPA SA5-WL</vt:lpstr>
      <vt:lpstr>CAPRI WT3-WL</vt:lpstr>
      <vt:lpstr>NAPPA WT5-WL</vt:lpstr>
      <vt:lpstr>PALERMO WT5-WL</vt:lpstr>
      <vt:lpstr>NAPPA TX7-WS</vt:lpstr>
      <vt:lpstr>CAPRI TX7-WS</vt:lpstr>
      <vt:lpstr>PALERMO TX7-WS</vt:lpstr>
      <vt:lpstr>PALERMO WT5-WS</vt:lpstr>
      <vt:lpstr>PALERMO WA6-WS</vt:lpstr>
      <vt:lpstr>CAPRI SD4-WS</vt:lpstr>
      <vt:lpstr>PALERMO SD4-WS</vt:lpstr>
      <vt:lpstr>NAPPA DX9-DAIMAY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adrianad</dc:creator>
  <cp:lastModifiedBy>Francisco Esteban</cp:lastModifiedBy>
  <dcterms:created xsi:type="dcterms:W3CDTF">2015-04-14T23:34:57Z</dcterms:created>
  <dcterms:modified xsi:type="dcterms:W3CDTF">2021-02-09T23:14:36Z</dcterms:modified>
</cp:coreProperties>
</file>