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15150" windowHeight="7530" tabRatio="828" firstSheet="2" activeTab="2"/>
  </bookViews>
  <sheets>
    <sheet name="ConsumptionMixContributionNet" sheetId="21" r:id="rId1"/>
    <sheet name="ConsumptionMixContributionGross" sheetId="22" r:id="rId2"/>
    <sheet name="General Information" sheetId="15" r:id="rId3"/>
    <sheet name="Contents" sheetId="16" r:id="rId4"/>
    <sheet name="ConsumptionMixContributions" sheetId="13" r:id="rId5"/>
    <sheet name="NERC SSP Contributions" sheetId="17" r:id="rId6"/>
    <sheet name="Consumption Calculations" sheetId="1" r:id="rId7"/>
    <sheet name="International Trading Data" sheetId="18" r:id="rId8"/>
    <sheet name="ASCC" sheetId="2" r:id="rId9"/>
    <sheet name="FRCC" sheetId="3" r:id="rId10"/>
    <sheet name="HICC" sheetId="11" r:id="rId11"/>
    <sheet name="MRO" sheetId="4" r:id="rId12"/>
    <sheet name="NPCC" sheetId="5" r:id="rId13"/>
    <sheet name="RFC" sheetId="6" r:id="rId14"/>
    <sheet name="SERC" sheetId="7" r:id="rId15"/>
    <sheet name="SPP" sheetId="8" r:id="rId16"/>
    <sheet name="TRE" sheetId="9" r:id="rId17"/>
    <sheet name="WECC" sheetId="10" r:id="rId18"/>
    <sheet name="#Misc FERC data" sheetId="12" r:id="rId19"/>
    <sheet name="FERC Respondent IDs" sheetId="20" r:id="rId20"/>
    <sheet name="Sources" sheetId="19" r:id="rId21"/>
  </sheets>
  <externalReferences>
    <externalReference r:id="rId22"/>
    <externalReference r:id="rId23"/>
  </externalReferences>
  <definedNames>
    <definedName name="_xlnm._FilterDatabase" localSheetId="4" hidden="1">ConsumptionMixContributions!$A$3:$F$3</definedName>
    <definedName name="Flowtype" localSheetId="1">[1]Exchanges!#REF!</definedName>
    <definedName name="Flowtype">[1]Exchanges!#REF!</definedName>
    <definedName name="Flowtypes" localSheetId="1">[1]Exchanges!#REF!</definedName>
    <definedName name="Flowtypes">[1]Exchanges!#REF!</definedName>
    <definedName name="Level_of_Resolution">'[2]General information'!$C$31:$C$36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3" l="1"/>
  <c r="E39" i="13"/>
  <c r="E40" i="13"/>
  <c r="F40" i="13" s="1"/>
  <c r="E41" i="13"/>
  <c r="F41" i="13" s="1"/>
  <c r="E42" i="13"/>
  <c r="E43" i="13"/>
  <c r="E44" i="13"/>
  <c r="F44" i="13" s="1"/>
  <c r="E45" i="13"/>
  <c r="F45" i="13" s="1"/>
  <c r="E46" i="13"/>
  <c r="E47" i="13"/>
  <c r="E48" i="13"/>
  <c r="F48" i="13" s="1"/>
  <c r="E49" i="13"/>
  <c r="F49" i="13" s="1"/>
  <c r="E50" i="13"/>
  <c r="E51" i="13"/>
  <c r="E52" i="13"/>
  <c r="F52" i="13" s="1"/>
  <c r="E53" i="13"/>
  <c r="E54" i="13"/>
  <c r="E55" i="13"/>
  <c r="F55" i="13" s="1"/>
  <c r="E56" i="13"/>
  <c r="E57" i="13"/>
  <c r="F57" i="13" s="1"/>
  <c r="E58" i="13"/>
  <c r="E59" i="13"/>
  <c r="E60" i="13"/>
  <c r="F60" i="13" s="1"/>
  <c r="E61" i="13"/>
  <c r="F61" i="13" s="1"/>
  <c r="E37" i="13"/>
  <c r="F37" i="13" s="1"/>
  <c r="E36" i="13"/>
  <c r="F36" i="13" s="1"/>
  <c r="F54" i="13"/>
  <c r="F53" i="13"/>
  <c r="F51" i="13"/>
  <c r="F50" i="13"/>
  <c r="F56" i="13"/>
  <c r="F47" i="13"/>
  <c r="F46" i="13"/>
  <c r="F43" i="13"/>
  <c r="F42" i="13"/>
  <c r="F39" i="13"/>
  <c r="F38" i="13"/>
  <c r="F59" i="13"/>
  <c r="F58" i="13"/>
  <c r="E48" i="17"/>
  <c r="E47" i="17"/>
  <c r="E46" i="17"/>
  <c r="E41" i="17"/>
  <c r="E43" i="17"/>
  <c r="E44" i="17"/>
  <c r="E45" i="17"/>
  <c r="E42" i="17"/>
  <c r="E39" i="17"/>
  <c r="E38" i="17"/>
  <c r="E32" i="17"/>
  <c r="E33" i="17"/>
  <c r="E34" i="17"/>
  <c r="E35" i="17"/>
  <c r="E31" i="17"/>
  <c r="B47" i="17"/>
  <c r="B48" i="17"/>
  <c r="B46" i="17"/>
  <c r="B43" i="17"/>
  <c r="B42" i="17"/>
  <c r="B41" i="17"/>
  <c r="B38" i="17"/>
  <c r="B39" i="17"/>
  <c r="B40" i="17"/>
  <c r="B37" i="17"/>
  <c r="B34" i="17"/>
  <c r="B33" i="17"/>
  <c r="B32" i="17"/>
  <c r="B31" i="17"/>
  <c r="B30" i="17"/>
  <c r="B45" i="17"/>
  <c r="E37" i="17"/>
  <c r="B36" i="17"/>
  <c r="E30" i="17"/>
  <c r="C34" i="1"/>
  <c r="M4" i="1" l="1"/>
  <c r="M5" i="1"/>
  <c r="M6" i="1"/>
  <c r="M7" i="1"/>
  <c r="M14" i="1"/>
  <c r="M15" i="1"/>
  <c r="M16" i="1"/>
  <c r="M17" i="1"/>
  <c r="M18" i="1"/>
  <c r="M19" i="1"/>
  <c r="M20" i="1"/>
  <c r="M21" i="1"/>
  <c r="M22" i="1"/>
  <c r="M23" i="1"/>
  <c r="M3" i="1"/>
  <c r="H16" i="1" l="1"/>
  <c r="G16" i="1"/>
  <c r="H14" i="1"/>
  <c r="G14" i="1"/>
  <c r="F16" i="1"/>
  <c r="F14" i="1"/>
  <c r="E16" i="1"/>
  <c r="E14" i="1"/>
  <c r="F33" i="1" l="1"/>
  <c r="D16" i="18"/>
  <c r="C16" i="18"/>
  <c r="C17" i="18"/>
  <c r="D17" i="18"/>
  <c r="D10" i="18"/>
  <c r="D11" i="18" s="1"/>
  <c r="C10" i="18"/>
  <c r="C11" i="18" s="1"/>
  <c r="C3" i="15" l="1"/>
  <c r="D13" i="1" l="1"/>
  <c r="H28" i="1" l="1"/>
  <c r="F28" i="1"/>
  <c r="F27" i="1"/>
  <c r="F25" i="1"/>
  <c r="H23" i="1"/>
  <c r="G23" i="1"/>
  <c r="H22" i="1"/>
  <c r="G22" i="1"/>
  <c r="F23" i="1"/>
  <c r="E23" i="1"/>
  <c r="F21" i="1"/>
  <c r="E21" i="1"/>
  <c r="H20" i="1"/>
  <c r="G20" i="1"/>
  <c r="F20" i="1"/>
  <c r="E20" i="1"/>
  <c r="H19" i="1"/>
  <c r="G19" i="1"/>
  <c r="F19" i="1"/>
  <c r="E19" i="1"/>
  <c r="H18" i="1"/>
  <c r="F18" i="1"/>
  <c r="E18" i="1"/>
  <c r="G18" i="1"/>
  <c r="I4" i="1" l="1"/>
  <c r="I6" i="1"/>
  <c r="I7" i="1"/>
  <c r="I8" i="1"/>
  <c r="I12" i="1"/>
  <c r="I13" i="1"/>
  <c r="I15" i="1"/>
  <c r="I17" i="1"/>
  <c r="I22" i="1"/>
  <c r="I24" i="1"/>
  <c r="I3" i="1"/>
  <c r="K3" i="1"/>
  <c r="E4" i="13" s="1"/>
  <c r="F4" i="13" s="1"/>
  <c r="K4" i="1"/>
  <c r="C35" i="1" s="1"/>
  <c r="E5" i="13" s="1"/>
  <c r="F5" i="13" s="1"/>
  <c r="K6" i="1"/>
  <c r="C37" i="1" s="1"/>
  <c r="E7" i="13" s="1"/>
  <c r="F7" i="13" s="1"/>
  <c r="K7" i="1"/>
  <c r="C38" i="1" s="1"/>
  <c r="E8" i="13" s="1"/>
  <c r="F8" i="13" s="1"/>
  <c r="K15" i="1"/>
  <c r="C46" i="1" s="1"/>
  <c r="E16" i="13" s="1"/>
  <c r="F16" i="13" s="1"/>
  <c r="K17" i="1"/>
  <c r="C48" i="1" s="1"/>
  <c r="E18" i="13" s="1"/>
  <c r="F18" i="13" s="1"/>
  <c r="K22" i="1"/>
  <c r="C53" i="1" s="1"/>
  <c r="E23" i="13" s="1"/>
  <c r="F23" i="13" s="1"/>
  <c r="G28" i="1"/>
  <c r="E28" i="1"/>
  <c r="H27" i="1"/>
  <c r="G27" i="1"/>
  <c r="E27" i="1"/>
  <c r="F26" i="1"/>
  <c r="E26" i="1"/>
  <c r="H25" i="1"/>
  <c r="G25" i="1"/>
  <c r="E25" i="1"/>
  <c r="H21" i="1"/>
  <c r="G21" i="1"/>
  <c r="F10" i="1"/>
  <c r="E10" i="1"/>
  <c r="G11" i="1"/>
  <c r="H9" i="1"/>
  <c r="G9" i="1"/>
  <c r="H5" i="1"/>
  <c r="G5" i="1"/>
  <c r="E11" i="1"/>
  <c r="I27" i="1" l="1"/>
  <c r="I14" i="1"/>
  <c r="I18" i="1"/>
  <c r="I10" i="1"/>
  <c r="K20" i="1"/>
  <c r="C51" i="1" s="1"/>
  <c r="E21" i="13" s="1"/>
  <c r="F21" i="13" s="1"/>
  <c r="I25" i="1"/>
  <c r="I16" i="1"/>
  <c r="I23" i="1"/>
  <c r="E11" i="17" s="1"/>
  <c r="I9" i="1"/>
  <c r="I21" i="1"/>
  <c r="I26" i="1"/>
  <c r="I19" i="1"/>
  <c r="I11" i="1"/>
  <c r="I5" i="1"/>
  <c r="I28" i="1"/>
  <c r="K18" i="1"/>
  <c r="C49" i="1" s="1"/>
  <c r="E19" i="13" s="1"/>
  <c r="F19" i="13" s="1"/>
  <c r="I20" i="1"/>
  <c r="K19" i="1"/>
  <c r="C50" i="1" s="1"/>
  <c r="E20" i="13" s="1"/>
  <c r="F20" i="13" s="1"/>
  <c r="K23" i="1"/>
  <c r="C54" i="1" s="1"/>
  <c r="E24" i="13" s="1"/>
  <c r="F24" i="13" s="1"/>
  <c r="K5" i="1"/>
  <c r="C36" i="1" s="1"/>
  <c r="E6" i="13" s="1"/>
  <c r="F6" i="13" s="1"/>
  <c r="K14" i="1"/>
  <c r="C45" i="1" s="1"/>
  <c r="K16" i="1"/>
  <c r="C47" i="1" s="1"/>
  <c r="E17" i="13" s="1"/>
  <c r="F17" i="13" s="1"/>
  <c r="K21" i="1"/>
  <c r="C52" i="1" s="1"/>
  <c r="E22" i="13" s="1"/>
  <c r="F22" i="13" s="1"/>
  <c r="AC24" i="1"/>
  <c r="AB24" i="1"/>
  <c r="H29" i="1"/>
  <c r="F29" i="1"/>
  <c r="E29" i="1"/>
  <c r="G29" i="1"/>
  <c r="M24" i="1" l="1"/>
  <c r="E15" i="13"/>
  <c r="F15" i="13" s="1"/>
  <c r="E13" i="17"/>
  <c r="E12" i="17"/>
  <c r="E15" i="17"/>
  <c r="B4" i="17"/>
  <c r="B10" i="17"/>
  <c r="B19" i="17"/>
  <c r="E4" i="17"/>
  <c r="I29" i="1"/>
  <c r="K24" i="1"/>
  <c r="C55" i="1" s="1"/>
  <c r="E25" i="13" s="1"/>
  <c r="F25" i="13" s="1"/>
  <c r="F34" i="1"/>
  <c r="F35" i="1"/>
  <c r="B20" i="17" l="1"/>
  <c r="B6" i="17"/>
  <c r="E7" i="17"/>
  <c r="B11" i="17"/>
  <c r="E22" i="17"/>
  <c r="E20" i="17"/>
  <c r="E21" i="17"/>
  <c r="E18" i="17"/>
  <c r="E17" i="17"/>
  <c r="B14" i="17"/>
  <c r="B15" i="17"/>
  <c r="B17" i="17"/>
  <c r="B16" i="17"/>
  <c r="B13" i="17"/>
  <c r="E8" i="17"/>
  <c r="E19" i="17"/>
  <c r="B12" i="17"/>
  <c r="E9" i="17"/>
  <c r="E5" i="17"/>
  <c r="B5" i="17"/>
  <c r="B8" i="17"/>
  <c r="B7" i="17"/>
  <c r="B22" i="17"/>
  <c r="B21" i="17"/>
  <c r="E6" i="17"/>
  <c r="E16" i="17"/>
  <c r="D28" i="1" l="1"/>
  <c r="D27" i="1"/>
  <c r="D26" i="1"/>
  <c r="D25" i="1"/>
  <c r="Q25" i="1" s="1"/>
  <c r="D24" i="1"/>
  <c r="D23" i="1"/>
  <c r="D22" i="1"/>
  <c r="D21" i="1"/>
  <c r="D20" i="1"/>
  <c r="D19" i="1"/>
  <c r="D18" i="1"/>
  <c r="D17" i="1"/>
  <c r="D16" i="1"/>
  <c r="D15" i="1"/>
  <c r="D14" i="1"/>
  <c r="D12" i="1"/>
  <c r="D11" i="1"/>
  <c r="D10" i="1"/>
  <c r="D9" i="1"/>
  <c r="D8" i="1"/>
  <c r="D7" i="1"/>
  <c r="D6" i="1"/>
  <c r="D5" i="1"/>
  <c r="D4" i="1"/>
  <c r="D3" i="1"/>
  <c r="C29" i="1"/>
  <c r="T9" i="1" l="1"/>
  <c r="S9" i="1"/>
  <c r="R9" i="1"/>
  <c r="U9" i="1"/>
  <c r="O25" i="1"/>
  <c r="N25" i="1"/>
  <c r="P25" i="1"/>
  <c r="AC25" i="1"/>
  <c r="AB25" i="1"/>
  <c r="Y10" i="1"/>
  <c r="X10" i="1"/>
  <c r="V10" i="1"/>
  <c r="W10" i="1"/>
  <c r="AA10" i="1"/>
  <c r="Z10" i="1"/>
  <c r="N26" i="1"/>
  <c r="M26" i="1" s="1"/>
  <c r="P26" i="1"/>
  <c r="Q26" i="1"/>
  <c r="O26" i="1"/>
  <c r="AB26" i="1"/>
  <c r="AC26" i="1"/>
  <c r="Y11" i="1"/>
  <c r="X11" i="1"/>
  <c r="V11" i="1"/>
  <c r="M11" i="1" s="1"/>
  <c r="AA11" i="1"/>
  <c r="Z11" i="1"/>
  <c r="W11" i="1"/>
  <c r="AC27" i="1"/>
  <c r="Q27" i="1"/>
  <c r="O27" i="1"/>
  <c r="N27" i="1"/>
  <c r="P27" i="1"/>
  <c r="AB27" i="1"/>
  <c r="W12" i="1"/>
  <c r="AA12" i="1"/>
  <c r="Z12" i="1"/>
  <c r="Y12" i="1"/>
  <c r="X12" i="1"/>
  <c r="V12" i="1"/>
  <c r="Q28" i="1"/>
  <c r="O28" i="1"/>
  <c r="AC28" i="1"/>
  <c r="P28" i="1"/>
  <c r="N28" i="1"/>
  <c r="AB28" i="1"/>
  <c r="X13" i="1"/>
  <c r="Y13" i="1"/>
  <c r="W13" i="1"/>
  <c r="AA13" i="1"/>
  <c r="Z13" i="1"/>
  <c r="V13" i="1"/>
  <c r="U8" i="1"/>
  <c r="U29" i="1" s="1"/>
  <c r="T8" i="1"/>
  <c r="T29" i="1" s="1"/>
  <c r="S8" i="1"/>
  <c r="S29" i="1" s="1"/>
  <c r="R8" i="1"/>
  <c r="M12" i="1" l="1"/>
  <c r="Z29" i="1"/>
  <c r="M9" i="1"/>
  <c r="F39" i="1"/>
  <c r="M27" i="1"/>
  <c r="M25" i="1"/>
  <c r="R29" i="1"/>
  <c r="M8" i="1"/>
  <c r="M10" i="1"/>
  <c r="M28" i="1"/>
  <c r="M13" i="1"/>
  <c r="W29" i="1"/>
  <c r="P29" i="1"/>
  <c r="Q29" i="1"/>
  <c r="F38" i="1"/>
  <c r="N29" i="1"/>
  <c r="F36" i="1"/>
  <c r="O29" i="1"/>
  <c r="V29" i="1"/>
  <c r="X29" i="1"/>
  <c r="F37" i="1"/>
  <c r="AA29" i="1"/>
  <c r="Y29" i="1"/>
  <c r="AB29" i="1"/>
  <c r="AC29" i="1"/>
  <c r="K25" i="1"/>
  <c r="K8" i="1"/>
  <c r="C39" i="1" s="1"/>
  <c r="E9" i="13" s="1"/>
  <c r="F9" i="13" s="1"/>
  <c r="K12" i="1"/>
  <c r="C43" i="1" s="1"/>
  <c r="E13" i="13" s="1"/>
  <c r="F13" i="13" s="1"/>
  <c r="K27" i="1"/>
  <c r="C58" i="1" s="1"/>
  <c r="E28" i="13" s="1"/>
  <c r="F28" i="13" s="1"/>
  <c r="K28" i="1"/>
  <c r="C59" i="1" s="1"/>
  <c r="E29" i="13" s="1"/>
  <c r="F29" i="13" s="1"/>
  <c r="K10" i="1"/>
  <c r="C41" i="1" s="1"/>
  <c r="E11" i="13" s="1"/>
  <c r="F11" i="13" s="1"/>
  <c r="K9" i="1"/>
  <c r="C40" i="1" s="1"/>
  <c r="E10" i="13" s="1"/>
  <c r="F10" i="13" s="1"/>
  <c r="K13" i="1"/>
  <c r="C44" i="1" s="1"/>
  <c r="E14" i="13" s="1"/>
  <c r="F14" i="13" s="1"/>
  <c r="K11" i="1"/>
  <c r="C42" i="1" s="1"/>
  <c r="E12" i="13" s="1"/>
  <c r="F12" i="13" s="1"/>
  <c r="K26" i="1"/>
  <c r="M29" i="1" l="1"/>
  <c r="C56" i="1"/>
  <c r="E26" i="13" s="1"/>
  <c r="F26" i="13" s="1"/>
  <c r="C57" i="1"/>
  <c r="E27" i="13" s="1"/>
  <c r="F27" i="13" s="1"/>
  <c r="K29" i="1"/>
  <c r="C60" i="1" s="1"/>
  <c r="G37" i="1" l="1"/>
  <c r="G33" i="1"/>
  <c r="G34" i="1"/>
  <c r="G39" i="1"/>
  <c r="G38" i="1"/>
  <c r="G36" i="1"/>
  <c r="G35" i="1"/>
</calcChain>
</file>

<file path=xl/comments1.xml><?xml version="1.0" encoding="utf-8"?>
<comments xmlns="http://schemas.openxmlformats.org/spreadsheetml/2006/main">
  <authors>
    <author>Author</author>
  </authors>
  <commentList>
    <comment ref="B19" authorId="0" shapeId="0">
      <text>
        <r>
          <rPr>
            <b/>
            <sz val="9"/>
            <color indexed="81"/>
            <rFont val="Tahoma"/>
            <charset val="1"/>
          </rPr>
          <t>Author:</t>
        </r>
        <r>
          <rPr>
            <sz val="9"/>
            <color indexed="81"/>
            <rFont val="Tahoma"/>
            <charset val="1"/>
          </rPr>
          <t xml:space="preserve">
the eGRID regions in RFC all show an energy deficit and no NERC SPP is created in the 'Consumption Mix Contributions' tab</t>
        </r>
      </text>
    </comment>
  </commentList>
</comments>
</file>

<file path=xl/comments2.xml><?xml version="1.0" encoding="utf-8"?>
<comments xmlns="http://schemas.openxmlformats.org/spreadsheetml/2006/main">
  <authors>
    <author>Author</author>
  </authors>
  <commentList>
    <comment ref="G11" authorId="0" shapeId="0">
      <text>
        <r>
          <rPr>
            <b/>
            <sz val="9"/>
            <color indexed="81"/>
            <rFont val="Tahoma"/>
            <family val="2"/>
          </rPr>
          <t>Author:</t>
        </r>
        <r>
          <rPr>
            <sz val="9"/>
            <color indexed="81"/>
            <rFont val="Tahoma"/>
            <family val="2"/>
          </rPr>
          <t xml:space="preserve">
trade out data from sheet, assumed to be traded in</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Source: After the Blackout Report, July 2015</t>
        </r>
      </text>
    </comment>
    <comment ref="D2" authorId="0" shapeId="0">
      <text>
        <r>
          <rPr>
            <b/>
            <sz val="9"/>
            <color indexed="81"/>
            <rFont val="Tahoma"/>
            <family val="2"/>
          </rPr>
          <t>Author:</t>
        </r>
        <r>
          <rPr>
            <sz val="9"/>
            <color indexed="81"/>
            <rFont val="Tahoma"/>
            <family val="2"/>
          </rPr>
          <t xml:space="preserve">
Source: After the Blackout Report, July 2015</t>
        </r>
      </text>
    </comment>
    <comment ref="C14" authorId="0" shapeId="0">
      <text>
        <r>
          <rPr>
            <b/>
            <sz val="9"/>
            <color indexed="81"/>
            <rFont val="Tahoma"/>
            <family val="2"/>
          </rPr>
          <t>Author:</t>
        </r>
        <r>
          <rPr>
            <sz val="9"/>
            <color indexed="81"/>
            <rFont val="Tahoma"/>
            <family val="2"/>
          </rPr>
          <t xml:space="preserve">
Trilateral Data Comparison excel workbook</t>
        </r>
      </text>
    </comment>
    <comment ref="D14" authorId="0" shapeId="0">
      <text>
        <r>
          <rPr>
            <b/>
            <sz val="9"/>
            <color indexed="81"/>
            <rFont val="Tahoma"/>
            <family val="2"/>
          </rPr>
          <t>Author:</t>
        </r>
        <r>
          <rPr>
            <sz val="9"/>
            <color indexed="81"/>
            <rFont val="Tahoma"/>
            <family val="2"/>
          </rPr>
          <t xml:space="preserve">
Trilateral Data Comparison excel workbook</t>
        </r>
      </text>
    </comment>
  </commentList>
</comments>
</file>

<file path=xl/comments4.xml><?xml version="1.0" encoding="utf-8"?>
<comments xmlns="http://schemas.openxmlformats.org/spreadsheetml/2006/main">
  <authors>
    <author>Author</author>
  </authors>
  <commentList>
    <comment ref="H8" authorId="0" shapeId="0">
      <text>
        <r>
          <rPr>
            <b/>
            <sz val="9"/>
            <color indexed="81"/>
            <rFont val="Tahoma"/>
            <family val="2"/>
          </rPr>
          <t>Author:</t>
        </r>
        <r>
          <rPr>
            <sz val="9"/>
            <color indexed="81"/>
            <rFont val="Tahoma"/>
            <family val="2"/>
          </rPr>
          <t xml:space="preserve">
correlates to G13</t>
        </r>
      </text>
    </comment>
    <comment ref="I8" authorId="0" shapeId="0">
      <text>
        <r>
          <rPr>
            <b/>
            <sz val="9"/>
            <color indexed="81"/>
            <rFont val="Tahoma"/>
            <family val="2"/>
          </rPr>
          <t>Author:</t>
        </r>
        <r>
          <rPr>
            <sz val="9"/>
            <color indexed="81"/>
            <rFont val="Tahoma"/>
            <family val="2"/>
          </rPr>
          <t xml:space="preserve">
correlates to F13</t>
        </r>
      </text>
    </comment>
    <comment ref="H14" authorId="0" shapeId="0">
      <text>
        <r>
          <rPr>
            <b/>
            <sz val="9"/>
            <color indexed="81"/>
            <rFont val="Tahoma"/>
            <family val="2"/>
          </rPr>
          <t>Author:</t>
        </r>
        <r>
          <rPr>
            <sz val="9"/>
            <color indexed="81"/>
            <rFont val="Tahoma"/>
            <family val="2"/>
          </rPr>
          <t xml:space="preserve">
correlates to G7</t>
        </r>
      </text>
    </comment>
    <comment ref="I14" authorId="0" shapeId="0">
      <text>
        <r>
          <rPr>
            <b/>
            <sz val="9"/>
            <color indexed="81"/>
            <rFont val="Tahoma"/>
            <family val="2"/>
          </rPr>
          <t>Author:</t>
        </r>
        <r>
          <rPr>
            <sz val="9"/>
            <color indexed="81"/>
            <rFont val="Tahoma"/>
            <family val="2"/>
          </rPr>
          <t xml:space="preserve">
correlates to F7</t>
        </r>
      </text>
    </comment>
  </commentList>
</comments>
</file>

<file path=xl/sharedStrings.xml><?xml version="1.0" encoding="utf-8"?>
<sst xmlns="http://schemas.openxmlformats.org/spreadsheetml/2006/main" count="3344" uniqueCount="771">
  <si>
    <t>NERC region</t>
  </si>
  <si>
    <t>eGRID region code</t>
  </si>
  <si>
    <t>NERC region code</t>
  </si>
  <si>
    <t>AKGD</t>
  </si>
  <si>
    <t>AKMS</t>
  </si>
  <si>
    <t>AZNM</t>
  </si>
  <si>
    <t>CAMX</t>
  </si>
  <si>
    <t>ERCT</t>
  </si>
  <si>
    <t>FRCC</t>
  </si>
  <si>
    <t>HIMS</t>
  </si>
  <si>
    <t>MROW</t>
  </si>
  <si>
    <t>NEWE</t>
  </si>
  <si>
    <t>NWPP</t>
  </si>
  <si>
    <t>NYCW</t>
  </si>
  <si>
    <t>NYLI</t>
  </si>
  <si>
    <t>NYUP</t>
  </si>
  <si>
    <t>RFCE</t>
  </si>
  <si>
    <t>RFCM</t>
  </si>
  <si>
    <t>RFCW</t>
  </si>
  <si>
    <t>RMPA</t>
  </si>
  <si>
    <t>SPNO</t>
  </si>
  <si>
    <t>SPSO</t>
  </si>
  <si>
    <t>SRMV</t>
  </si>
  <si>
    <t>SRMW</t>
  </si>
  <si>
    <t>SRSO</t>
  </si>
  <si>
    <t>SRTV</t>
  </si>
  <si>
    <t>SRVC</t>
  </si>
  <si>
    <t>ASCC</t>
  </si>
  <si>
    <t>WECC</t>
  </si>
  <si>
    <t>TRE</t>
  </si>
  <si>
    <t>HICC</t>
  </si>
  <si>
    <t>HIOA</t>
  </si>
  <si>
    <t>MROE</t>
  </si>
  <si>
    <t>MRO</t>
  </si>
  <si>
    <t>RFC</t>
  </si>
  <si>
    <t>NPCC</t>
  </si>
  <si>
    <t>SPP</t>
  </si>
  <si>
    <t>SERC</t>
  </si>
  <si>
    <t>Canadian Province</t>
  </si>
  <si>
    <t>BC</t>
  </si>
  <si>
    <t>AB</t>
  </si>
  <si>
    <t>SK</t>
  </si>
  <si>
    <t>MB</t>
  </si>
  <si>
    <t>ON</t>
  </si>
  <si>
    <t>QC</t>
  </si>
  <si>
    <t>NB</t>
  </si>
  <si>
    <t>Regional Codes</t>
  </si>
  <si>
    <t>NERC Trading with Canada</t>
  </si>
  <si>
    <t>eGRID trade in (US NERC only)</t>
  </si>
  <si>
    <t>eGRID trade out (US NERC only)</t>
  </si>
  <si>
    <t>NERC Trading with Mexico</t>
  </si>
  <si>
    <t>Mexico</t>
  </si>
  <si>
    <t>WECC/TRE</t>
  </si>
  <si>
    <t>Mexican Region</t>
  </si>
  <si>
    <t>Trade to US (GWh 2014)</t>
  </si>
  <si>
    <t>Trade to Mexico (GWh 2014)</t>
  </si>
  <si>
    <t>respondent_id</t>
  </si>
  <si>
    <t>eGRID region</t>
  </si>
  <si>
    <t>trade with ctrl_area</t>
  </si>
  <si>
    <t>trade with respondent_id</t>
  </si>
  <si>
    <t xml:space="preserve">Homer Electric Association                        </t>
  </si>
  <si>
    <t xml:space="preserve">Chugach Electric Association                      </t>
  </si>
  <si>
    <t xml:space="preserve">Golden Valley Electric Association                </t>
  </si>
  <si>
    <t xml:space="preserve">Anchorage Municipal Light &amp; Power                 </t>
  </si>
  <si>
    <t xml:space="preserve">SJRPP - FPL Portion                               </t>
  </si>
  <si>
    <t xml:space="preserve">Seminole Electric Cooperative, Inc.               </t>
  </si>
  <si>
    <t xml:space="preserve">Jax Solar                                         </t>
  </si>
  <si>
    <t xml:space="preserve">Trail Ridge                                       </t>
  </si>
  <si>
    <t xml:space="preserve">Florida Power &amp; Light (FPL)                       </t>
  </si>
  <si>
    <t xml:space="preserve">                                                  </t>
  </si>
  <si>
    <t xml:space="preserve">Jacksonville Electric Authority                   </t>
  </si>
  <si>
    <t xml:space="preserve">Florida Power &amp; Light                             </t>
  </si>
  <si>
    <t xml:space="preserve">TAL                                               </t>
  </si>
  <si>
    <t xml:space="preserve">Tampa Electric Company                            </t>
  </si>
  <si>
    <t xml:space="preserve">GVL                                               </t>
  </si>
  <si>
    <t xml:space="preserve">SOCO                                              </t>
  </si>
  <si>
    <t xml:space="preserve">City of New Smyrna Beach                          </t>
  </si>
  <si>
    <t xml:space="preserve">Progress Energy of Florida                        </t>
  </si>
  <si>
    <t xml:space="preserve">Tampa Electric Co.                                </t>
  </si>
  <si>
    <t xml:space="preserve">NSB                                               </t>
  </si>
  <si>
    <t xml:space="preserve">Gainesville Regional Utilities                    </t>
  </si>
  <si>
    <t xml:space="preserve">Seminole Electric Cooperative                     </t>
  </si>
  <si>
    <t xml:space="preserve">SEC (Seminole Electric Cooperative)               </t>
  </si>
  <si>
    <t xml:space="preserve">FMPP (Florida Municipal Power Pool)               </t>
  </si>
  <si>
    <t xml:space="preserve">Homestead Energy Services                         </t>
  </si>
  <si>
    <t xml:space="preserve">Tampa Electric                                    </t>
  </si>
  <si>
    <t xml:space="preserve">Southern Company Services, Inc.                   </t>
  </si>
  <si>
    <t xml:space="preserve">Duke Energy Florida                               </t>
  </si>
  <si>
    <t xml:space="preserve">Florida Municipal Power Agency                    </t>
  </si>
  <si>
    <t xml:space="preserve">SEC                                               </t>
  </si>
  <si>
    <t xml:space="preserve">JEA                                               </t>
  </si>
  <si>
    <t xml:space="preserve">FPL (Florida Power &amp; Light)                       </t>
  </si>
  <si>
    <t xml:space="preserve">FPL                                               </t>
  </si>
  <si>
    <t xml:space="preserve">Florida Power and Light                           </t>
  </si>
  <si>
    <t xml:space="preserve">SOCO (Southern Company)                           </t>
  </si>
  <si>
    <t xml:space="preserve">Florida Municipal Power Pool                      </t>
  </si>
  <si>
    <t xml:space="preserve">TEC                                               </t>
  </si>
  <si>
    <t xml:space="preserve">Florida Power &amp; Light Co.                         </t>
  </si>
  <si>
    <t xml:space="preserve">FMPP                                              </t>
  </si>
  <si>
    <t xml:space="preserve">Progress Energy Florida                           </t>
  </si>
  <si>
    <t xml:space="preserve">WAPA UM (West)                                    </t>
  </si>
  <si>
    <t xml:space="preserve">WAPA LM SGDC                                      </t>
  </si>
  <si>
    <t xml:space="preserve">Southwest Power Pool                              </t>
  </si>
  <si>
    <t xml:space="preserve">Midwest ISO                                       </t>
  </si>
  <si>
    <t xml:space="preserve">Hydro-Quebec                                      </t>
  </si>
  <si>
    <t xml:space="preserve">Maritimes                                         </t>
  </si>
  <si>
    <t xml:space="preserve">New York                                          </t>
  </si>
  <si>
    <t xml:space="preserve">ISO New England                                   </t>
  </si>
  <si>
    <t xml:space="preserve">IEMO Ontario Hydro                                </t>
  </si>
  <si>
    <t xml:space="preserve">PJM Interconnection                               </t>
  </si>
  <si>
    <t xml:space="preserve">Hydro Quebec                                      </t>
  </si>
  <si>
    <t xml:space="preserve">HUDSON TRANSMISSION PROJECT (HUDS)                </t>
  </si>
  <si>
    <t xml:space="preserve">LINDEN VFT (LIND)                                 </t>
  </si>
  <si>
    <t xml:space="preserve">DUKE CAROLINAS (DUK)                              </t>
  </si>
  <si>
    <t xml:space="preserve">TENNESSEE VALLEY AUTHORITY (TVA)                  </t>
  </si>
  <si>
    <t>CAROLINA POWER &amp; LIGHT (CPL) (Progress Energy)</t>
  </si>
  <si>
    <t xml:space="preserve">OHIO VALLEY ELECTRIC CO (OVEC)                    </t>
  </si>
  <si>
    <t>NEPTUNE DC (NEPT) (NPCC, NYLI)</t>
  </si>
  <si>
    <t xml:space="preserve">LOUISVILLE GAS &amp; ELECTRIC (LGEE)                  </t>
  </si>
  <si>
    <t xml:space="preserve">NEW YORK ISO (NYIS)                               </t>
  </si>
  <si>
    <t xml:space="preserve">MID WEST ISO (MISO)                               </t>
  </si>
  <si>
    <t xml:space="preserve">LGEE                                              </t>
  </si>
  <si>
    <t xml:space="preserve">PJM                                               </t>
  </si>
  <si>
    <t xml:space="preserve">Western Area Power Admin (WAUE)                    </t>
  </si>
  <si>
    <t xml:space="preserve">TVA                                               </t>
  </si>
  <si>
    <t xml:space="preserve">Tennessee Valley Authority (TVA)                  </t>
  </si>
  <si>
    <t xml:space="preserve">LGEE/KU                                           </t>
  </si>
  <si>
    <t xml:space="preserve">Southwest Power Administration (SPA)              </t>
  </si>
  <si>
    <t xml:space="preserve">MISO                                              </t>
  </si>
  <si>
    <t xml:space="preserve">Southwest Power Pool (SWPP)                       </t>
  </si>
  <si>
    <t xml:space="preserve">Midwest ISO (MISO)                                </t>
  </si>
  <si>
    <t xml:space="preserve">SMEPA                                             </t>
  </si>
  <si>
    <t xml:space="preserve">Duke                                              </t>
  </si>
  <si>
    <t xml:space="preserve">FPC                                               </t>
  </si>
  <si>
    <t xml:space="preserve">SC                                                </t>
  </si>
  <si>
    <t xml:space="preserve">Southern Company                                  </t>
  </si>
  <si>
    <t xml:space="preserve">Alabama Electric Cooperative                      </t>
  </si>
  <si>
    <t xml:space="preserve">SCEG                                              </t>
  </si>
  <si>
    <t xml:space="preserve">Entergy                                           </t>
  </si>
  <si>
    <t xml:space="preserve">AECI                                              </t>
  </si>
  <si>
    <t xml:space="preserve">Electric Energy Inc.                              </t>
  </si>
  <si>
    <t xml:space="preserve">WR                                                </t>
  </si>
  <si>
    <t xml:space="preserve">Tennessee Valley Authority                        </t>
  </si>
  <si>
    <t xml:space="preserve">DUK                                               </t>
  </si>
  <si>
    <t xml:space="preserve">EEI                                               </t>
  </si>
  <si>
    <t xml:space="preserve">Ohio Valley Electric Corporation                  </t>
  </si>
  <si>
    <t xml:space="preserve">Midcontinent Independent System Operator, Inc.    </t>
  </si>
  <si>
    <t xml:space="preserve">PJM Interconnection, LLC                          </t>
  </si>
  <si>
    <t xml:space="preserve">Southern Company Services                         </t>
  </si>
  <si>
    <t xml:space="preserve">SEPA - Strom Thurmond                             </t>
  </si>
  <si>
    <t xml:space="preserve">Yadkin                                            </t>
  </si>
  <si>
    <t xml:space="preserve">Yadkin, Inc.                                      </t>
  </si>
  <si>
    <t xml:space="preserve">South Carolina Electric &amp; Gas                     </t>
  </si>
  <si>
    <t xml:space="preserve">Progress Energy                                   </t>
  </si>
  <si>
    <t xml:space="preserve">Southeastern Power Administration                 </t>
  </si>
  <si>
    <t xml:space="preserve">SEPA - R. B. Russell                              </t>
  </si>
  <si>
    <t xml:space="preserve">Duke Power                                        </t>
  </si>
  <si>
    <t xml:space="preserve">Duke Energy                                       </t>
  </si>
  <si>
    <t xml:space="preserve">South Carolina Public Service                     </t>
  </si>
  <si>
    <t xml:space="preserve">Progress Energy Carolinas - East                  </t>
  </si>
  <si>
    <t xml:space="preserve">South Carolina Public Service Authority           </t>
  </si>
  <si>
    <t xml:space="preserve">Duke Energy Carolinas, LLC                        </t>
  </si>
  <si>
    <t xml:space="preserve">Pennsylvania-New Jersey-Maryland                  </t>
  </si>
  <si>
    <t xml:space="preserve">Progress Energy Carolinas                         </t>
  </si>
  <si>
    <t xml:space="preserve">PNM Blackwater (SPP - SPSO)                         </t>
  </si>
  <si>
    <t xml:space="preserve">PSCo Lamar (WECC - RMPA)                </t>
  </si>
  <si>
    <t xml:space="preserve">WACM Sidney                                       </t>
  </si>
  <si>
    <t xml:space="preserve">SPA                                               </t>
  </si>
  <si>
    <t xml:space="preserve">WAUE                                              </t>
  </si>
  <si>
    <t xml:space="preserve">ERCOT                                             </t>
  </si>
  <si>
    <t xml:space="preserve">SWPP                                              </t>
  </si>
  <si>
    <t xml:space="preserve">Comision Federal de Electricidad                  </t>
  </si>
  <si>
    <t xml:space="preserve">Gridforce Energy Management, LLC                  </t>
  </si>
  <si>
    <t xml:space="preserve">Salt River Project                                </t>
  </si>
  <si>
    <t xml:space="preserve">Imperial Irrigation District (IID)                </t>
  </si>
  <si>
    <t xml:space="preserve">NV Energy (SPR)                                   </t>
  </si>
  <si>
    <t xml:space="preserve">Public Service Company of New Mexico              </t>
  </si>
  <si>
    <t xml:space="preserve">Public Service Company of Colorado                </t>
  </si>
  <si>
    <t xml:space="preserve">Griffith Energy (GRIF)                            </t>
  </si>
  <si>
    <t xml:space="preserve">U.S. Dept of Energy (WACM)                        </t>
  </si>
  <si>
    <t xml:space="preserve">U.S. Dept of Energy (WALC)                        </t>
  </si>
  <si>
    <t xml:space="preserve">Arizona Public Service Company                    </t>
  </si>
  <si>
    <t xml:space="preserve">Western Area - Colorado Missouri (WACM)           </t>
  </si>
  <si>
    <t xml:space="preserve">Arizona Public Service Company (APS)              </t>
  </si>
  <si>
    <t xml:space="preserve">Western Area Power Authority (RM)                 </t>
  </si>
  <si>
    <t xml:space="preserve">Gila River Maricopa Arizona                       </t>
  </si>
  <si>
    <t xml:space="preserve">Imperial Irrigation District  (IID)               </t>
  </si>
  <si>
    <t xml:space="preserve">Duke Energy-Arlington Valley                      </t>
  </si>
  <si>
    <t xml:space="preserve">Arizona Public Service Co.                        </t>
  </si>
  <si>
    <t xml:space="preserve">New Harquahala Generating Co. LLC                 </t>
  </si>
  <si>
    <t xml:space="preserve">NaturEner Power Watch LLC                         </t>
  </si>
  <si>
    <t xml:space="preserve">Western Area Power Authority - Upper Colorado     </t>
  </si>
  <si>
    <t xml:space="preserve">PacifiCorp East                                   </t>
  </si>
  <si>
    <t xml:space="preserve">Public Serivce of New Mexico                      </t>
  </si>
  <si>
    <t xml:space="preserve">Pacificorp  (PAC)                                 </t>
  </si>
  <si>
    <t xml:space="preserve">Pacificorp Electric Ops                           </t>
  </si>
  <si>
    <t xml:space="preserve">Western Lower Colorado                            </t>
  </si>
  <si>
    <t xml:space="preserve">Western Area Power Authority (DSW)                </t>
  </si>
  <si>
    <t xml:space="preserve">Gridforce Energy Management                       </t>
  </si>
  <si>
    <t xml:space="preserve">Southwestern Public service Co.                   </t>
  </si>
  <si>
    <t xml:space="preserve">Arizona Public Service                            </t>
  </si>
  <si>
    <t xml:space="preserve">Tucson Electric Power Company                     </t>
  </si>
  <si>
    <t xml:space="preserve">Tucson Electric Power Co.                         </t>
  </si>
  <si>
    <t xml:space="preserve">California Independent System Operator (CAISO)    </t>
  </si>
  <si>
    <t xml:space="preserve">SRP                                               </t>
  </si>
  <si>
    <t xml:space="preserve">CaISO                                             </t>
  </si>
  <si>
    <t xml:space="preserve">El Paso Electric Co.                              </t>
  </si>
  <si>
    <t xml:space="preserve">El Paso Electric Company                          </t>
  </si>
  <si>
    <t xml:space="preserve">Arizona Public Serivce Company                    </t>
  </si>
  <si>
    <t xml:space="preserve">Griffith Energy LLC                               </t>
  </si>
  <si>
    <t>Western Area Power Administration / Colorado-Missi</t>
  </si>
  <si>
    <t xml:space="preserve">Tucson Electric Power (TEP)                       </t>
  </si>
  <si>
    <t xml:space="preserve">Public Service Co of New Mexico  (PNM)            </t>
  </si>
  <si>
    <t xml:space="preserve">Tucson Electric Power  (TEP)                      </t>
  </si>
  <si>
    <t xml:space="preserve">Salt River Project (SRP)                          </t>
  </si>
  <si>
    <t xml:space="preserve">APS                                               </t>
  </si>
  <si>
    <t xml:space="preserve">Western Area Power Administration-Lower Colorado  </t>
  </si>
  <si>
    <t xml:space="preserve">Dynamically Scheduled Generation                  </t>
  </si>
  <si>
    <t xml:space="preserve">Los Angeles Department of Water &amp; Power           </t>
  </si>
  <si>
    <t xml:space="preserve">Los Angeles Department of Water and Power (LDWP)  </t>
  </si>
  <si>
    <t xml:space="preserve">Los Angeles Department of Water &amp; Power (LADWP)   </t>
  </si>
  <si>
    <t xml:space="preserve">CISO                                              </t>
  </si>
  <si>
    <t>Western Area Power Authority - Lower Colorado (WA)</t>
  </si>
  <si>
    <t xml:space="preserve">California Independent System Oper                </t>
  </si>
  <si>
    <t xml:space="preserve">Dynamic Adjustments                               </t>
  </si>
  <si>
    <t xml:space="preserve">Salt River Project  (SRP)                         </t>
  </si>
  <si>
    <t xml:space="preserve"> PACW                                             </t>
  </si>
  <si>
    <t xml:space="preserve"> WALC                                             </t>
  </si>
  <si>
    <t xml:space="preserve"> IID                                              </t>
  </si>
  <si>
    <t xml:space="preserve"> APS                                              </t>
  </si>
  <si>
    <t xml:space="preserve">BPA                                               </t>
  </si>
  <si>
    <t xml:space="preserve"> SRP                                              </t>
  </si>
  <si>
    <t xml:space="preserve"> BPAT                                             </t>
  </si>
  <si>
    <t xml:space="preserve"> LDWP                                             </t>
  </si>
  <si>
    <t xml:space="preserve"> SPPC                                             </t>
  </si>
  <si>
    <t xml:space="preserve">CAISO                                             </t>
  </si>
  <si>
    <t xml:space="preserve">Pacific Corp. - East Side                         </t>
  </si>
  <si>
    <t xml:space="preserve">Bonneville Power Administration                   </t>
  </si>
  <si>
    <t xml:space="preserve">BANC                                              </t>
  </si>
  <si>
    <t xml:space="preserve"> CFE                                              </t>
  </si>
  <si>
    <t xml:space="preserve">TID                                               </t>
  </si>
  <si>
    <t>Western Area Power Administration - Lower Colorado</t>
  </si>
  <si>
    <t xml:space="preserve"> TIDC                                             </t>
  </si>
  <si>
    <t xml:space="preserve"> NEVP                                             </t>
  </si>
  <si>
    <t xml:space="preserve">Nevada Power Company                              </t>
  </si>
  <si>
    <t xml:space="preserve">California Independent System Operator            </t>
  </si>
  <si>
    <t xml:space="preserve">AVISTA WARDEN 115 KV                              </t>
  </si>
  <si>
    <t xml:space="preserve">AVISTA ROCKY FORD                                 </t>
  </si>
  <si>
    <t xml:space="preserve">AVISTA LARSON                                     </t>
  </si>
  <si>
    <t xml:space="preserve">BPA GRAND COULEE 1                                </t>
  </si>
  <si>
    <t xml:space="preserve">BPA GRAND COULEE 2                                </t>
  </si>
  <si>
    <t xml:space="preserve">Gridforce                                         </t>
  </si>
  <si>
    <t xml:space="preserve">AVISTA WILSON CREEK                               </t>
  </si>
  <si>
    <t xml:space="preserve">AVISTA COULEE CITY                                </t>
  </si>
  <si>
    <t xml:space="preserve">Northwestern Energy (MT) - NWMT                  </t>
  </si>
  <si>
    <t xml:space="preserve">Portland General Electric Company                 </t>
  </si>
  <si>
    <t xml:space="preserve">Seattle City Light                                </t>
  </si>
  <si>
    <t xml:space="preserve">Tacoma Power                                      </t>
  </si>
  <si>
    <t xml:space="preserve">FRENCHMAN HILLS                                   </t>
  </si>
  <si>
    <t xml:space="preserve">PacifiCorp West                                   </t>
  </si>
  <si>
    <t xml:space="preserve">BPA COLUMBIA 115                                  </t>
  </si>
  <si>
    <t xml:space="preserve">Portland General Electric                         </t>
  </si>
  <si>
    <t>Puget Sound Power &amp; Light (Puget Sound Energy)</t>
  </si>
  <si>
    <t xml:space="preserve">SRP - Salt River Project                          </t>
  </si>
  <si>
    <t xml:space="preserve">BPA POTHOLES 230 KV                               </t>
  </si>
  <si>
    <t xml:space="preserve">Los Angeles Department of Water &amp; Power - LDWP    </t>
  </si>
  <si>
    <t xml:space="preserve">PacifiCorp - West                                 </t>
  </si>
  <si>
    <t xml:space="preserve">NaturEner Wind Watch, LLC                         </t>
  </si>
  <si>
    <t xml:space="preserve">BPA JERICHO CRR/VANTAGE                           </t>
  </si>
  <si>
    <t xml:space="preserve">Southern California Edison - CISO                 </t>
  </si>
  <si>
    <t xml:space="preserve">PacifiCorp East - PACE                            </t>
  </si>
  <si>
    <t xml:space="preserve">PSE WINDRIDGE                                     </t>
  </si>
  <si>
    <t xml:space="preserve">Grant County PUD                                  </t>
  </si>
  <si>
    <t xml:space="preserve">PacifiCorp - East - PACE                          </t>
  </si>
  <si>
    <t xml:space="preserve">Avista Corporation                                </t>
  </si>
  <si>
    <t xml:space="preserve">Public Utility District of Grant Coutny           </t>
  </si>
  <si>
    <t xml:space="preserve">NorthWestern Energy                               </t>
  </si>
  <si>
    <t xml:space="preserve">NaturEner Power Watch, LLC                        </t>
  </si>
  <si>
    <t xml:space="preserve">BPA SCHRAG WARDEN                                 </t>
  </si>
  <si>
    <t xml:space="preserve">Bonneville Power Authority - BPA                  </t>
  </si>
  <si>
    <t xml:space="preserve">Chelan County PUD                                 </t>
  </si>
  <si>
    <t xml:space="preserve">Avista Corp - AVA                                 </t>
  </si>
  <si>
    <t xml:space="preserve">Douglas County PUD                                </t>
  </si>
  <si>
    <t xml:space="preserve">Idaho Power Company                               </t>
  </si>
  <si>
    <t xml:space="preserve">Public Utility District No. 1 of Douglas County   </t>
  </si>
  <si>
    <t xml:space="preserve">Northwestern Energy                               </t>
  </si>
  <si>
    <t xml:space="preserve">PUD No. 1 Douglas County                          </t>
  </si>
  <si>
    <t xml:space="preserve">Pacific Gas &amp; Electric - PG&amp;E (CISO)              </t>
  </si>
  <si>
    <t xml:space="preserve">BPA USBR                                          </t>
  </si>
  <si>
    <t xml:space="preserve">PUD No. 1 of Chelan County (CHPD)                 </t>
  </si>
  <si>
    <t xml:space="preserve">Idaho Power                                       </t>
  </si>
  <si>
    <t xml:space="preserve">Idaho Power Company - IPC                         </t>
  </si>
  <si>
    <t xml:space="preserve">BPA PACIFICORP WALLA WALLA (PAGE)                 </t>
  </si>
  <si>
    <t xml:space="preserve">Bonneville Power Administration - BPAT            </t>
  </si>
  <si>
    <t xml:space="preserve">Avista Corp.                                      </t>
  </si>
  <si>
    <t xml:space="preserve">Avista                                            </t>
  </si>
  <si>
    <t xml:space="preserve">PUD No. 1 of Grant County (GCPD)                  </t>
  </si>
  <si>
    <t xml:space="preserve">BPA Columbia 230 (&amp; Vantage)                      </t>
  </si>
  <si>
    <t xml:space="preserve">PUD No. 1 of Douglas County (DOPD)                </t>
  </si>
  <si>
    <t xml:space="preserve">WAPA (LM) - Yellow Tail &amp; Schedules               </t>
  </si>
  <si>
    <t xml:space="preserve">California ISO                                    </t>
  </si>
  <si>
    <t xml:space="preserve">PUD No. 1 of Douglas County                       </t>
  </si>
  <si>
    <t xml:space="preserve">Nevada Power Company - NEVP                       </t>
  </si>
  <si>
    <t xml:space="preserve">Pacificorp                                        </t>
  </si>
  <si>
    <t xml:space="preserve">Puget Sound Energy                                </t>
  </si>
  <si>
    <t xml:space="preserve">WAPA UM (East) Miles City                         </t>
  </si>
  <si>
    <t xml:space="preserve">NorthWestern Energy (NWMT)                        </t>
  </si>
  <si>
    <t>Western Area Power Administration Colorado/Missoui</t>
  </si>
  <si>
    <t xml:space="preserve">CHPD - Chelan County PUD No. 1                    </t>
  </si>
  <si>
    <t xml:space="preserve">Avista Corp                                       </t>
  </si>
  <si>
    <t xml:space="preserve">Nevada Power                                      </t>
  </si>
  <si>
    <t xml:space="preserve">Alberta Electric System Operator                  </t>
  </si>
  <si>
    <t xml:space="preserve">PUD No. 2 of Grant County                         </t>
  </si>
  <si>
    <t xml:space="preserve">Chelan County PUD No. 1                           </t>
  </si>
  <si>
    <t xml:space="preserve">BPA PACIFICORP POMONA (GINGKO)                    </t>
  </si>
  <si>
    <t xml:space="preserve">Northwesern Corp. - Montana Power                 </t>
  </si>
  <si>
    <t xml:space="preserve">Northwestern Energy Montana (NWMT)                </t>
  </si>
  <si>
    <t xml:space="preserve">Pacificorp West (PACW)                            </t>
  </si>
  <si>
    <t xml:space="preserve">Los Angeles Dept. of Water &amp; Power                </t>
  </si>
  <si>
    <t xml:space="preserve">Western Area Power Admin (Upper Great Plains)     </t>
  </si>
  <si>
    <t xml:space="preserve">Grant County PUD No. 2                            </t>
  </si>
  <si>
    <t xml:space="preserve">BPA ANCIENT LAKE (Vantage 230)                    </t>
  </si>
  <si>
    <t xml:space="preserve">BPAT - Bonneville Power Adminsitration            </t>
  </si>
  <si>
    <t xml:space="preserve">Arizona Public Service Compnay                    </t>
  </si>
  <si>
    <t xml:space="preserve">BC Hydro &amp; Power Authority                        </t>
  </si>
  <si>
    <t xml:space="preserve">PacifiCorp - West - PACW                          </t>
  </si>
  <si>
    <t xml:space="preserve">BPA MIDWAY 230 KV                                 </t>
  </si>
  <si>
    <t xml:space="preserve">PacifiCorp - East                                 </t>
  </si>
  <si>
    <t xml:space="preserve">Balancing Authority of Northern California        </t>
  </si>
  <si>
    <t xml:space="preserve">Bonneville Power Administration (BPA)             </t>
  </si>
  <si>
    <t xml:space="preserve">Los Angeles Dept. of Water and Power              </t>
  </si>
  <si>
    <t xml:space="preserve">NWMT                                              </t>
  </si>
  <si>
    <t xml:space="preserve">Nebraska Public Power District   (NPPD)           </t>
  </si>
  <si>
    <t xml:space="preserve">WAPA-Upper Great Plains West  (WAUW)              </t>
  </si>
  <si>
    <t xml:space="preserve">Public Service of New Mexico   (PNM)              </t>
  </si>
  <si>
    <t xml:space="preserve">Southwestern Public Service Company               </t>
  </si>
  <si>
    <t xml:space="preserve">WAPA - Upper Great Plains East   (WAUE)           </t>
  </si>
  <si>
    <t xml:space="preserve">PacifiCorp - East   (PACE)                        </t>
  </si>
  <si>
    <t xml:space="preserve">Public Service New Mexico                         </t>
  </si>
  <si>
    <t xml:space="preserve">Arizona Public Service Company (AZPS)             </t>
  </si>
  <si>
    <t xml:space="preserve">Tucson Electric Power (TEPC)                      </t>
  </si>
  <si>
    <t xml:space="preserve">WAPA - Lower Colorado   (WALC)                    </t>
  </si>
  <si>
    <t xml:space="preserve">Western Area Power Colorado Missouri              </t>
  </si>
  <si>
    <t xml:space="preserve">Public Service Co of Colorado   (PSCO)            </t>
  </si>
  <si>
    <t>MRO, SERC, RFC</t>
  </si>
  <si>
    <t>SRMW, MROW, MROE, RFCW, SRTV</t>
  </si>
  <si>
    <t xml:space="preserve">LES                                               </t>
  </si>
  <si>
    <t xml:space="preserve">EDE                                               </t>
  </si>
  <si>
    <t xml:space="preserve">AEC                                               </t>
  </si>
  <si>
    <t xml:space="preserve">NPPD                                              </t>
  </si>
  <si>
    <t xml:space="preserve">SPS                                               </t>
  </si>
  <si>
    <t xml:space="preserve">ONT                                               </t>
  </si>
  <si>
    <t xml:space="preserve">CSWS                                              </t>
  </si>
  <si>
    <t xml:space="preserve">OKGE                                              </t>
  </si>
  <si>
    <t xml:space="preserve">OPPD                                              </t>
  </si>
  <si>
    <t xml:space="preserve">MHEB                                              </t>
  </si>
  <si>
    <t>actual_recv (MWh)</t>
  </si>
  <si>
    <t>actual_deliv (MWh)</t>
  </si>
  <si>
    <t>eGRID net generation</t>
  </si>
  <si>
    <t>eGRID % contrib. to NERC</t>
  </si>
  <si>
    <t>2014 eGRID Generation Data (MWh)</t>
  </si>
  <si>
    <t>eGRID Trading with different NERC region (MWh)</t>
  </si>
  <si>
    <t>eGRID Trading within same NERC region (MWh)</t>
  </si>
  <si>
    <t>eGRID trade out (US external NERC)</t>
  </si>
  <si>
    <t>eGRID trade in (US external NERC)</t>
  </si>
  <si>
    <t>CPLW   (Duke Energy Progress West)</t>
  </si>
  <si>
    <t>SEHA (southeastern power administration - hartwell)</t>
  </si>
  <si>
    <t>SETH (southeastern power administration - thurmond)</t>
  </si>
  <si>
    <t>SERU (southeastern power administration - russel)</t>
  </si>
  <si>
    <t>Trade in to US NERC (GWh 2014)</t>
  </si>
  <si>
    <t>Trade out to province (GWh 2014)</t>
  </si>
  <si>
    <t>Total (GWh)</t>
  </si>
  <si>
    <t>Total (MWh)</t>
  </si>
  <si>
    <t>eGRID Consumption (MWh)</t>
  </si>
  <si>
    <t>generation with trading</t>
  </si>
  <si>
    <t>BC in</t>
  </si>
  <si>
    <t>BC out</t>
  </si>
  <si>
    <t>AB in</t>
  </si>
  <si>
    <t>AB out</t>
  </si>
  <si>
    <t>SK in</t>
  </si>
  <si>
    <t>SK out</t>
  </si>
  <si>
    <t>MB in</t>
  </si>
  <si>
    <t>MB out</t>
  </si>
  <si>
    <t>ON in</t>
  </si>
  <si>
    <t>ON out</t>
  </si>
  <si>
    <t>QC in</t>
  </si>
  <si>
    <t>QC out</t>
  </si>
  <si>
    <t>NB in</t>
  </si>
  <si>
    <t>NB out</t>
  </si>
  <si>
    <t>WECC Surplus</t>
  </si>
  <si>
    <t>Mexico in</t>
  </si>
  <si>
    <t>Mexico out</t>
  </si>
  <si>
    <t>including international</t>
  </si>
  <si>
    <t>US Net Trading (MWh)</t>
  </si>
  <si>
    <t>(positive values trade in)</t>
  </si>
  <si>
    <t>NPCC Surplus</t>
  </si>
  <si>
    <t>RFC Surplus</t>
  </si>
  <si>
    <t>SERC Surplus</t>
  </si>
  <si>
    <t>Canadian Provincial Trading Based on eGRID Production Rates Within NERC Regions</t>
  </si>
  <si>
    <t>MRO Surplus</t>
  </si>
  <si>
    <t xml:space="preserve">KCPL (SPP/SPNO) </t>
  </si>
  <si>
    <t>MPS (SPP/SPNO)</t>
  </si>
  <si>
    <t>WR (SPP/SPNO)</t>
  </si>
  <si>
    <t>SPP Surplus</t>
  </si>
  <si>
    <t>Alaska</t>
  </si>
  <si>
    <t>Alaskan regions except the South (Anchorage area) and Central (Fairbanks area) Alaskan regions</t>
  </si>
  <si>
    <t>Southwest US (Arizona and New Mexico and small portions of southern California, southern Nevada and western Texas. )</t>
  </si>
  <si>
    <t>California (except for small portions in the north and south that are part of the NWPP and AZNM grids repsectively. )</t>
  </si>
  <si>
    <t>Texas except for small portions in the panhandle (SPSO), western Texas (AZNM) and eastern Texas (SRMV)</t>
  </si>
  <si>
    <t>Florida except for the panhandle (SRSO)</t>
  </si>
  <si>
    <t>Misc Hawaii electricity grid that includes all of Hawaii except for Oahu (HIOA)</t>
  </si>
  <si>
    <t>Oahu</t>
  </si>
  <si>
    <t>Wisconsin and northern Michigan</t>
  </si>
  <si>
    <t>Minnesota, Iowa, most of the Dakotas (less RMPA) and Nebraska (less RMPA) and parts of Montana (less NWPP) and Wisconsin (less MROE)</t>
  </si>
  <si>
    <t>Maine, New Hampshire, Vermont,Massachusetts, Rhode Island and Connecticut</t>
  </si>
  <si>
    <t>Washington, Oregon, Idaho, Utah, most of Montana (less NROW), Wyoming (less RMPA), Nevada (less AZNM) and northern parts of California, Arizona and New Mexico</t>
  </si>
  <si>
    <t>New York City and Westchester County, NY</t>
  </si>
  <si>
    <t>Long Island, NY</t>
  </si>
  <si>
    <t>Most of NY state less Long Island, Westchester County and New York City</t>
  </si>
  <si>
    <t>New Jersey and Delaware and most of Pennsylvania and Maryland (less RFCW)</t>
  </si>
  <si>
    <t>Michigan less the upper pennisula and a small south west portion of lower peninsula</t>
  </si>
  <si>
    <t>Indiana, Ohio, West Virginia, and portions of Illinois, Michigan, Minnesota, Kentucky, West Virginia, Maryland and Pennsylvania.</t>
  </si>
  <si>
    <t>Colorado, eastern Wyoming (less NWPP) and small portions of South Dakota, Nebraska and New Mexico</t>
  </si>
  <si>
    <t>Kansas and western Missouri (less SRMW)</t>
  </si>
  <si>
    <t>Oklahoma, and portions of Arkansas, Louisiana, Texas and New Mexico</t>
  </si>
  <si>
    <t>Eastern Arkansas (less SPSO),  western Mississippi (less SRTV and SRSO), most of Louisiana (less SPSO) and a small portion of Texas</t>
  </si>
  <si>
    <t>Eastern Missouri (less SPNO) and Southern Illinois (less RFCW)</t>
  </si>
  <si>
    <t>Georgia (less SRTV) and Alabama (less STRV) and southeast Mississippi and the panhandle of Florida</t>
  </si>
  <si>
    <t>Tennessee, most of Kentucky (less RFCW) and a small portions of West Virginia, North Carolina, Georgia, Alabama and Mississippi</t>
  </si>
  <si>
    <t>North and South Carolina and most of Virginia (less RFCW)</t>
  </si>
  <si>
    <t>Florida</t>
  </si>
  <si>
    <t>Hawaii</t>
  </si>
  <si>
    <t>Manitoba, Minnesota, Nebraska, North Dakota, Saskatchewan and parts of Illinois, Michigan, South Dakota and Wisconsin</t>
  </si>
  <si>
    <t>Connecticut, Maine, Massachusetts, New Brunswick, New Hampshire, New York, Nova Scotia, Ontario, Prince Edward Island, Quebec, Rhode Island and Vermont</t>
  </si>
  <si>
    <t>Delaware, District of Columbia, Indiana, Maryland, New Jersey, Ohio, Pennsylvania and West Virginia and parts of Kentucky, Michigan, Tennessee, Virginia and Wisconsin</t>
  </si>
  <si>
    <t>Alabama, Georgia, Mississippi, North Carolina, South Carolina and parts of Arkansas, Florida, Illinois, Iowa, Kentucky, Louisiana, Missouri, Tennessee, Texas and Virginia</t>
  </si>
  <si>
    <t>Kansas and Oklahoma, and parts of Arkansas, Louisiana, Missouri, New Mexico, and Texas</t>
  </si>
  <si>
    <t>Texas</t>
  </si>
  <si>
    <t>Washington, Idaho, Montana, Portland, British Columbia, Alberta,  California, Utah, Nevada, Arizona, New Mexico, Colorado, and Wyoming and parts of Nebraska, Texas and Mexico</t>
  </si>
  <si>
    <t>NERC Region</t>
  </si>
  <si>
    <t>eGRID Region</t>
  </si>
  <si>
    <t>eGRID Coverage</t>
  </si>
  <si>
    <t>NERC Coverage</t>
  </si>
  <si>
    <t>Location and Classification</t>
  </si>
  <si>
    <t xml:space="preserve">% Contribution to Consumption Mix </t>
  </si>
  <si>
    <t>Canada - Provences</t>
  </si>
  <si>
    <t>US - eGRID</t>
  </si>
  <si>
    <t>Trading Matrix</t>
  </si>
  <si>
    <t>Traded In from Surplus Supply Pool</t>
  </si>
  <si>
    <t>Generation Mix</t>
  </si>
  <si>
    <t>General Information</t>
  </si>
  <si>
    <t>Dataset name</t>
  </si>
  <si>
    <t>Description</t>
  </si>
  <si>
    <t>Geography Comment</t>
  </si>
  <si>
    <t>Intended application</t>
  </si>
  <si>
    <t>Time Comment</t>
  </si>
  <si>
    <t>Dataset Creator(s)</t>
  </si>
  <si>
    <t>Dataset Reviewer(s)</t>
  </si>
  <si>
    <t>Contents</t>
  </si>
  <si>
    <t>Reference Information (in gray)</t>
  </si>
  <si>
    <t>Sources</t>
  </si>
  <si>
    <t>Sources referred to in this dataset</t>
  </si>
  <si>
    <t>NERC Surplus Pool Contributions (MWh)</t>
  </si>
  <si>
    <t>*No NERC Surplus Supply pools are generated for the following NERC regions</t>
  </si>
  <si>
    <t>No reported trade between eGRID regions</t>
  </si>
  <si>
    <t>Only one eGRID region within the NERC region</t>
  </si>
  <si>
    <t>TOTALS</t>
  </si>
  <si>
    <t xml:space="preserve"> ----&gt;</t>
  </si>
  <si>
    <t>Total trade in (within US)</t>
  </si>
  <si>
    <t>Total trade out (within US)</t>
  </si>
  <si>
    <t>Total Canada traded in</t>
  </si>
  <si>
    <t>Total Canada traded out</t>
  </si>
  <si>
    <t>MWh Traded</t>
  </si>
  <si>
    <t>Total Mexico traded out</t>
  </si>
  <si>
    <t>eGRID Net Generation</t>
  </si>
  <si>
    <t>Relative to Calculated US Consumption</t>
  </si>
  <si>
    <t>Respondent</t>
  </si>
  <si>
    <t>Trade Partner</t>
  </si>
  <si>
    <t>Trade Data</t>
  </si>
  <si>
    <t xml:space="preserve">Plant Scherer 4 - FPL Portion </t>
  </si>
  <si>
    <t>*same as New Smyrna Beach?</t>
  </si>
  <si>
    <t>Notes</t>
  </si>
  <si>
    <t>*Gainesville?</t>
  </si>
  <si>
    <t>Hottle, Troy; Richa, Kirti</t>
  </si>
  <si>
    <t>*appears to be switched in columns based on known energy flows</t>
  </si>
  <si>
    <t>*New York ISO?</t>
  </si>
  <si>
    <t>*unknown</t>
  </si>
  <si>
    <t xml:space="preserve">WAPA LM-RCDC    </t>
  </si>
  <si>
    <t>SaskPower Grid Control Center</t>
  </si>
  <si>
    <t>Associated Electric Cooperative, Inc.</t>
  </si>
  <si>
    <t>*unknown, too large of service area to determine</t>
  </si>
  <si>
    <t>*only boardering eGRID region with MISO</t>
  </si>
  <si>
    <t>*SPNO bordering trading location</t>
  </si>
  <si>
    <t>*SPSO bordering trading location</t>
  </si>
  <si>
    <t>*within eGRID borders</t>
  </si>
  <si>
    <t>*within eGRID borders, but cannot trade with self?</t>
  </si>
  <si>
    <t>*unknown, was part of a longer set of notes that were entered into the incorrect field</t>
  </si>
  <si>
    <t>*unknown, same as TIDC?</t>
  </si>
  <si>
    <t>MISO</t>
  </si>
  <si>
    <t>Midcontinent Independent System Operator</t>
  </si>
  <si>
    <t>Final NERC region surplus supply pools and eGRID Consumption Mixes (in green)</t>
  </si>
  <si>
    <t>Aggregated data and calculations (in yellow)</t>
  </si>
  <si>
    <t>2014 FERC Form 714 data sorted by NERC regions (in orange) and miscellaneous unknown FERC entries (in black)</t>
  </si>
  <si>
    <t>Consumption Mix Contributions</t>
  </si>
  <si>
    <t>NERC SSP Contributions</t>
  </si>
  <si>
    <t>Consumption Calculations</t>
  </si>
  <si>
    <t>International Trading Data</t>
  </si>
  <si>
    <t>FERC Respondent IDs</t>
  </si>
  <si>
    <t>eia_code</t>
  </si>
  <si>
    <t>respondent_name</t>
  </si>
  <si>
    <t xml:space="preserve">PowerSouth Energy Cooperative (Alabama Electric Cooperative, Inc.)              </t>
  </si>
  <si>
    <t xml:space="preserve">Alabama Power Company                                                           </t>
  </si>
  <si>
    <t xml:space="preserve">Alcoa Power Generating Inc. - Yadkin                                            </t>
  </si>
  <si>
    <t xml:space="preserve">Allete (Minnesota Power)                                                        </t>
  </si>
  <si>
    <t xml:space="preserve">Alliant Energy-East                                                             </t>
  </si>
  <si>
    <t xml:space="preserve">Alliant Energy-West                                                             </t>
  </si>
  <si>
    <t xml:space="preserve">Ameren (Illinois Power Co. Control Area)                                        </t>
  </si>
  <si>
    <t xml:space="preserve">Ameren Corporation Control Area                                                 </t>
  </si>
  <si>
    <t xml:space="preserve">Ameren CILCO                                                                    </t>
  </si>
  <si>
    <t xml:space="preserve">American Electric Power Company, Inc.                                           </t>
  </si>
  <si>
    <t xml:space="preserve">American Municipal Power-Ohio, Inc.                                             </t>
  </si>
  <si>
    <t xml:space="preserve">Anchorage Municipal Light &amp; Power                                               </t>
  </si>
  <si>
    <t xml:space="preserve">KCP&amp;L Greater Missouri Operations Company (Former Aquila Networks MPS)          </t>
  </si>
  <si>
    <t xml:space="preserve">Aquila Networks (West Plains Energy - Kansas)                                   </t>
  </si>
  <si>
    <t xml:space="preserve">Arizona Electric Power Cooperative, Inc.                                        </t>
  </si>
  <si>
    <t xml:space="preserve">Arizona Public Service Company                                                  </t>
  </si>
  <si>
    <t xml:space="preserve">Associated Electric Cooperative, Inc.                                           </t>
  </si>
  <si>
    <t xml:space="preserve">Avista Corporation                                                              </t>
  </si>
  <si>
    <t xml:space="preserve">Big Rivers Electric Corporation                                                 </t>
  </si>
  <si>
    <t xml:space="preserve">Black Hills Corporation                                                         </t>
  </si>
  <si>
    <t xml:space="preserve">Bonneville Power Administration, USDOE                                          </t>
  </si>
  <si>
    <t xml:space="preserve">Boston Edison Company (NSTAR)                                                   </t>
  </si>
  <si>
    <t xml:space="preserve">Buckeye Power, Inc.                                                             </t>
  </si>
  <si>
    <t xml:space="preserve">California Independent System Operator                                          </t>
  </si>
  <si>
    <t xml:space="preserve">Cambridge Electric Light Company                                                </t>
  </si>
  <si>
    <t xml:space="preserve">Central Electric Power Cooperative, Inc.                                        </t>
  </si>
  <si>
    <t xml:space="preserve">Chugach Electric Association, Inc.                                              </t>
  </si>
  <si>
    <t xml:space="preserve">Duke Energy Corp.                                                               </t>
  </si>
  <si>
    <t xml:space="preserve">City of Burbank                                                                 </t>
  </si>
  <si>
    <t xml:space="preserve">City of Homestead                                                               </t>
  </si>
  <si>
    <t xml:space="preserve">City of Independence, MO                                                        </t>
  </si>
  <si>
    <t xml:space="preserve">City of Lafayette Utilities System                                              </t>
  </si>
  <si>
    <t xml:space="preserve">City of Tacoma, Dept. of Public Utilities                                       </t>
  </si>
  <si>
    <t xml:space="preserve">City of Tallahassee                                                             </t>
  </si>
  <si>
    <t xml:space="preserve">City Utilities of Springfield, MO                                               </t>
  </si>
  <si>
    <t xml:space="preserve">Cleco Corporation                                                               </t>
  </si>
  <si>
    <t xml:space="preserve">Colorado Springs Utilities                                                      </t>
  </si>
  <si>
    <t xml:space="preserve">Columbia (MO) Water &amp; Light                                                     </t>
  </si>
  <si>
    <t xml:space="preserve">Commonwealth Electric Company (NSTAR)                                           </t>
  </si>
  <si>
    <t xml:space="preserve">Consolidated Edison Co. of NY Inc.                                              </t>
  </si>
  <si>
    <t xml:space="preserve">Consumers Energy Company                                                        </t>
  </si>
  <si>
    <t xml:space="preserve">Corn Belt Power Cooperative                                                     </t>
  </si>
  <si>
    <t xml:space="preserve">Dairyland Power Cooperative                                                     </t>
  </si>
  <si>
    <t xml:space="preserve">Dayton Power &amp; Light Company, The                                               </t>
  </si>
  <si>
    <t xml:space="preserve">Decatur Utilities                                                               </t>
  </si>
  <si>
    <t xml:space="preserve">Detroit Edison Company                                                          </t>
  </si>
  <si>
    <t xml:space="preserve">Duke Energy Control Area Services, LLC (Arlington Valley WECC AZ)               </t>
  </si>
  <si>
    <t xml:space="preserve">Duke Energy Control Area Services, LLC (Gila River Maricopa Arizona)            </t>
  </si>
  <si>
    <t xml:space="preserve">Duke Energy Control Area Services, LLC (Vermillion)                             </t>
  </si>
  <si>
    <t xml:space="preserve">City of North Little Rock                                                       </t>
  </si>
  <si>
    <t xml:space="preserve">Duke Energy Carolinas, LLC                                                      </t>
  </si>
  <si>
    <t xml:space="preserve">East Kentucky Power Cooperative                                                 </t>
  </si>
  <si>
    <t xml:space="preserve">El Paso Electric Company                                                        </t>
  </si>
  <si>
    <t xml:space="preserve">Electric Energy, Inc.                                                           </t>
  </si>
  <si>
    <t xml:space="preserve">Electric Power Board of Chattanooga                                             </t>
  </si>
  <si>
    <t xml:space="preserve">Empire District Electric Company (the)                                          </t>
  </si>
  <si>
    <t xml:space="preserve">Entergy Corporation/Services  (Entergy System)                                  </t>
  </si>
  <si>
    <t xml:space="preserve">ERCOT                                                                           </t>
  </si>
  <si>
    <t xml:space="preserve">Eugene Water &amp; Electric Board                                                   </t>
  </si>
  <si>
    <t xml:space="preserve">FirstEnergy Corporation                                                         </t>
  </si>
  <si>
    <t xml:space="preserve">Florida Municipal Power Agency                                                  </t>
  </si>
  <si>
    <t xml:space="preserve">Florida Municipal Power Pool                                                    </t>
  </si>
  <si>
    <t xml:space="preserve">Florida Power &amp; Light Company                                                   </t>
  </si>
  <si>
    <t xml:space="preserve">Gainesville Regional Utilities                                                  </t>
  </si>
  <si>
    <t xml:space="preserve">Golden Spread Electric Cooperative, Inc.                                        </t>
  </si>
  <si>
    <t xml:space="preserve">Grand River Dam Authority                                                       </t>
  </si>
  <si>
    <t xml:space="preserve">Great River Energy                                                              </t>
  </si>
  <si>
    <t xml:space="preserve">Green Mountain Power Corporation                                                </t>
  </si>
  <si>
    <t xml:space="preserve">Greenville Utilities Commission                                                 </t>
  </si>
  <si>
    <t xml:space="preserve">Hawaiian Electric Company, Inc                                                  </t>
  </si>
  <si>
    <t xml:space="preserve">Hoosier Energy REC, Inc.                                                        </t>
  </si>
  <si>
    <t xml:space="preserve">Idaho Power Company                                                             </t>
  </si>
  <si>
    <t xml:space="preserve">Imperial Irrigation District                                                    </t>
  </si>
  <si>
    <t xml:space="preserve">Indiana Municipal Power Agency                                                  </t>
  </si>
  <si>
    <t xml:space="preserve">Indianapolis Power &amp; Light Company                                              </t>
  </si>
  <si>
    <t xml:space="preserve">ISO New England Inc.                                                            </t>
  </si>
  <si>
    <t xml:space="preserve">JEA                                                                             </t>
  </si>
  <si>
    <t xml:space="preserve">Kansas City Board of Public Utilities &amp; Wyandotte County                        </t>
  </si>
  <si>
    <t xml:space="preserve">Kansas City Power &amp; Light Company                                               </t>
  </si>
  <si>
    <t xml:space="preserve">Kansas Gas &amp; Electric (KG&amp;E) a Westar Energy company                            </t>
  </si>
  <si>
    <t xml:space="preserve">Westar Energy (KPL)                                                             </t>
  </si>
  <si>
    <t xml:space="preserve">Lakeland Electric                                                               </t>
  </si>
  <si>
    <t xml:space="preserve">Lincoln Electric System                                                         </t>
  </si>
  <si>
    <t xml:space="preserve">Los Angeles Department of Water and Power                                       </t>
  </si>
  <si>
    <t xml:space="preserve">Louisiana Energy &amp; Power Authority                                              </t>
  </si>
  <si>
    <t xml:space="preserve">Louisiana Generating                                                            </t>
  </si>
  <si>
    <t xml:space="preserve">Louisville Gas &amp; Electric and Kentucky Utilities                                </t>
  </si>
  <si>
    <t xml:space="preserve">Madison Gas &amp; Electric Company                                                  </t>
  </si>
  <si>
    <t xml:space="preserve">Massachusetts Municipal Wholesale                                               </t>
  </si>
  <si>
    <t xml:space="preserve">Memphis Light, Gas and Water                                                    </t>
  </si>
  <si>
    <t xml:space="preserve">Metropolitan Water District of Southern California                              </t>
  </si>
  <si>
    <t xml:space="preserve">Michigan Electric Power Coordinated Center                                      </t>
  </si>
  <si>
    <t xml:space="preserve">MidAmerican Energy Company                                                      </t>
  </si>
  <si>
    <t xml:space="preserve">Mid-Continent Area Power Pool                                                   </t>
  </si>
  <si>
    <t xml:space="preserve">Modesto Irrigation District                                                     </t>
  </si>
  <si>
    <t xml:space="preserve">Montana-Dakota Utilities Company                                                </t>
  </si>
  <si>
    <t xml:space="preserve">Muscatine Power &amp; Water                                                         </t>
  </si>
  <si>
    <t xml:space="preserve">Nebraska Public Power District                                                  </t>
  </si>
  <si>
    <t xml:space="preserve">Nevada Power Company                                                            </t>
  </si>
  <si>
    <t xml:space="preserve">New York Independent System Operator, Inc.                                      </t>
  </si>
  <si>
    <t xml:space="preserve">New York State Electric &amp; Gas Corporation                                       </t>
  </si>
  <si>
    <t xml:space="preserve">Northeast Texas Electric Cooperative                                            </t>
  </si>
  <si>
    <t xml:space="preserve">Northeast Utilities Service Company                                             </t>
  </si>
  <si>
    <t xml:space="preserve">Northern Indiana Public Service Company                                         </t>
  </si>
  <si>
    <t xml:space="preserve">Northern States Power Company                                                   </t>
  </si>
  <si>
    <t xml:space="preserve">NorthWestern Energy                                                             </t>
  </si>
  <si>
    <t xml:space="preserve">Oglethorpe Power Company                                                        </t>
  </si>
  <si>
    <t xml:space="preserve">Ohio Valley Electric Corporation &amp; Indiana-Kentucky Electric Corp.              </t>
  </si>
  <si>
    <t xml:space="preserve">Oklahoma Gas &amp; Electric Company                                                 </t>
  </si>
  <si>
    <t xml:space="preserve">Oklahoma Municipal Power Authority                                              </t>
  </si>
  <si>
    <t xml:space="preserve">Old Dominion Elec. Coop., Inc.-Dom VA Pwr Planning                              </t>
  </si>
  <si>
    <t xml:space="preserve">Omaha Public Power District                                                     </t>
  </si>
  <si>
    <t xml:space="preserve">Orange &amp; Rockland Utils., Inc.                                                  </t>
  </si>
  <si>
    <t xml:space="preserve">Orlando Utilities Commission                                                    </t>
  </si>
  <si>
    <t xml:space="preserve">Otter Tail Power Company                                                        </t>
  </si>
  <si>
    <t xml:space="preserve">Pacific Gas and Electric Company                                                </t>
  </si>
  <si>
    <t xml:space="preserve">PacifiCorp - East                                                               </t>
  </si>
  <si>
    <t xml:space="preserve">PacifiCorp - West                                                               </t>
  </si>
  <si>
    <t xml:space="preserve">PJM Interconnection LLC                                                         </t>
  </si>
  <si>
    <t xml:space="preserve">Platte River Power Authority                                                    </t>
  </si>
  <si>
    <t xml:space="preserve">Portland General Electric Company                                               </t>
  </si>
  <si>
    <t xml:space="preserve">Progress Energy (Carolina Power &amp; Light Company)                                </t>
  </si>
  <si>
    <t xml:space="preserve">Progress Energy (Florida Power Corp.)                                           </t>
  </si>
  <si>
    <t xml:space="preserve">Public Service Company of Colorado                                              </t>
  </si>
  <si>
    <t xml:space="preserve">Public Service Company of New Mexico                                            </t>
  </si>
  <si>
    <t xml:space="preserve">PUD No. 1 of Chelan County                                                      </t>
  </si>
  <si>
    <t xml:space="preserve">PUD No. 1 of Douglas County                                                     </t>
  </si>
  <si>
    <t xml:space="preserve">PUD No. 2 of Grant County                                                       </t>
  </si>
  <si>
    <t xml:space="preserve">Puget Sound Energy, Inc.                                                        </t>
  </si>
  <si>
    <t xml:space="preserve">Rochester Gas and Electric Corporation                                          </t>
  </si>
  <si>
    <t xml:space="preserve">Reedy Creek Improvement District                                                </t>
  </si>
  <si>
    <t xml:space="preserve">Sacramento Municipal Utility District (&amp; City of Redding Electric Utility)      </t>
  </si>
  <si>
    <t xml:space="preserve">Salt River Project                                                              </t>
  </si>
  <si>
    <t xml:space="preserve">Sam Rayburn G&amp;T Electric Coop.                                                  </t>
  </si>
  <si>
    <t xml:space="preserve">San Diego Gas &amp; Electric Company                                                </t>
  </si>
  <si>
    <t xml:space="preserve">Seattle City Light                                                              </t>
  </si>
  <si>
    <t xml:space="preserve">Seminole Electric Cooperative, Inc.                                             </t>
  </si>
  <si>
    <t xml:space="preserve">Sierra Pacific Resources                                                        </t>
  </si>
  <si>
    <t xml:space="preserve">South Carolina Electric &amp; Gas                                                   </t>
  </si>
  <si>
    <t xml:space="preserve">South Carolina Public Service Authority                                         </t>
  </si>
  <si>
    <t xml:space="preserve">South Mississippi Electric Power Association                                    </t>
  </si>
  <si>
    <t xml:space="preserve">Southern Company                                                                </t>
  </si>
  <si>
    <t xml:space="preserve">Southern Illinois Power Coop                                                    </t>
  </si>
  <si>
    <t xml:space="preserve">Southern Indiana Gas &amp; Electric Company                                         </t>
  </si>
  <si>
    <t xml:space="preserve">Southern Minnesota Municipal Power Agency                                       </t>
  </si>
  <si>
    <t xml:space="preserve">Southwest Power Pool (SPP)                                                      </t>
  </si>
  <si>
    <t xml:space="preserve">Southwestern Power Administration (DOE)                                         </t>
  </si>
  <si>
    <t xml:space="preserve">Southwestern Public Service Company (Xcel)                                      </t>
  </si>
  <si>
    <t xml:space="preserve">Square Butte Electric Coop                                                      </t>
  </si>
  <si>
    <t xml:space="preserve">Sunflower Electric Power Corporation                                            </t>
  </si>
  <si>
    <t xml:space="preserve">Tampa Electric Company                                                          </t>
  </si>
  <si>
    <t xml:space="preserve">Tennessee Valley Authority                                                      </t>
  </si>
  <si>
    <t xml:space="preserve">Tex-La Electric Cooperative of Texas, Inc.                                      </t>
  </si>
  <si>
    <t xml:space="preserve">Tri-State G &amp; T Assn., Inc.                                                     </t>
  </si>
  <si>
    <t xml:space="preserve">Tucson Electric Power Company                                                   </t>
  </si>
  <si>
    <t xml:space="preserve">Turlock Irrigation District                                                     </t>
  </si>
  <si>
    <t xml:space="preserve">United Illuminating Company                                                     </t>
  </si>
  <si>
    <t xml:space="preserve">Upper Peninsula Power Company                                                   </t>
  </si>
  <si>
    <t xml:space="preserve">Wabash Valley Power Association, Inc.                                           </t>
  </si>
  <si>
    <t>Western Area Power Admin - Upper Missouri-East (Upper Great Plains Region operat</t>
  </si>
  <si>
    <t>Western Area Power Administration - Colorado-Missouri Control Area (Rocky Mtn Re</t>
  </si>
  <si>
    <t>Western Area Power Administration - Lower Colorado control area  (Desert Southwe</t>
  </si>
  <si>
    <t>Western Area Power Administration - Upper Missouri West (Upper Great Plains Regi</t>
  </si>
  <si>
    <t xml:space="preserve">Western Farmers Electric Cooperative                                            </t>
  </si>
  <si>
    <t xml:space="preserve">Wisconsin Electric Power Company                                                </t>
  </si>
  <si>
    <t xml:space="preserve">Wisconsin Public Service Corporation                                            </t>
  </si>
  <si>
    <t xml:space="preserve">Wolverine Power Supply Coop., Inc.                                              </t>
  </si>
  <si>
    <t xml:space="preserve">City of Springfield                                                             </t>
  </si>
  <si>
    <t xml:space="preserve">Wisconsin Public Power Inc.                                                     </t>
  </si>
  <si>
    <t xml:space="preserve">Minnesota Municipal Power Agency                                                </t>
  </si>
  <si>
    <t xml:space="preserve">Missouri River Energy Services                                                  </t>
  </si>
  <si>
    <t xml:space="preserve">Minnkota Power Cooperative, Inc.                                                </t>
  </si>
  <si>
    <t xml:space="preserve">Gen-Sys Energy                                                                  </t>
  </si>
  <si>
    <t xml:space="preserve">Basin Electric Power Cooperative                                                </t>
  </si>
  <si>
    <t xml:space="preserve">Batesville Balancing Authority                                                  </t>
  </si>
  <si>
    <t xml:space="preserve">City of Conway                                                                  </t>
  </si>
  <si>
    <t xml:space="preserve">City of Ruston                                                                  </t>
  </si>
  <si>
    <t xml:space="preserve">Union Power Partners                                                            </t>
  </si>
  <si>
    <t xml:space="preserve">City of West Memphis                                                            </t>
  </si>
  <si>
    <t xml:space="preserve">New Harquahala Generating Station                                               </t>
  </si>
  <si>
    <t xml:space="preserve">City of Benton                                                                  </t>
  </si>
  <si>
    <t xml:space="preserve">Old Dominion Elec. Coop., Inc.-Delmarva P&amp;L Planning                            </t>
  </si>
  <si>
    <t xml:space="preserve">Georgia Power Company                                                           </t>
  </si>
  <si>
    <t xml:space="preserve">Mississippi Power Company                                                       </t>
  </si>
  <si>
    <t xml:space="preserve">Gulf Power Company                                                              </t>
  </si>
  <si>
    <t xml:space="preserve">Southern Power Company                                                          </t>
  </si>
  <si>
    <t xml:space="preserve">NorthWestern Energy (South Dakota)                                              </t>
  </si>
  <si>
    <t xml:space="preserve">PJM Interconnection Eastern Hub                                                 </t>
  </si>
  <si>
    <t xml:space="preserve">PJM Interconnection Western Hub                                                 </t>
  </si>
  <si>
    <t xml:space="preserve">PJM Interconnection Illinois Hub                                                </t>
  </si>
  <si>
    <t xml:space="preserve">PJM Interconnection North Illinois Hub                                          </t>
  </si>
  <si>
    <t xml:space="preserve">PJM Interconnection Dominion Hub                                                </t>
  </si>
  <si>
    <t xml:space="preserve">PJM Interconnection AEP-Dayton Hub                                              </t>
  </si>
  <si>
    <t xml:space="preserve">PacifiCorp - Part II Sch 2 (East &amp; West combined)                               </t>
  </si>
  <si>
    <t xml:space="preserve">City of St. Cloud                                                               </t>
  </si>
  <si>
    <t xml:space="preserve">Michigan Electric Powr Coor. Center - Detroit                                   </t>
  </si>
  <si>
    <t xml:space="preserve">Southern California Edison Company                                              </t>
  </si>
  <si>
    <t xml:space="preserve">Arkansas Electric Cooperative Corporation                                       </t>
  </si>
  <si>
    <t xml:space="preserve">Glacier Wind Balancing Authority                                                </t>
  </si>
  <si>
    <t xml:space="preserve">Plum Point Energy Associates (PLUM) -SERC REGION                                </t>
  </si>
  <si>
    <t xml:space="preserve">Griffith Energy (GRIF)                                                          </t>
  </si>
  <si>
    <t xml:space="preserve">Test Company E                                                                  </t>
  </si>
  <si>
    <t xml:space="preserve">City of Osceola (OMLP) - SERC                                                   </t>
  </si>
  <si>
    <t xml:space="preserve">MISO                                                                            </t>
  </si>
  <si>
    <t xml:space="preserve">Constellation Energy Control and Dispatch - for Brazos                          </t>
  </si>
  <si>
    <t xml:space="preserve">Gridforce Energy Management, LLC                                                </t>
  </si>
  <si>
    <t xml:space="preserve">NaturEner Wind Watch, LLC                                                       </t>
  </si>
  <si>
    <t xml:space="preserve">New Smyrna Beach Utilities Commission                                           </t>
  </si>
  <si>
    <t xml:space="preserve">City of Lake Worth                                                              </t>
  </si>
  <si>
    <t xml:space="preserve">City of Vero Beach                                                              </t>
  </si>
  <si>
    <t xml:space="preserve">Municipal Electric Authority of Georgia                                         </t>
  </si>
  <si>
    <t>Respondent IDs and names available in FERC Form 714 data matched with corresponding EIA code if available</t>
  </si>
  <si>
    <t>Net International Trading</t>
  </si>
  <si>
    <t xml:space="preserve"> ---&gt; </t>
  </si>
  <si>
    <t xml:space="preserve"> &lt;--- </t>
  </si>
  <si>
    <t>TOTAL</t>
  </si>
  <si>
    <t>Total Trading (MWh)</t>
  </si>
  <si>
    <t>Sorted and filtered data from respondents in the Alaska Systems Coordinating Council (ASCC) NERC region with trading partners matched to FERC respondent IDs and their corresponding NERC/eGRID regions</t>
  </si>
  <si>
    <t>Sorted and filtered data from respondents in the Florida Reliability Coordinating Council (FRCC) NERC region with trading partners matched to FERC respondent IDs and their corresponding NERC/eGRID regions</t>
  </si>
  <si>
    <t>No data reported trades in the Hawaiian Islands Coordinating Council (HICC) NERC region</t>
  </si>
  <si>
    <t>Sorted and filtered data from respondents in the Midwest Reliability Organization (MRO) NERC region with trading partners matched to FERC respondent IDs and their corresponding NERC/eGRID regions</t>
  </si>
  <si>
    <t>Sorted and filtered data from respondents in the Northeast Power Coodination Council (NPCC) NERC region with trading partners matched to FERC respondent IDs and their corresponding NERC/eGRID regions</t>
  </si>
  <si>
    <t>Sorted and filtered data from respondents in the Reliability First Corporation (RFC) NERC region with trading partners matched to FERC respondent IDs and their corresponding NERC/eGRID regions</t>
  </si>
  <si>
    <t>Sorted and filtered data from respondents in the SERC Reliability Corporation (SERC) NERC region with trading partners matched to FERC respondent IDs and their corresponding NERC/eGRID regions</t>
  </si>
  <si>
    <t>Sorted and filtered data from respondents in the Southwest Power Pool (SPP) NERC region with trading partners matched to FERC respondent IDs and their corresponding NERC/eGRID regions</t>
  </si>
  <si>
    <t>Sorted and filtered data from respondents in the Texas Reliability Entity (TRE) NERC region with trading partners matched to FERC respondent IDs and their corresponding NERC/eGRID regions</t>
  </si>
  <si>
    <t>Sorted and filtered data from respondents in the Western Electricity Coordinating Council (WECC) NERC region with trading partners matched to FERC respondent IDs and their corresponding NERC/eGRID regions</t>
  </si>
  <si>
    <t>#Misc FERC data</t>
  </si>
  <si>
    <t>Sorted and filtered data from respondents that could not be assocated with a specific eGRID region based on respondant ID or trading partner name</t>
  </si>
  <si>
    <t>Additional information</t>
  </si>
  <si>
    <t>No</t>
  </si>
  <si>
    <t>Name</t>
  </si>
  <si>
    <t>Category</t>
  </si>
  <si>
    <t>Text reference</t>
  </si>
  <si>
    <t>Year</t>
  </si>
  <si>
    <t>URL/DOI</t>
  </si>
  <si>
    <t>https://www.nrcan.gc.ca/sites/www.nrcan.gc.ca/files/www/pdf/publications/emmc/15-0137%20EMMC-After%20the%20Blackout-e.pdf</t>
  </si>
  <si>
    <t>After the Blackout: Implementation of Mandatory Electric Relability Standards in Canada</t>
  </si>
  <si>
    <t>Data for NERC level trading with Canada
Cat. No. M34-25/1-2015E-PDF (Online)
ISBN 978-0-660-02440-0</t>
  </si>
  <si>
    <t>Key Canadian Electricity Statistics</t>
  </si>
  <si>
    <t xml:space="preserve">
</t>
  </si>
  <si>
    <t>Recommended source for Canadian Provence level electricity mixes</t>
  </si>
  <si>
    <t>Canadian Electricity Association (2014). Key Canadian Electricity Statistics.</t>
  </si>
  <si>
    <t xml:space="preserve"> </t>
  </si>
  <si>
    <t>This model is intended to represent eGRID-level consumption and trading in 2014</t>
  </si>
  <si>
    <t>2014 eGRID Consumption Mix Data</t>
  </si>
  <si>
    <t>Data represents the United States, comprised of ten (10) NERC regions which are broken down into twenty-six (26) eGRID subregions, and includes international trading with Canada and Mexico</t>
  </si>
  <si>
    <t xml:space="preserve">This trading methodology is being used by the US EPA for supporting tools that prioritize goods and services based on potential environmental impacts, resource use or emissions for large regions, including the US and US states, and as a streamlined tool for organizations as a starting point to consider sustainable materials management. Consumption Mixes are designed to provide meso/macro-level decision support. This data should be appropriately cited when used. Any changes or derivations of this model by the user should be documented. The data itself and any results from use of this data or the consumption mixes shall not be construed to consitute US EPA opinion or policy.  </t>
  </si>
  <si>
    <t>This dataset provides the methods and calculations for the development of US eGRID level consumption mixes to be packaged as part of a larger US life cycle inventory (LCI) release through the Federal LCA Commons. The methodology underlying the data are outlined in the supporting document titled 'Methods for Generating Consumption Mixes Using FERC Form 714 and International Trading Data' prepared by Troy Hottle. The final Consumption Mix Contributions (green tab) are data calculated by applying respondent trading data from FERC Form 714 to eGRID reported values for electricity generation. International trading data using cited sources was applied to calculate net consumption and the final consumption mixes.</t>
  </si>
  <si>
    <t>http://www.nacei.org/en/</t>
  </si>
  <si>
    <t>Trilateral Data Comparison - Electricity - EN (Aug15 2016)
Trade in electricity between Canada, Mexico and the United States,  as reported by various publically available sources, monthly, in MWh</t>
  </si>
  <si>
    <t>Contains two tables. The first table provides output for the percent contribution of each eGRID region's generation mix to its consumption mix and the subsequent percent of the consumption mix that must be traded in to meet the electricty consumption in the eGRID region. The second table displays the percent contribution of each eGRID region to the NERC region surplus supply pools. The NERC region surplus supply pools are limited to contribution from eGRID regions housed within them and adjacent international trading regions.</t>
  </si>
  <si>
    <t>Contains the calculations used to determine the NERC region surplus supply pool contributions. Note that only six regions have the potential need for surplus supply pools using the methodology and data applied here.</t>
  </si>
  <si>
    <t>Contains the primary eGRID generation values, the calculated trade data for each eGRID region, and the final calculated consumption data used to determine the data provided in 'Consumption Mix Contributions.' The trading data represents all trades for each eGRID regions including trade with other NERC regions and trading with international partners (allocated by applying weighting based on eGRID contribution to total NERC region generation) in order to determine net consumption values.</t>
  </si>
  <si>
    <t>Tabulated data for international electricity trades based on data from cited sources.</t>
  </si>
  <si>
    <t>*unknown Trade Partner respondent ID</t>
  </si>
  <si>
    <t>*unknown Trade Partner respondent ID, same as Balancing Authority of Northern California?</t>
  </si>
  <si>
    <t>Net Trading</t>
  </si>
  <si>
    <t>Gross Trading</t>
  </si>
  <si>
    <t>Allocation methods</t>
  </si>
  <si>
    <r>
      <t xml:space="preserve">NERC surplus supply pools are the weighted contributions from eGRID regions producing surplus from within the NERC region. The weights are based on the quantity of surplus electricity produced within the regions and international sources (see tab ‘NERC SSP Contributions’). The NERC surplus supply pools are generated as their own pass-through inventories in OpenLCA.
</t>
    </r>
    <r>
      <rPr>
        <b/>
        <sz val="12"/>
        <color theme="1" tint="0.14999847407452621"/>
        <rFont val="Calibri"/>
        <family val="2"/>
        <scheme val="minor"/>
      </rPr>
      <t xml:space="preserve">Net Trading Method </t>
    </r>
    <r>
      <rPr>
        <sz val="12"/>
        <color theme="1" tint="0.14999847407452621"/>
        <rFont val="Calibri"/>
        <family val="2"/>
        <scheme val="minor"/>
      </rPr>
      <t xml:space="preserve">- eGRID regions that have surpluses (reported generation higher than calculated consumption) contribute the excess to the NERC-level surplus supply pools. The eGRID and international contributions to the NERC region surplus supply pools are divided by the total surplus in the NERC region to determine the percent contributions that are applied to create the NERC surplus supply pool. Consumption rates are defined by the difference between eGRID generation rates and net trading.
</t>
    </r>
    <r>
      <rPr>
        <b/>
        <sz val="12"/>
        <color theme="1" tint="0.14999847407452621"/>
        <rFont val="Calibri"/>
        <family val="2"/>
        <scheme val="minor"/>
      </rPr>
      <t>Gross Trading Method</t>
    </r>
    <r>
      <rPr>
        <sz val="12"/>
        <color theme="1" tint="0.14999847407452621"/>
        <rFont val="Calibri"/>
        <family val="2"/>
        <scheme val="minor"/>
      </rPr>
      <t xml:space="preserve"> - All trades out from eGRID regions combined to create the surplus supply pool total for their respective NERC regions in addition to international trades moving out from Canada and Mexico to the specified NERC regions. Consumption rates are defined by the difference between eGRID generation rates and net trading as in the Net Trading Method but additional demand for trades in from the NERC surplus supply pool are created because of the initial contributions to the supply pools.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</si>
</sst>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32"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b/>
      <sz val="12"/>
      <color theme="1"/>
      <name val="Calibri"/>
      <family val="2"/>
      <scheme val="minor"/>
    </font>
    <font>
      <sz val="9"/>
      <color theme="1"/>
      <name val="Calibri"/>
      <family val="2"/>
      <scheme val="minor"/>
    </font>
    <font>
      <sz val="11"/>
      <color theme="1"/>
      <name val="Calibri"/>
      <family val="2"/>
      <scheme val="minor"/>
    </font>
    <font>
      <sz val="10"/>
      <name val="Arial"/>
      <family val="2"/>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2"/>
      <color theme="1"/>
      <name val="Calibri"/>
      <family val="2"/>
      <scheme val="minor"/>
    </font>
    <font>
      <sz val="11"/>
      <color theme="1" tint="0.14999847407452621"/>
      <name val="Calibri"/>
      <family val="2"/>
    </font>
    <font>
      <b/>
      <sz val="26"/>
      <color theme="1" tint="0.34998626667073579"/>
      <name val="Calibri"/>
      <family val="2"/>
    </font>
    <font>
      <sz val="10"/>
      <name val="Calibri"/>
      <family val="2"/>
    </font>
    <font>
      <b/>
      <sz val="10"/>
      <name val="Calibri"/>
      <family val="2"/>
    </font>
    <font>
      <i/>
      <sz val="11"/>
      <color theme="1" tint="0.34998626667073579"/>
      <name val="Calibri"/>
      <family val="2"/>
    </font>
    <font>
      <b/>
      <sz val="11"/>
      <color theme="1" tint="0.14999847407452621"/>
      <name val="Calibri"/>
      <family val="2"/>
    </font>
    <font>
      <sz val="8"/>
      <color theme="1"/>
      <name val="Calibri"/>
      <family val="2"/>
      <scheme val="minor"/>
    </font>
    <font>
      <sz val="9"/>
      <name val="Calibri"/>
      <family val="2"/>
      <scheme val="minor"/>
    </font>
    <font>
      <sz val="10"/>
      <name val="Calibri"/>
      <family val="2"/>
      <scheme val="minor"/>
    </font>
    <font>
      <b/>
      <sz val="10"/>
      <name val="Calibri"/>
      <family val="2"/>
      <scheme val="minor"/>
    </font>
    <font>
      <u/>
      <sz val="12"/>
      <color theme="10"/>
      <name val="Calibri"/>
      <family val="2"/>
      <scheme val="minor"/>
    </font>
    <font>
      <sz val="12"/>
      <color theme="1" tint="0.14999847407452621"/>
      <name val="Calibri"/>
      <family val="2"/>
    </font>
    <font>
      <sz val="9"/>
      <color indexed="81"/>
      <name val="Tahoma"/>
      <charset val="1"/>
    </font>
    <font>
      <b/>
      <sz val="9"/>
      <color indexed="81"/>
      <name val="Tahoma"/>
      <charset val="1"/>
    </font>
    <font>
      <sz val="11"/>
      <color theme="2" tint="-0.499984740745262"/>
      <name val="Calibri"/>
      <family val="2"/>
      <scheme val="minor"/>
    </font>
    <font>
      <b/>
      <sz val="24"/>
      <color theme="1"/>
      <name val="Calibri"/>
      <family val="2"/>
      <scheme val="minor"/>
    </font>
    <font>
      <b/>
      <sz val="12"/>
      <color theme="1" tint="0.14999847407452621"/>
      <name val="Calibri"/>
      <family val="2"/>
      <scheme val="minor"/>
    </font>
  </fonts>
  <fills count="20">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2"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0" fontId="10" fillId="0" borderId="0"/>
    <xf numFmtId="0" fontId="14" fillId="0" borderId="0"/>
    <xf numFmtId="0" fontId="2" fillId="2" borderId="1" applyFont="0" applyBorder="0">
      <alignment horizontal="center"/>
    </xf>
    <xf numFmtId="0" fontId="25" fillId="0" borderId="0" applyNumberFormat="0" applyFill="0" applyBorder="0" applyAlignment="0" applyProtection="0"/>
  </cellStyleXfs>
  <cellXfs count="147">
    <xf numFmtId="0" fontId="0" fillId="0" borderId="0" xfId="0"/>
    <xf numFmtId="0" fontId="1" fillId="0" borderId="1" xfId="0" applyFont="1" applyBorder="1"/>
    <xf numFmtId="0" fontId="1" fillId="0" borderId="0" xfId="0" applyFont="1"/>
    <xf numFmtId="0" fontId="2" fillId="0" borderId="1" xfId="0" applyFont="1" applyBorder="1"/>
    <xf numFmtId="0" fontId="1" fillId="0" borderId="0" xfId="0" applyFont="1" applyFill="1" applyBorder="1"/>
    <xf numFmtId="0" fontId="5" fillId="0" borderId="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Fill="1"/>
    <xf numFmtId="0" fontId="2" fillId="0" borderId="1" xfId="0" applyFont="1" applyFill="1" applyBorder="1"/>
    <xf numFmtId="0" fontId="1" fillId="0" borderId="1" xfId="0" applyFont="1" applyFill="1" applyBorder="1"/>
    <xf numFmtId="0" fontId="7" fillId="2" borderId="1" xfId="0" applyFont="1" applyFill="1" applyBorder="1"/>
    <xf numFmtId="0" fontId="0" fillId="0" borderId="1" xfId="0" applyBorder="1"/>
    <xf numFmtId="0" fontId="6" fillId="3" borderId="1" xfId="0" applyFont="1" applyFill="1" applyBorder="1"/>
    <xf numFmtId="0" fontId="0" fillId="4" borderId="1" xfId="0" applyFill="1" applyBorder="1"/>
    <xf numFmtId="0" fontId="8" fillId="0" borderId="1" xfId="0" applyFont="1" applyFill="1" applyBorder="1"/>
    <xf numFmtId="0" fontId="0" fillId="5" borderId="1" xfId="0" applyFill="1" applyBorder="1"/>
    <xf numFmtId="0" fontId="0" fillId="0" borderId="1" xfId="0" applyFill="1" applyBorder="1"/>
    <xf numFmtId="0" fontId="0" fillId="6" borderId="1" xfId="0" applyFill="1" applyBorder="1"/>
    <xf numFmtId="0" fontId="8" fillId="7" borderId="1" xfId="0" applyFont="1" applyFill="1" applyBorder="1"/>
    <xf numFmtId="0" fontId="0" fillId="8" borderId="1" xfId="0" applyFill="1" applyBorder="1"/>
    <xf numFmtId="164" fontId="1" fillId="0" borderId="1" xfId="1" applyNumberFormat="1" applyFont="1" applyBorder="1"/>
    <xf numFmtId="0" fontId="2" fillId="0" borderId="0" xfId="0" applyFont="1" applyFill="1" applyBorder="1"/>
    <xf numFmtId="164" fontId="0" fillId="0" borderId="0" xfId="0" applyNumberFormat="1"/>
    <xf numFmtId="164" fontId="0" fillId="0" borderId="1" xfId="0" applyNumberFormat="1" applyBorder="1"/>
    <xf numFmtId="164" fontId="2" fillId="0" borderId="0" xfId="1" applyNumberFormat="1" applyFont="1"/>
    <xf numFmtId="0" fontId="2" fillId="0" borderId="0" xfId="0" applyFont="1"/>
    <xf numFmtId="0" fontId="5" fillId="0" borderId="1" xfId="0" applyFont="1" applyBorder="1"/>
    <xf numFmtId="10" fontId="0" fillId="0" borderId="1" xfId="2" applyNumberFormat="1" applyFont="1" applyBorder="1"/>
    <xf numFmtId="9" fontId="0" fillId="0" borderId="0" xfId="2" applyFont="1"/>
    <xf numFmtId="0" fontId="0" fillId="0" borderId="0" xfId="0" applyAlignment="1">
      <alignment horizontal="center"/>
    </xf>
    <xf numFmtId="0" fontId="0" fillId="0" borderId="0" xfId="0" applyFill="1"/>
    <xf numFmtId="0" fontId="0" fillId="0" borderId="0" xfId="0" applyBorder="1" applyAlignment="1">
      <alignment horizontal="center"/>
    </xf>
    <xf numFmtId="0" fontId="1" fillId="7" borderId="0" xfId="3" applyFont="1" applyFill="1" applyAlignment="1">
      <alignment horizontal="right" vertical="top" wrapText="1"/>
    </xf>
    <xf numFmtId="0" fontId="1" fillId="7" borderId="0" xfId="3" applyFont="1" applyFill="1" applyAlignment="1">
      <alignment horizontal="left" vertical="top" wrapText="1"/>
    </xf>
    <xf numFmtId="0" fontId="1" fillId="7" borderId="0" xfId="3" applyFont="1" applyFill="1" applyAlignment="1">
      <alignment vertical="top"/>
    </xf>
    <xf numFmtId="0" fontId="5" fillId="7" borderId="0" xfId="3" applyFont="1" applyFill="1" applyBorder="1" applyAlignment="1">
      <alignment horizontal="right" vertical="top" wrapText="1"/>
    </xf>
    <xf numFmtId="0" fontId="12" fillId="0" borderId="0" xfId="3" applyFont="1" applyBorder="1" applyAlignment="1">
      <alignment horizontal="right" vertical="top"/>
    </xf>
    <xf numFmtId="0" fontId="13" fillId="0" borderId="0" xfId="3" applyFont="1" applyBorder="1" applyAlignment="1">
      <alignment horizontal="left" vertical="top" wrapText="1"/>
    </xf>
    <xf numFmtId="0" fontId="2" fillId="7" borderId="0" xfId="3" applyFont="1" applyFill="1" applyBorder="1" applyAlignment="1">
      <alignment vertical="top"/>
    </xf>
    <xf numFmtId="0" fontId="13" fillId="0" borderId="0" xfId="3" applyFont="1" applyBorder="1" applyAlignment="1">
      <alignment horizontal="left" vertical="center" wrapText="1"/>
    </xf>
    <xf numFmtId="0" fontId="2" fillId="7" borderId="0" xfId="3" applyFont="1" applyFill="1" applyBorder="1" applyAlignment="1">
      <alignment horizontal="right" vertical="top" wrapText="1"/>
    </xf>
    <xf numFmtId="0" fontId="12" fillId="0" borderId="4" xfId="3" applyFont="1" applyBorder="1" applyAlignment="1">
      <alignment horizontal="right" vertical="top"/>
    </xf>
    <xf numFmtId="0" fontId="13" fillId="0" borderId="4" xfId="3" applyFont="1" applyBorder="1" applyAlignment="1">
      <alignment horizontal="left" vertical="top" wrapText="1"/>
    </xf>
    <xf numFmtId="0" fontId="9" fillId="7" borderId="0" xfId="3" applyFont="1" applyFill="1" applyAlignment="1">
      <alignment horizontal="right" vertical="top" wrapText="1"/>
    </xf>
    <xf numFmtId="0" fontId="9" fillId="7" borderId="0" xfId="3" applyFont="1" applyFill="1" applyAlignment="1">
      <alignment horizontal="left" vertical="top" wrapText="1"/>
    </xf>
    <xf numFmtId="0" fontId="17" fillId="7" borderId="0" xfId="4" applyFont="1" applyFill="1"/>
    <xf numFmtId="0" fontId="18" fillId="7" borderId="0" xfId="4" applyFont="1" applyFill="1"/>
    <xf numFmtId="0" fontId="19" fillId="7" borderId="4" xfId="4" applyFont="1" applyFill="1" applyBorder="1" applyAlignment="1">
      <alignment horizontal="left"/>
    </xf>
    <xf numFmtId="0" fontId="17" fillId="7" borderId="4" xfId="4" applyFont="1" applyFill="1" applyBorder="1"/>
    <xf numFmtId="0" fontId="15" fillId="7" borderId="0" xfId="4" applyFont="1" applyFill="1" applyAlignment="1">
      <alignment horizontal="left" vertical="top" wrapText="1"/>
    </xf>
    <xf numFmtId="0" fontId="20" fillId="7" borderId="0" xfId="4" applyFont="1" applyFill="1" applyBorder="1" applyAlignment="1">
      <alignment horizontal="left" vertical="top"/>
    </xf>
    <xf numFmtId="0" fontId="15" fillId="7" borderId="0" xfId="4" applyFont="1" applyFill="1" applyBorder="1" applyAlignment="1">
      <alignment horizontal="left" vertical="top" wrapText="1"/>
    </xf>
    <xf numFmtId="0" fontId="15" fillId="7" borderId="4" xfId="4" applyFont="1" applyFill="1" applyBorder="1" applyAlignment="1">
      <alignment horizontal="left" vertical="top" wrapText="1"/>
    </xf>
    <xf numFmtId="0" fontId="19" fillId="7" borderId="0" xfId="4" applyFont="1" applyFill="1" applyAlignment="1">
      <alignment horizontal="left" vertical="top" wrapText="1"/>
    </xf>
    <xf numFmtId="0" fontId="0" fillId="0" borderId="0" xfId="0" applyAlignment="1">
      <alignment horizontal="center"/>
    </xf>
    <xf numFmtId="0" fontId="0" fillId="0" borderId="0" xfId="0" applyBorder="1" applyAlignment="1">
      <alignment horizontal="center"/>
    </xf>
    <xf numFmtId="0" fontId="2" fillId="0" borderId="1" xfId="0" applyFont="1" applyFill="1" applyBorder="1" applyAlignment="1">
      <alignment horizontal="center"/>
    </xf>
    <xf numFmtId="0" fontId="5" fillId="0" borderId="1" xfId="0" applyFont="1" applyBorder="1" applyAlignment="1">
      <alignment horizontal="center"/>
    </xf>
    <xf numFmtId="0" fontId="8" fillId="0" borderId="0" xfId="0" applyFont="1" applyAlignment="1">
      <alignment horizontal="center" wrapText="1"/>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164" fontId="21" fillId="0" borderId="0" xfId="0" applyNumberFormat="1" applyFont="1"/>
    <xf numFmtId="0" fontId="5" fillId="0" borderId="0" xfId="0" applyFont="1"/>
    <xf numFmtId="9" fontId="0" fillId="0" borderId="1" xfId="2" applyFont="1" applyBorder="1"/>
    <xf numFmtId="164" fontId="1" fillId="0" borderId="1" xfId="1" applyNumberFormat="1" applyFont="1" applyFill="1" applyBorder="1"/>
    <xf numFmtId="10" fontId="1" fillId="0" borderId="1" xfId="2" applyNumberFormat="1" applyFont="1" applyFill="1" applyBorder="1"/>
    <xf numFmtId="0" fontId="1" fillId="0" borderId="1" xfId="0" applyNumberFormat="1" applyFont="1" applyFill="1" applyBorder="1"/>
    <xf numFmtId="0" fontId="5" fillId="0" borderId="1" xfId="0" applyFont="1" applyFill="1" applyBorder="1"/>
    <xf numFmtId="164" fontId="2" fillId="0" borderId="1" xfId="0" applyNumberFormat="1" applyFont="1" applyFill="1" applyBorder="1"/>
    <xf numFmtId="164" fontId="5" fillId="0" borderId="1" xfId="1" applyNumberFormat="1" applyFont="1" applyFill="1" applyBorder="1"/>
    <xf numFmtId="0" fontId="0" fillId="0" borderId="1" xfId="0" applyFont="1" applyFill="1" applyBorder="1"/>
    <xf numFmtId="9" fontId="1" fillId="0" borderId="1" xfId="2" applyFont="1" applyFill="1" applyBorder="1"/>
    <xf numFmtId="9" fontId="0" fillId="0" borderId="1" xfId="2" applyFont="1" applyFill="1" applyBorder="1"/>
    <xf numFmtId="9" fontId="1" fillId="0" borderId="1" xfId="2" applyNumberFormat="1" applyFont="1" applyFill="1" applyBorder="1"/>
    <xf numFmtId="164" fontId="2" fillId="0" borderId="1" xfId="1" applyNumberFormat="1" applyFont="1" applyFill="1" applyBorder="1"/>
    <xf numFmtId="9" fontId="0" fillId="0" borderId="1" xfId="2" applyNumberFormat="1" applyFont="1" applyBorder="1"/>
    <xf numFmtId="165" fontId="0" fillId="0" borderId="1" xfId="0" applyNumberFormat="1" applyBorder="1"/>
    <xf numFmtId="165" fontId="0" fillId="0" borderId="1" xfId="2" applyNumberFormat="1" applyFont="1" applyBorder="1"/>
    <xf numFmtId="164" fontId="2" fillId="0" borderId="0" xfId="1" applyNumberFormat="1" applyFont="1" applyFill="1" applyBorder="1"/>
    <xf numFmtId="0" fontId="0" fillId="0" borderId="5" xfId="0" applyBorder="1"/>
    <xf numFmtId="0" fontId="0" fillId="2" borderId="1" xfId="0" applyFill="1" applyBorder="1"/>
    <xf numFmtId="0" fontId="0" fillId="2" borderId="5" xfId="0" applyFill="1" applyBorder="1"/>
    <xf numFmtId="0" fontId="0" fillId="0" borderId="5" xfId="0" applyFill="1" applyBorder="1"/>
    <xf numFmtId="0" fontId="8" fillId="0" borderId="5" xfId="0" applyFont="1" applyFill="1" applyBorder="1"/>
    <xf numFmtId="0" fontId="1" fillId="2" borderId="1" xfId="0" applyFont="1" applyFill="1" applyBorder="1"/>
    <xf numFmtId="0" fontId="0" fillId="3" borderId="1" xfId="0" applyFill="1" applyBorder="1"/>
    <xf numFmtId="0" fontId="8" fillId="2" borderId="1" xfId="0" applyFont="1" applyFill="1" applyBorder="1"/>
    <xf numFmtId="0" fontId="0" fillId="0" borderId="0" xfId="0" applyFont="1"/>
    <xf numFmtId="0" fontId="0" fillId="0" borderId="3" xfId="0" applyFont="1" applyFill="1" applyBorder="1"/>
    <xf numFmtId="0" fontId="22" fillId="0" borderId="1" xfId="0" applyFont="1" applyFill="1" applyBorder="1"/>
    <xf numFmtId="0" fontId="0" fillId="3" borderId="2" xfId="0" applyFill="1" applyBorder="1"/>
    <xf numFmtId="0" fontId="0" fillId="0" borderId="2" xfId="0" applyFill="1" applyBorder="1"/>
    <xf numFmtId="0" fontId="0" fillId="2" borderId="2" xfId="0" applyFill="1" applyBorder="1"/>
    <xf numFmtId="0" fontId="0" fillId="0" borderId="0" xfId="0" applyFill="1" applyBorder="1"/>
    <xf numFmtId="0" fontId="8" fillId="0" borderId="0" xfId="0" applyFont="1" applyFill="1" applyBorder="1"/>
    <xf numFmtId="0" fontId="20" fillId="7" borderId="0" xfId="4" applyFont="1" applyFill="1" applyAlignment="1">
      <alignment horizontal="left" vertical="top" wrapText="1"/>
    </xf>
    <xf numFmtId="0" fontId="17" fillId="7" borderId="0" xfId="4" applyFont="1" applyFill="1" applyBorder="1"/>
    <xf numFmtId="0" fontId="20" fillId="7" borderId="0" xfId="4" applyFont="1" applyFill="1" applyBorder="1" applyAlignment="1">
      <alignment horizontal="left"/>
    </xf>
    <xf numFmtId="0" fontId="5" fillId="2" borderId="1" xfId="5" applyFont="1" applyBorder="1">
      <alignment horizontal="center"/>
    </xf>
    <xf numFmtId="0" fontId="2" fillId="0" borderId="5" xfId="0" applyFont="1" applyBorder="1" applyAlignment="1">
      <alignment horizontal="center"/>
    </xf>
    <xf numFmtId="0" fontId="1" fillId="0" borderId="5" xfId="0" applyFont="1" applyFill="1" applyBorder="1"/>
    <xf numFmtId="164" fontId="1" fillId="0" borderId="5" xfId="1" applyNumberFormat="1" applyFont="1" applyFill="1" applyBorder="1"/>
    <xf numFmtId="10" fontId="1" fillId="0" borderId="5" xfId="2" applyNumberFormat="1" applyFont="1" applyFill="1" applyBorder="1"/>
    <xf numFmtId="164" fontId="0" fillId="0" borderId="5" xfId="0" applyNumberFormat="1" applyBorder="1"/>
    <xf numFmtId="0" fontId="0" fillId="0" borderId="0" xfId="0" applyBorder="1"/>
    <xf numFmtId="0" fontId="5" fillId="0" borderId="8" xfId="0" applyFont="1" applyBorder="1" applyAlignment="1">
      <alignment horizontal="center"/>
    </xf>
    <xf numFmtId="0" fontId="19" fillId="7" borderId="4" xfId="4" applyFont="1" applyFill="1" applyBorder="1" applyAlignment="1">
      <alignment vertical="top" wrapText="1"/>
    </xf>
    <xf numFmtId="0" fontId="19" fillId="7" borderId="0" xfId="4" applyFont="1" applyFill="1" applyBorder="1" applyAlignment="1">
      <alignment vertical="top" wrapText="1"/>
    </xf>
    <xf numFmtId="0" fontId="19" fillId="7" borderId="0" xfId="4" applyFont="1" applyFill="1" applyBorder="1" applyAlignment="1">
      <alignment horizontal="left" vertical="top" wrapText="1"/>
    </xf>
    <xf numFmtId="0" fontId="10" fillId="0" borderId="0" xfId="3" applyFill="1"/>
    <xf numFmtId="0" fontId="23" fillId="0" borderId="0" xfId="3" applyFont="1" applyFill="1"/>
    <xf numFmtId="0" fontId="24" fillId="0" borderId="0" xfId="3" applyFont="1" applyFill="1"/>
    <xf numFmtId="0" fontId="24" fillId="0" borderId="1" xfId="3" applyFont="1" applyFill="1" applyBorder="1"/>
    <xf numFmtId="0" fontId="10" fillId="0" borderId="1" xfId="3" applyFont="1" applyFill="1" applyBorder="1" applyAlignment="1"/>
    <xf numFmtId="0" fontId="25" fillId="0" borderId="1" xfId="6" applyFill="1" applyBorder="1"/>
    <xf numFmtId="0" fontId="10" fillId="0" borderId="1" xfId="3" applyFont="1" applyFill="1" applyBorder="1" applyAlignment="1">
      <alignment wrapText="1"/>
    </xf>
    <xf numFmtId="0" fontId="25" fillId="0" borderId="1" xfId="6" applyFill="1" applyBorder="1" applyAlignment="1">
      <alignment wrapText="1"/>
    </xf>
    <xf numFmtId="0" fontId="13" fillId="0" borderId="0" xfId="4" applyFont="1" applyAlignment="1">
      <alignment vertical="center" wrapText="1"/>
    </xf>
    <xf numFmtId="0" fontId="26" fillId="7" borderId="0" xfId="4" applyFont="1" applyFill="1" applyAlignment="1">
      <alignment horizontal="left" vertical="top" wrapText="1"/>
    </xf>
    <xf numFmtId="0" fontId="1" fillId="0" borderId="2" xfId="0" applyFont="1" applyFill="1" applyBorder="1"/>
    <xf numFmtId="0" fontId="1" fillId="9" borderId="0" xfId="0" applyFont="1" applyFill="1" applyBorder="1"/>
    <xf numFmtId="0" fontId="29" fillId="10" borderId="0" xfId="0" applyFont="1" applyFill="1" applyBorder="1"/>
    <xf numFmtId="0" fontId="1" fillId="11" borderId="0" xfId="0" applyFont="1" applyFill="1" applyBorder="1"/>
    <xf numFmtId="0" fontId="1" fillId="12" borderId="0" xfId="0" applyFont="1" applyFill="1" applyBorder="1"/>
    <xf numFmtId="0" fontId="1" fillId="13" borderId="0" xfId="0" applyFont="1" applyFill="1" applyBorder="1"/>
    <xf numFmtId="0" fontId="1" fillId="14" borderId="0" xfId="0" applyFont="1" applyFill="1" applyBorder="1"/>
    <xf numFmtId="0" fontId="1" fillId="15" borderId="0" xfId="0" applyFont="1" applyFill="1" applyBorder="1"/>
    <xf numFmtId="0" fontId="1" fillId="16" borderId="0" xfId="0" applyFont="1" applyFill="1" applyBorder="1"/>
    <xf numFmtId="0" fontId="1" fillId="17" borderId="0" xfId="0" applyFont="1" applyFill="1" applyBorder="1"/>
    <xf numFmtId="0" fontId="1" fillId="18" borderId="0" xfId="0" applyFont="1" applyFill="1" applyBorder="1"/>
    <xf numFmtId="0" fontId="11" fillId="0" borderId="4" xfId="3" applyFont="1" applyBorder="1" applyAlignment="1">
      <alignment horizontal="left" vertical="top" wrapText="1"/>
    </xf>
    <xf numFmtId="0" fontId="16" fillId="7" borderId="0" xfId="4" applyFont="1" applyFill="1" applyAlignment="1">
      <alignment horizontal="left" wrapText="1"/>
    </xf>
    <xf numFmtId="0" fontId="0" fillId="0" borderId="1" xfId="0"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2" fillId="0" borderId="1" xfId="0" applyFont="1" applyFill="1" applyBorder="1" applyAlignment="1">
      <alignment horizontal="center"/>
    </xf>
    <xf numFmtId="0" fontId="2" fillId="2" borderId="1"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11" fillId="0" borderId="0" xfId="3" applyFont="1" applyFill="1" applyBorder="1" applyAlignment="1">
      <alignment horizontal="left" vertical="top" wrapText="1"/>
    </xf>
    <xf numFmtId="0" fontId="30" fillId="0" borderId="0" xfId="0" applyFont="1"/>
    <xf numFmtId="0" fontId="0" fillId="19" borderId="0" xfId="0" applyFill="1"/>
    <xf numFmtId="165" fontId="0" fillId="0" borderId="0" xfId="2" applyNumberFormat="1" applyFont="1"/>
  </cellXfs>
  <cellStyles count="7">
    <cellStyle name="Comma" xfId="1" builtinId="3"/>
    <cellStyle name="heading" xfId="5"/>
    <cellStyle name="Hyperlink" xfId="6" builtinId="8"/>
    <cellStyle name="Normal" xfId="0" builtinId="0"/>
    <cellStyle name="Normal 2" xfId="4"/>
    <cellStyle name="Normal 2 2" xfId="3"/>
    <cellStyle name="Percent" xfId="2" builtinId="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6600FF"/>
      <color rgb="FF60497A"/>
      <color rgb="FF666699"/>
      <color rgb="FFCC6600"/>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steur.epa.gov/CIN/USERS/MAIN/Q-Z/wingwers/Net%20MyDocuments/SHC/3.63%20SMM%20Project/SMM%20Tool/USEEIO/manuscript%20USEEIO/satellite%20tables%20for%20sharing/USEEIO_Satellite_Pestici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eneral Information"/>
      <sheetName val="Exchanges"/>
      <sheetName val="Sources"/>
      <sheetName val="Export"/>
      <sheetName val="Activities"/>
      <sheetName val="Locations"/>
      <sheetName val="Corr_Pesticide_elementaryflows"/>
      <sheetName val="dropdown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nacei.org/en/" TargetMode="External"/><Relationship Id="rId2" Type="http://schemas.openxmlformats.org/officeDocument/2006/relationships/hyperlink" Target="https://www.nrcan.gc.ca/sites/www.nrcan.gc.ca/files/www/pdf/publications/emmc/15-0137%20EMMC-After%20the%20Blackout-e.pdf" TargetMode="External"/><Relationship Id="rId1" Type="http://schemas.openxmlformats.org/officeDocument/2006/relationships/hyperlink" Target="https://www.nrcan.gc.ca/sites/www.nrcan.gc.ca/files/www/pdf/publications/emmc/15-0137%20EMMC-After%20the%20Blackout-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K22" sqref="K22"/>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0.98942293550012295</v>
      </c>
      <c r="F6">
        <v>1.0577064499877054E-2</v>
      </c>
      <c r="H6" t="s">
        <v>30</v>
      </c>
    </row>
    <row r="7" spans="1:42" x14ac:dyDescent="0.25">
      <c r="A7" t="s">
        <v>30</v>
      </c>
      <c r="B7" t="s">
        <v>431</v>
      </c>
      <c r="C7" t="s">
        <v>9</v>
      </c>
      <c r="D7" t="s">
        <v>410</v>
      </c>
      <c r="E7">
        <v>1</v>
      </c>
      <c r="F7">
        <v>0</v>
      </c>
      <c r="H7" t="s">
        <v>33</v>
      </c>
      <c r="K7">
        <v>4.066930048803161E-3</v>
      </c>
      <c r="L7">
        <v>0.99593306995119679</v>
      </c>
    </row>
    <row r="8" spans="1:42" x14ac:dyDescent="0.25">
      <c r="A8" t="s">
        <v>30</v>
      </c>
      <c r="B8" t="s">
        <v>431</v>
      </c>
      <c r="C8" t="s">
        <v>31</v>
      </c>
      <c r="D8" t="s">
        <v>411</v>
      </c>
      <c r="E8">
        <v>1</v>
      </c>
      <c r="F8">
        <v>0</v>
      </c>
      <c r="H8" t="s">
        <v>35</v>
      </c>
      <c r="M8">
        <v>0.4</v>
      </c>
      <c r="N8">
        <v>0.55000000000000004</v>
      </c>
      <c r="O8">
        <v>0.05</v>
      </c>
    </row>
    <row r="9" spans="1:42" x14ac:dyDescent="0.25">
      <c r="A9" t="s">
        <v>33</v>
      </c>
      <c r="B9" t="s">
        <v>432</v>
      </c>
      <c r="C9" t="s">
        <v>32</v>
      </c>
      <c r="D9" t="s">
        <v>412</v>
      </c>
      <c r="E9">
        <v>0.96847386627010246</v>
      </c>
      <c r="F9">
        <v>3.1526133729897543E-2</v>
      </c>
      <c r="H9" t="s">
        <v>34</v>
      </c>
    </row>
    <row r="10" spans="1:42" x14ac:dyDescent="0.25">
      <c r="A10" t="s">
        <v>33</v>
      </c>
      <c r="B10" t="s">
        <v>432</v>
      </c>
      <c r="C10" t="s">
        <v>10</v>
      </c>
      <c r="D10" t="s">
        <v>413</v>
      </c>
      <c r="E10">
        <v>0.96536053329419147</v>
      </c>
      <c r="F10">
        <v>3.463946670580853E-2</v>
      </c>
      <c r="H10" t="s">
        <v>37</v>
      </c>
      <c r="AF10">
        <v>0.13428262071356839</v>
      </c>
      <c r="AG10">
        <v>0.2311990809104881</v>
      </c>
      <c r="AH10">
        <v>0.63451829837594353</v>
      </c>
    </row>
    <row r="11" spans="1:42" x14ac:dyDescent="0.25">
      <c r="A11" t="s">
        <v>35</v>
      </c>
      <c r="B11" t="s">
        <v>433</v>
      </c>
      <c r="C11" t="s">
        <v>11</v>
      </c>
      <c r="D11" t="s">
        <v>414</v>
      </c>
      <c r="E11">
        <v>0.82997687625982741</v>
      </c>
      <c r="F11">
        <v>0.17002312374017259</v>
      </c>
      <c r="H11" t="s">
        <v>36</v>
      </c>
      <c r="AJ11">
        <v>1</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9.1497658921968275E-2</v>
      </c>
      <c r="J13">
        <v>6.4339124596921569E-4</v>
      </c>
      <c r="P13">
        <v>1.1822314144684338E-2</v>
      </c>
      <c r="AM13">
        <v>0.28861313799975108</v>
      </c>
      <c r="AO13">
        <v>0.51082351109986002</v>
      </c>
      <c r="AP13">
        <v>9.6599986587767098E-2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0.97967953704898292</v>
      </c>
      <c r="F15">
        <v>2.0320462951017082E-2</v>
      </c>
    </row>
    <row r="16" spans="1:42" x14ac:dyDescent="0.25">
      <c r="A16" t="s">
        <v>34</v>
      </c>
      <c r="B16" t="s">
        <v>434</v>
      </c>
      <c r="C16" t="s">
        <v>17</v>
      </c>
      <c r="D16" t="s">
        <v>420</v>
      </c>
      <c r="E16">
        <v>1</v>
      </c>
      <c r="F16">
        <v>0</v>
      </c>
    </row>
    <row r="17" spans="1:6" x14ac:dyDescent="0.25">
      <c r="A17" t="s">
        <v>34</v>
      </c>
      <c r="B17" t="s">
        <v>434</v>
      </c>
      <c r="C17" t="s">
        <v>18</v>
      </c>
      <c r="D17" t="s">
        <v>421</v>
      </c>
      <c r="E17">
        <v>0.98559833688562515</v>
      </c>
      <c r="F17">
        <v>1.4401663114374852E-2</v>
      </c>
    </row>
    <row r="18" spans="1:6" x14ac:dyDescent="0.25">
      <c r="A18" t="s">
        <v>37</v>
      </c>
      <c r="B18" t="s">
        <v>435</v>
      </c>
      <c r="C18" t="s">
        <v>22</v>
      </c>
      <c r="D18" t="s">
        <v>425</v>
      </c>
      <c r="E18">
        <v>1</v>
      </c>
      <c r="F18">
        <v>0</v>
      </c>
    </row>
    <row r="19" spans="1:6" x14ac:dyDescent="0.25">
      <c r="A19" t="s">
        <v>37</v>
      </c>
      <c r="B19" t="s">
        <v>435</v>
      </c>
      <c r="C19" t="s">
        <v>23</v>
      </c>
      <c r="D19" t="s">
        <v>426</v>
      </c>
      <c r="E19">
        <v>1</v>
      </c>
      <c r="F19">
        <v>0</v>
      </c>
    </row>
    <row r="20" spans="1:6" x14ac:dyDescent="0.25">
      <c r="A20" t="s">
        <v>37</v>
      </c>
      <c r="B20" t="s">
        <v>435</v>
      </c>
      <c r="C20" t="s">
        <v>24</v>
      </c>
      <c r="D20" t="s">
        <v>427</v>
      </c>
      <c r="E20">
        <v>1</v>
      </c>
      <c r="F20">
        <v>0</v>
      </c>
    </row>
    <row r="21" spans="1:6" x14ac:dyDescent="0.25">
      <c r="A21" t="s">
        <v>37</v>
      </c>
      <c r="B21" t="s">
        <v>435</v>
      </c>
      <c r="C21" t="s">
        <v>25</v>
      </c>
      <c r="D21" t="s">
        <v>428</v>
      </c>
      <c r="E21">
        <v>1</v>
      </c>
      <c r="F21">
        <v>0</v>
      </c>
    </row>
    <row r="22" spans="1:6" x14ac:dyDescent="0.25">
      <c r="A22" t="s">
        <v>37</v>
      </c>
      <c r="B22" t="s">
        <v>435</v>
      </c>
      <c r="C22" t="s">
        <v>26</v>
      </c>
      <c r="D22" t="s">
        <v>429</v>
      </c>
      <c r="E22">
        <v>0.99031843912838846</v>
      </c>
      <c r="F22">
        <v>9.6815608716115387E-3</v>
      </c>
    </row>
    <row r="23" spans="1:6" x14ac:dyDescent="0.25">
      <c r="A23" t="s">
        <v>36</v>
      </c>
      <c r="B23" t="s">
        <v>436</v>
      </c>
      <c r="C23" t="s">
        <v>20</v>
      </c>
      <c r="D23" t="s">
        <v>423</v>
      </c>
      <c r="E23">
        <v>0.98730462008093378</v>
      </c>
      <c r="F23">
        <v>1.2695379919066219E-2</v>
      </c>
    </row>
    <row r="24" spans="1:6" x14ac:dyDescent="0.25">
      <c r="A24" t="s">
        <v>36</v>
      </c>
      <c r="B24" t="s">
        <v>436</v>
      </c>
      <c r="C24" t="s">
        <v>21</v>
      </c>
      <c r="D24" t="s">
        <v>424</v>
      </c>
      <c r="E24">
        <v>1</v>
      </c>
      <c r="F24">
        <v>0</v>
      </c>
    </row>
    <row r="25" spans="1:6" x14ac:dyDescent="0.25">
      <c r="A25" t="s">
        <v>29</v>
      </c>
      <c r="B25" t="s">
        <v>437</v>
      </c>
      <c r="C25" t="s">
        <v>7</v>
      </c>
      <c r="D25" t="s">
        <v>408</v>
      </c>
      <c r="E25">
        <v>1</v>
      </c>
      <c r="F25">
        <v>0</v>
      </c>
    </row>
    <row r="26" spans="1:6" x14ac:dyDescent="0.25">
      <c r="A26" t="s">
        <v>28</v>
      </c>
      <c r="B26" t="s">
        <v>438</v>
      </c>
      <c r="C26" t="s">
        <v>5</v>
      </c>
      <c r="D26" t="s">
        <v>406</v>
      </c>
      <c r="E26">
        <v>1</v>
      </c>
      <c r="F26">
        <v>0</v>
      </c>
    </row>
    <row r="27" spans="1:6" x14ac:dyDescent="0.25">
      <c r="A27" t="s">
        <v>28</v>
      </c>
      <c r="B27" t="s">
        <v>438</v>
      </c>
      <c r="C27" t="s">
        <v>6</v>
      </c>
      <c r="D27" t="s">
        <v>407</v>
      </c>
      <c r="E27">
        <v>0.71452048457503836</v>
      </c>
      <c r="F27">
        <v>0.28547951542496164</v>
      </c>
    </row>
    <row r="28" spans="1:6" x14ac:dyDescent="0.25">
      <c r="A28" t="s">
        <v>28</v>
      </c>
      <c r="B28" t="s">
        <v>438</v>
      </c>
      <c r="C28" t="s">
        <v>12</v>
      </c>
      <c r="D28" t="s">
        <v>415</v>
      </c>
      <c r="E28">
        <v>1</v>
      </c>
      <c r="F28">
        <v>0</v>
      </c>
    </row>
    <row r="29" spans="1:6" x14ac:dyDescent="0.25">
      <c r="A29" t="s">
        <v>28</v>
      </c>
      <c r="B29" t="s">
        <v>438</v>
      </c>
      <c r="C29" t="s">
        <v>19</v>
      </c>
      <c r="D29" t="s">
        <v>422</v>
      </c>
      <c r="E29">
        <v>1</v>
      </c>
      <c r="F29">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44"/>
  <sheetViews>
    <sheetView workbookViewId="0">
      <selection activeCell="B3" sqref="B3"/>
    </sheetView>
  </sheetViews>
  <sheetFormatPr defaultRowHeight="15" x14ac:dyDescent="0.25"/>
  <cols>
    <col min="1" max="1" width="14.7109375" bestFit="1" customWidth="1"/>
    <col min="2" max="2" width="12.42578125" bestFit="1" customWidth="1"/>
    <col min="3" max="3" width="13.28515625" bestFit="1" customWidth="1"/>
    <col min="4" max="4" width="31.85546875" customWidth="1"/>
    <col min="5" max="5" width="25.42578125" bestFit="1" customWidth="1"/>
    <col min="6" max="7" width="25.42578125" customWidth="1"/>
    <col min="8" max="8" width="18.7109375" bestFit="1" customWidth="1"/>
    <col min="9" max="9" width="19.42578125" bestFit="1" customWidth="1"/>
    <col min="10" max="10" width="20.5703125" customWidth="1"/>
    <col min="11" max="11" width="23.28515625"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84">
        <v>186</v>
      </c>
      <c r="B3" s="85" t="s">
        <v>8</v>
      </c>
      <c r="C3" s="85" t="s">
        <v>8</v>
      </c>
      <c r="D3" s="83" t="s">
        <v>64</v>
      </c>
      <c r="E3" s="83"/>
      <c r="F3" s="15" t="s">
        <v>8</v>
      </c>
      <c r="G3" s="15" t="s">
        <v>8</v>
      </c>
      <c r="H3" s="81">
        <v>9568</v>
      </c>
      <c r="I3" s="81">
        <v>3535452</v>
      </c>
      <c r="J3" t="s">
        <v>765</v>
      </c>
    </row>
    <row r="4" spans="1:10" x14ac:dyDescent="0.25">
      <c r="A4" s="17">
        <v>186</v>
      </c>
      <c r="B4" s="15" t="s">
        <v>8</v>
      </c>
      <c r="C4" s="15" t="s">
        <v>8</v>
      </c>
      <c r="D4" s="82" t="s">
        <v>479</v>
      </c>
      <c r="E4" s="82"/>
      <c r="F4" s="15" t="s">
        <v>8</v>
      </c>
      <c r="G4" s="15" t="s">
        <v>8</v>
      </c>
      <c r="H4" s="12">
        <v>8264</v>
      </c>
      <c r="I4" s="12">
        <v>3066387</v>
      </c>
      <c r="J4" t="s">
        <v>765</v>
      </c>
    </row>
    <row r="5" spans="1:10" x14ac:dyDescent="0.25">
      <c r="A5" s="17">
        <v>171</v>
      </c>
      <c r="B5" s="15" t="s">
        <v>8</v>
      </c>
      <c r="C5" s="15" t="s">
        <v>8</v>
      </c>
      <c r="D5" s="17" t="s">
        <v>65</v>
      </c>
      <c r="E5" s="17">
        <v>248</v>
      </c>
      <c r="F5" s="15" t="s">
        <v>8</v>
      </c>
      <c r="G5" s="15" t="s">
        <v>8</v>
      </c>
      <c r="H5" s="12">
        <v>4645949</v>
      </c>
      <c r="I5" s="12">
        <v>4992</v>
      </c>
    </row>
    <row r="6" spans="1:10" x14ac:dyDescent="0.25">
      <c r="A6" s="17">
        <v>186</v>
      </c>
      <c r="B6" s="15" t="s">
        <v>8</v>
      </c>
      <c r="C6" s="15" t="s">
        <v>8</v>
      </c>
      <c r="D6" s="17" t="s">
        <v>66</v>
      </c>
      <c r="E6" s="82"/>
      <c r="F6" s="15" t="s">
        <v>8</v>
      </c>
      <c r="G6" s="15" t="s">
        <v>8</v>
      </c>
      <c r="H6" s="12">
        <v>21048</v>
      </c>
      <c r="I6" s="12">
        <v>0</v>
      </c>
      <c r="J6" t="s">
        <v>765</v>
      </c>
    </row>
    <row r="7" spans="1:10" x14ac:dyDescent="0.25">
      <c r="A7" s="17">
        <v>186</v>
      </c>
      <c r="B7" s="15" t="s">
        <v>8</v>
      </c>
      <c r="C7" s="15" t="s">
        <v>8</v>
      </c>
      <c r="D7" s="82" t="s">
        <v>67</v>
      </c>
      <c r="E7" s="82"/>
      <c r="F7" s="82"/>
      <c r="G7" s="82"/>
      <c r="H7" s="12">
        <v>68987</v>
      </c>
      <c r="I7" s="12">
        <v>0</v>
      </c>
      <c r="J7" t="s">
        <v>486</v>
      </c>
    </row>
    <row r="8" spans="1:10" x14ac:dyDescent="0.25">
      <c r="A8" s="17">
        <v>136</v>
      </c>
      <c r="B8" s="15" t="s">
        <v>8</v>
      </c>
      <c r="C8" s="15" t="s">
        <v>8</v>
      </c>
      <c r="D8" s="17" t="s">
        <v>68</v>
      </c>
      <c r="E8" s="17">
        <v>171</v>
      </c>
      <c r="F8" s="15" t="s">
        <v>8</v>
      </c>
      <c r="G8" s="15" t="s">
        <v>8</v>
      </c>
      <c r="H8" s="12">
        <v>507930</v>
      </c>
      <c r="I8" s="12">
        <v>0</v>
      </c>
    </row>
    <row r="9" spans="1:10" x14ac:dyDescent="0.25">
      <c r="A9" s="17">
        <v>140</v>
      </c>
      <c r="B9" s="15" t="s">
        <v>8</v>
      </c>
      <c r="C9" s="15" t="s">
        <v>8</v>
      </c>
      <c r="D9" s="82" t="s">
        <v>69</v>
      </c>
      <c r="E9" s="82"/>
      <c r="F9" s="82"/>
      <c r="G9" s="82"/>
      <c r="H9" s="12">
        <v>915710</v>
      </c>
      <c r="I9" s="12">
        <v>0</v>
      </c>
      <c r="J9" t="s">
        <v>486</v>
      </c>
    </row>
    <row r="10" spans="1:10" x14ac:dyDescent="0.25">
      <c r="A10" s="17">
        <v>170</v>
      </c>
      <c r="B10" s="15" t="s">
        <v>8</v>
      </c>
      <c r="C10" s="15" t="s">
        <v>8</v>
      </c>
      <c r="D10" s="17" t="s">
        <v>70</v>
      </c>
      <c r="E10" s="17">
        <v>186</v>
      </c>
      <c r="F10" s="15" t="s">
        <v>8</v>
      </c>
      <c r="G10" s="15" t="s">
        <v>8</v>
      </c>
      <c r="H10" s="12">
        <v>687152</v>
      </c>
      <c r="I10" s="12">
        <v>1</v>
      </c>
    </row>
    <row r="11" spans="1:10" x14ac:dyDescent="0.25">
      <c r="A11" s="17">
        <v>172</v>
      </c>
      <c r="B11" s="15" t="s">
        <v>8</v>
      </c>
      <c r="C11" s="15" t="s">
        <v>8</v>
      </c>
      <c r="D11" s="17" t="s">
        <v>71</v>
      </c>
      <c r="E11" s="17">
        <v>171</v>
      </c>
      <c r="F11" s="15" t="s">
        <v>8</v>
      </c>
      <c r="G11" s="15" t="s">
        <v>8</v>
      </c>
      <c r="H11" s="12">
        <v>354155</v>
      </c>
      <c r="I11" s="12">
        <v>2233</v>
      </c>
    </row>
    <row r="12" spans="1:10" x14ac:dyDescent="0.25">
      <c r="A12" s="17">
        <v>248</v>
      </c>
      <c r="B12" s="15" t="s">
        <v>8</v>
      </c>
      <c r="C12" s="15" t="s">
        <v>8</v>
      </c>
      <c r="D12" s="17" t="s">
        <v>70</v>
      </c>
      <c r="E12" s="17">
        <v>186</v>
      </c>
      <c r="F12" s="15" t="s">
        <v>8</v>
      </c>
      <c r="G12" s="15" t="s">
        <v>8</v>
      </c>
      <c r="H12" s="12">
        <v>675157</v>
      </c>
      <c r="I12" s="12">
        <v>3161</v>
      </c>
    </row>
    <row r="13" spans="1:10" x14ac:dyDescent="0.25">
      <c r="A13" s="17">
        <v>234</v>
      </c>
      <c r="B13" s="15" t="s">
        <v>8</v>
      </c>
      <c r="C13" s="15" t="s">
        <v>8</v>
      </c>
      <c r="D13" s="17" t="s">
        <v>72</v>
      </c>
      <c r="E13" s="17">
        <v>140</v>
      </c>
      <c r="F13" s="15" t="s">
        <v>8</v>
      </c>
      <c r="G13" s="15" t="s">
        <v>8</v>
      </c>
      <c r="H13" s="12">
        <v>995908</v>
      </c>
      <c r="I13" s="12">
        <v>24344</v>
      </c>
    </row>
    <row r="14" spans="1:10" x14ac:dyDescent="0.25">
      <c r="A14" s="17">
        <v>171</v>
      </c>
      <c r="B14" s="15" t="s">
        <v>8</v>
      </c>
      <c r="C14" s="15" t="s">
        <v>8</v>
      </c>
      <c r="D14" s="17" t="s">
        <v>73</v>
      </c>
      <c r="E14" s="17">
        <v>262</v>
      </c>
      <c r="F14" s="15" t="s">
        <v>8</v>
      </c>
      <c r="G14" s="15" t="s">
        <v>8</v>
      </c>
      <c r="H14" s="12">
        <v>3247494</v>
      </c>
      <c r="I14" s="12">
        <v>45026</v>
      </c>
    </row>
    <row r="15" spans="1:10" x14ac:dyDescent="0.25">
      <c r="A15" s="17">
        <v>234</v>
      </c>
      <c r="B15" s="15" t="s">
        <v>8</v>
      </c>
      <c r="C15" s="15" t="s">
        <v>8</v>
      </c>
      <c r="D15" s="82" t="s">
        <v>74</v>
      </c>
      <c r="E15" s="82"/>
      <c r="F15" s="82"/>
      <c r="G15" s="82"/>
      <c r="H15" s="12">
        <v>217629</v>
      </c>
      <c r="I15" s="12">
        <v>96600</v>
      </c>
      <c r="J15" t="s">
        <v>482</v>
      </c>
    </row>
    <row r="16" spans="1:10" x14ac:dyDescent="0.25">
      <c r="A16" s="17">
        <v>234</v>
      </c>
      <c r="B16" s="15" t="s">
        <v>8</v>
      </c>
      <c r="C16" s="15" t="s">
        <v>8</v>
      </c>
      <c r="D16" s="17" t="s">
        <v>75</v>
      </c>
      <c r="E16" s="17">
        <v>253</v>
      </c>
      <c r="F16" s="15" t="s">
        <v>37</v>
      </c>
      <c r="G16" s="15" t="s">
        <v>24</v>
      </c>
      <c r="H16" s="12">
        <v>1879308</v>
      </c>
      <c r="I16" s="12">
        <v>103622</v>
      </c>
    </row>
    <row r="17" spans="1:10" x14ac:dyDescent="0.25">
      <c r="A17" s="17">
        <v>171</v>
      </c>
      <c r="B17" s="15" t="s">
        <v>8</v>
      </c>
      <c r="C17" s="15" t="s">
        <v>8</v>
      </c>
      <c r="D17" s="17" t="s">
        <v>76</v>
      </c>
      <c r="E17" s="17">
        <v>325</v>
      </c>
      <c r="F17" s="15" t="s">
        <v>8</v>
      </c>
      <c r="G17" s="15" t="s">
        <v>8</v>
      </c>
      <c r="H17" s="12">
        <v>28138</v>
      </c>
      <c r="I17" s="12">
        <v>118458</v>
      </c>
    </row>
    <row r="18" spans="1:10" x14ac:dyDescent="0.25">
      <c r="A18" s="17">
        <v>172</v>
      </c>
      <c r="B18" s="15" t="s">
        <v>8</v>
      </c>
      <c r="C18" s="15" t="s">
        <v>8</v>
      </c>
      <c r="D18" s="17" t="s">
        <v>77</v>
      </c>
      <c r="E18" s="17">
        <v>234</v>
      </c>
      <c r="F18" s="15" t="s">
        <v>8</v>
      </c>
      <c r="G18" s="15" t="s">
        <v>8</v>
      </c>
      <c r="H18" s="12">
        <v>31506</v>
      </c>
      <c r="I18" s="12">
        <v>153094</v>
      </c>
    </row>
    <row r="19" spans="1:10" x14ac:dyDescent="0.25">
      <c r="A19" s="17">
        <v>248</v>
      </c>
      <c r="B19" s="15" t="s">
        <v>8</v>
      </c>
      <c r="C19" s="15" t="s">
        <v>8</v>
      </c>
      <c r="D19" s="17" t="s">
        <v>78</v>
      </c>
      <c r="E19" s="17">
        <v>262</v>
      </c>
      <c r="F19" s="15" t="s">
        <v>8</v>
      </c>
      <c r="G19" s="15" t="s">
        <v>8</v>
      </c>
      <c r="H19" s="12">
        <v>668736</v>
      </c>
      <c r="I19" s="12">
        <v>204856</v>
      </c>
    </row>
    <row r="20" spans="1:10" x14ac:dyDescent="0.25">
      <c r="A20" s="17">
        <v>234</v>
      </c>
      <c r="B20" s="15" t="s">
        <v>8</v>
      </c>
      <c r="C20" s="15" t="s">
        <v>8</v>
      </c>
      <c r="D20" s="82" t="s">
        <v>79</v>
      </c>
      <c r="E20" s="82"/>
      <c r="F20" s="82"/>
      <c r="G20" s="82"/>
      <c r="H20" s="12">
        <v>976</v>
      </c>
      <c r="I20" s="12">
        <v>312426</v>
      </c>
      <c r="J20" t="s">
        <v>480</v>
      </c>
    </row>
    <row r="21" spans="1:10" x14ac:dyDescent="0.25">
      <c r="A21" s="17">
        <v>171</v>
      </c>
      <c r="B21" s="15" t="s">
        <v>8</v>
      </c>
      <c r="C21" s="15" t="s">
        <v>8</v>
      </c>
      <c r="D21" s="17" t="s">
        <v>80</v>
      </c>
      <c r="E21" s="17">
        <v>172</v>
      </c>
      <c r="F21" s="15" t="s">
        <v>8</v>
      </c>
      <c r="G21" s="15" t="s">
        <v>8</v>
      </c>
      <c r="H21" s="12">
        <v>2293</v>
      </c>
      <c r="I21" s="12">
        <v>354952</v>
      </c>
    </row>
    <row r="22" spans="1:10" x14ac:dyDescent="0.25">
      <c r="A22" s="17">
        <v>262</v>
      </c>
      <c r="B22" s="15" t="s">
        <v>8</v>
      </c>
      <c r="C22" s="15" t="s">
        <v>8</v>
      </c>
      <c r="D22" s="17" t="s">
        <v>81</v>
      </c>
      <c r="E22" s="17">
        <v>248</v>
      </c>
      <c r="F22" s="15" t="s">
        <v>8</v>
      </c>
      <c r="G22" s="15" t="s">
        <v>8</v>
      </c>
      <c r="H22" s="12">
        <v>204414</v>
      </c>
      <c r="I22" s="12">
        <v>668209</v>
      </c>
    </row>
    <row r="23" spans="1:10" x14ac:dyDescent="0.25">
      <c r="A23" s="17">
        <v>186</v>
      </c>
      <c r="B23" s="15" t="s">
        <v>8</v>
      </c>
      <c r="C23" s="15" t="s">
        <v>8</v>
      </c>
      <c r="D23" s="17" t="s">
        <v>82</v>
      </c>
      <c r="E23" s="17">
        <v>248</v>
      </c>
      <c r="F23" s="15" t="s">
        <v>8</v>
      </c>
      <c r="G23" s="15" t="s">
        <v>8</v>
      </c>
      <c r="H23" s="12">
        <v>3209</v>
      </c>
      <c r="I23" s="12">
        <v>675204</v>
      </c>
    </row>
    <row r="24" spans="1:10" x14ac:dyDescent="0.25">
      <c r="A24" s="17">
        <v>186</v>
      </c>
      <c r="B24" s="15" t="s">
        <v>8</v>
      </c>
      <c r="C24" s="15" t="s">
        <v>8</v>
      </c>
      <c r="D24" s="17" t="s">
        <v>83</v>
      </c>
      <c r="E24" s="17">
        <v>169</v>
      </c>
      <c r="F24" s="15" t="s">
        <v>8</v>
      </c>
      <c r="G24" s="15" t="s">
        <v>8</v>
      </c>
      <c r="H24" s="12">
        <v>1</v>
      </c>
      <c r="I24" s="12">
        <v>687151</v>
      </c>
    </row>
    <row r="25" spans="1:10" x14ac:dyDescent="0.25">
      <c r="A25" s="17">
        <v>171</v>
      </c>
      <c r="B25" s="15" t="s">
        <v>8</v>
      </c>
      <c r="C25" s="15" t="s">
        <v>8</v>
      </c>
      <c r="D25" s="17" t="s">
        <v>84</v>
      </c>
      <c r="E25" s="17">
        <v>136</v>
      </c>
      <c r="F25" s="15" t="s">
        <v>8</v>
      </c>
      <c r="G25" s="15" t="s">
        <v>8</v>
      </c>
      <c r="H25" s="12">
        <v>225698</v>
      </c>
      <c r="I25" s="12">
        <v>724642</v>
      </c>
    </row>
    <row r="26" spans="1:10" x14ac:dyDescent="0.25">
      <c r="A26" s="17">
        <v>170</v>
      </c>
      <c r="B26" s="15" t="s">
        <v>8</v>
      </c>
      <c r="C26" s="15" t="s">
        <v>8</v>
      </c>
      <c r="D26" s="17" t="s">
        <v>85</v>
      </c>
      <c r="E26" s="17">
        <v>262</v>
      </c>
      <c r="F26" s="15" t="s">
        <v>8</v>
      </c>
      <c r="G26" s="15" t="s">
        <v>8</v>
      </c>
      <c r="H26" s="12">
        <v>1911171</v>
      </c>
      <c r="I26" s="12">
        <v>726837</v>
      </c>
    </row>
    <row r="27" spans="1:10" x14ac:dyDescent="0.25">
      <c r="A27" s="17">
        <v>171</v>
      </c>
      <c r="B27" s="15" t="s">
        <v>8</v>
      </c>
      <c r="C27" s="15" t="s">
        <v>8</v>
      </c>
      <c r="D27" s="17" t="s">
        <v>86</v>
      </c>
      <c r="E27" s="17">
        <v>253</v>
      </c>
      <c r="F27" s="15" t="s">
        <v>37</v>
      </c>
      <c r="G27" s="15" t="s">
        <v>24</v>
      </c>
      <c r="H27" s="12">
        <v>5649500</v>
      </c>
      <c r="I27" s="12">
        <v>912008</v>
      </c>
    </row>
    <row r="28" spans="1:10" x14ac:dyDescent="0.25">
      <c r="A28" s="17">
        <v>140</v>
      </c>
      <c r="B28" s="15" t="s">
        <v>8</v>
      </c>
      <c r="C28" s="15" t="s">
        <v>8</v>
      </c>
      <c r="D28" s="17" t="s">
        <v>87</v>
      </c>
      <c r="E28" s="17">
        <v>234</v>
      </c>
      <c r="F28" s="15" t="s">
        <v>8</v>
      </c>
      <c r="G28" s="15" t="s">
        <v>8</v>
      </c>
      <c r="H28" s="12">
        <v>0</v>
      </c>
      <c r="I28" s="12">
        <v>971557</v>
      </c>
    </row>
    <row r="29" spans="1:10" x14ac:dyDescent="0.25">
      <c r="A29" s="17">
        <v>262</v>
      </c>
      <c r="B29" s="15" t="s">
        <v>8</v>
      </c>
      <c r="C29" s="15" t="s">
        <v>8</v>
      </c>
      <c r="D29" s="17" t="s">
        <v>87</v>
      </c>
      <c r="E29" s="17">
        <v>234</v>
      </c>
      <c r="F29" s="15" t="s">
        <v>8</v>
      </c>
      <c r="G29" s="15" t="s">
        <v>8</v>
      </c>
      <c r="H29" s="12">
        <v>5098913</v>
      </c>
      <c r="I29" s="12">
        <v>1777708</v>
      </c>
    </row>
    <row r="30" spans="1:10" x14ac:dyDescent="0.25">
      <c r="A30" s="17">
        <v>262</v>
      </c>
      <c r="B30" s="15" t="s">
        <v>8</v>
      </c>
      <c r="C30" s="15" t="s">
        <v>8</v>
      </c>
      <c r="D30" s="17" t="s">
        <v>88</v>
      </c>
      <c r="E30" s="17">
        <v>169</v>
      </c>
      <c r="F30" s="15" t="s">
        <v>8</v>
      </c>
      <c r="G30" s="15" t="s">
        <v>8</v>
      </c>
      <c r="H30" s="12">
        <v>723984</v>
      </c>
      <c r="I30" s="12">
        <v>1906683</v>
      </c>
    </row>
    <row r="31" spans="1:10" x14ac:dyDescent="0.25">
      <c r="A31" s="17">
        <v>234</v>
      </c>
      <c r="B31" s="15" t="s">
        <v>8</v>
      </c>
      <c r="C31" s="15" t="s">
        <v>8</v>
      </c>
      <c r="D31" s="17" t="s">
        <v>89</v>
      </c>
      <c r="E31" s="17">
        <v>248</v>
      </c>
      <c r="F31" s="15" t="s">
        <v>8</v>
      </c>
      <c r="G31" s="15" t="s">
        <v>8</v>
      </c>
      <c r="H31" s="12">
        <v>6849852</v>
      </c>
      <c r="I31" s="12">
        <v>1944678</v>
      </c>
    </row>
    <row r="32" spans="1:10" x14ac:dyDescent="0.25">
      <c r="A32" s="17">
        <v>171</v>
      </c>
      <c r="B32" s="15" t="s">
        <v>8</v>
      </c>
      <c r="C32" s="15" t="s">
        <v>8</v>
      </c>
      <c r="D32" s="17" t="s">
        <v>90</v>
      </c>
      <c r="E32" s="17">
        <v>186</v>
      </c>
      <c r="F32" s="15" t="s">
        <v>8</v>
      </c>
      <c r="G32" s="15" t="s">
        <v>8</v>
      </c>
      <c r="H32" s="12">
        <v>3991640</v>
      </c>
      <c r="I32" s="12">
        <v>2017226</v>
      </c>
    </row>
    <row r="33" spans="1:9" x14ac:dyDescent="0.25">
      <c r="A33" s="17">
        <v>186</v>
      </c>
      <c r="B33" s="15" t="s">
        <v>8</v>
      </c>
      <c r="C33" s="15" t="s">
        <v>8</v>
      </c>
      <c r="D33" s="17" t="s">
        <v>91</v>
      </c>
      <c r="E33" s="17">
        <v>171</v>
      </c>
      <c r="F33" s="15" t="s">
        <v>8</v>
      </c>
      <c r="G33" s="15" t="s">
        <v>8</v>
      </c>
      <c r="H33" s="12">
        <v>2017226</v>
      </c>
      <c r="I33" s="12">
        <v>2592367</v>
      </c>
    </row>
    <row r="34" spans="1:9" x14ac:dyDescent="0.25">
      <c r="A34" s="17">
        <v>234</v>
      </c>
      <c r="B34" s="15" t="s">
        <v>8</v>
      </c>
      <c r="C34" s="15" t="s">
        <v>8</v>
      </c>
      <c r="D34" s="17" t="s">
        <v>92</v>
      </c>
      <c r="E34" s="17">
        <v>171</v>
      </c>
      <c r="F34" s="15" t="s">
        <v>8</v>
      </c>
      <c r="G34" s="15" t="s">
        <v>8</v>
      </c>
      <c r="H34" s="12">
        <v>7882354</v>
      </c>
      <c r="I34" s="12">
        <v>2812326</v>
      </c>
    </row>
    <row r="35" spans="1:9" x14ac:dyDescent="0.25">
      <c r="A35" s="17">
        <v>262</v>
      </c>
      <c r="B35" s="15" t="s">
        <v>8</v>
      </c>
      <c r="C35" s="15" t="s">
        <v>8</v>
      </c>
      <c r="D35" s="17" t="s">
        <v>71</v>
      </c>
      <c r="E35" s="17">
        <v>171</v>
      </c>
      <c r="F35" s="15" t="s">
        <v>8</v>
      </c>
      <c r="G35" s="15" t="s">
        <v>8</v>
      </c>
      <c r="H35" s="12">
        <v>45013</v>
      </c>
      <c r="I35" s="12">
        <v>3239215</v>
      </c>
    </row>
    <row r="36" spans="1:9" x14ac:dyDescent="0.25">
      <c r="A36" s="17">
        <v>170</v>
      </c>
      <c r="B36" s="15" t="s">
        <v>8</v>
      </c>
      <c r="C36" s="15" t="s">
        <v>8</v>
      </c>
      <c r="D36" s="17" t="s">
        <v>93</v>
      </c>
      <c r="E36" s="17">
        <v>171</v>
      </c>
      <c r="F36" s="15" t="s">
        <v>8</v>
      </c>
      <c r="G36" s="15" t="s">
        <v>8</v>
      </c>
      <c r="H36" s="12">
        <v>4508537</v>
      </c>
      <c r="I36" s="12">
        <v>4089497</v>
      </c>
    </row>
    <row r="37" spans="1:9" x14ac:dyDescent="0.25">
      <c r="A37" s="17">
        <v>186</v>
      </c>
      <c r="B37" s="15" t="s">
        <v>8</v>
      </c>
      <c r="C37" s="15" t="s">
        <v>8</v>
      </c>
      <c r="D37" s="17" t="s">
        <v>94</v>
      </c>
      <c r="E37" s="17">
        <v>253</v>
      </c>
      <c r="F37" s="15" t="s">
        <v>37</v>
      </c>
      <c r="G37" s="15" t="s">
        <v>24</v>
      </c>
      <c r="H37" s="12">
        <v>10580</v>
      </c>
      <c r="I37" s="12">
        <v>4183218</v>
      </c>
    </row>
    <row r="38" spans="1:9" x14ac:dyDescent="0.25">
      <c r="A38" s="17">
        <v>171</v>
      </c>
      <c r="B38" s="15" t="s">
        <v>8</v>
      </c>
      <c r="C38" s="15" t="s">
        <v>8</v>
      </c>
      <c r="D38" s="17" t="s">
        <v>95</v>
      </c>
      <c r="E38" s="17">
        <v>169</v>
      </c>
      <c r="F38" s="15" t="s">
        <v>8</v>
      </c>
      <c r="G38" s="15" t="s">
        <v>8</v>
      </c>
      <c r="H38" s="12">
        <v>2173035</v>
      </c>
      <c r="I38" s="12">
        <v>4490414</v>
      </c>
    </row>
    <row r="39" spans="1:9" x14ac:dyDescent="0.25">
      <c r="A39" s="17">
        <v>234</v>
      </c>
      <c r="B39" s="15" t="s">
        <v>8</v>
      </c>
      <c r="C39" s="15" t="s">
        <v>8</v>
      </c>
      <c r="D39" s="17" t="s">
        <v>96</v>
      </c>
      <c r="E39" s="17">
        <v>262</v>
      </c>
      <c r="F39" s="15" t="s">
        <v>8</v>
      </c>
      <c r="G39" s="15" t="s">
        <v>8</v>
      </c>
      <c r="H39" s="12">
        <v>1782753</v>
      </c>
      <c r="I39" s="12">
        <v>5113414</v>
      </c>
    </row>
    <row r="40" spans="1:9" x14ac:dyDescent="0.25">
      <c r="A40" s="17">
        <v>248</v>
      </c>
      <c r="B40" s="15" t="s">
        <v>8</v>
      </c>
      <c r="C40" s="15" t="s">
        <v>8</v>
      </c>
      <c r="D40" s="17" t="s">
        <v>97</v>
      </c>
      <c r="E40" s="17">
        <v>171</v>
      </c>
      <c r="F40" s="15" t="s">
        <v>8</v>
      </c>
      <c r="G40" s="15" t="s">
        <v>8</v>
      </c>
      <c r="H40" s="12">
        <v>34098</v>
      </c>
      <c r="I40" s="12">
        <v>6219074</v>
      </c>
    </row>
    <row r="41" spans="1:9" x14ac:dyDescent="0.25">
      <c r="A41" s="17">
        <v>234</v>
      </c>
      <c r="B41" s="15" t="s">
        <v>8</v>
      </c>
      <c r="C41" s="15" t="s">
        <v>8</v>
      </c>
      <c r="D41" s="17" t="s">
        <v>98</v>
      </c>
      <c r="E41" s="17">
        <v>169</v>
      </c>
      <c r="F41" s="15" t="s">
        <v>8</v>
      </c>
      <c r="G41" s="15" t="s">
        <v>8</v>
      </c>
      <c r="H41" s="12">
        <v>9637069</v>
      </c>
      <c r="I41" s="12">
        <v>6286773</v>
      </c>
    </row>
    <row r="42" spans="1:9" x14ac:dyDescent="0.25">
      <c r="A42" s="17">
        <v>248</v>
      </c>
      <c r="B42" s="15" t="s">
        <v>8</v>
      </c>
      <c r="C42" s="15" t="s">
        <v>8</v>
      </c>
      <c r="D42" s="17" t="s">
        <v>87</v>
      </c>
      <c r="E42" s="17">
        <v>234</v>
      </c>
      <c r="F42" s="15" t="s">
        <v>8</v>
      </c>
      <c r="G42" s="15" t="s">
        <v>8</v>
      </c>
      <c r="H42" s="12">
        <v>1965716</v>
      </c>
      <c r="I42" s="12">
        <v>6870890</v>
      </c>
    </row>
    <row r="43" spans="1:9" x14ac:dyDescent="0.25">
      <c r="A43" s="17">
        <v>171</v>
      </c>
      <c r="B43" s="15" t="s">
        <v>8</v>
      </c>
      <c r="C43" s="15" t="s">
        <v>8</v>
      </c>
      <c r="D43" s="17" t="s">
        <v>99</v>
      </c>
      <c r="E43" s="17">
        <v>234</v>
      </c>
      <c r="F43" s="15" t="s">
        <v>8</v>
      </c>
      <c r="G43" s="15" t="s">
        <v>8</v>
      </c>
      <c r="H43" s="12">
        <v>2838580</v>
      </c>
      <c r="I43" s="12">
        <v>7908616</v>
      </c>
    </row>
    <row r="44" spans="1:9" x14ac:dyDescent="0.25">
      <c r="A44" s="17">
        <v>170</v>
      </c>
      <c r="B44" s="15" t="s">
        <v>8</v>
      </c>
      <c r="C44" s="15" t="s">
        <v>8</v>
      </c>
      <c r="D44" s="17" t="s">
        <v>87</v>
      </c>
      <c r="E44" s="17">
        <v>234</v>
      </c>
      <c r="F44" s="15" t="s">
        <v>8</v>
      </c>
      <c r="G44" s="15" t="s">
        <v>8</v>
      </c>
      <c r="H44" s="12">
        <v>6275391</v>
      </c>
      <c r="I44" s="12">
        <v>9625487</v>
      </c>
    </row>
  </sheetData>
  <mergeCells count="3">
    <mergeCell ref="A1:C1"/>
    <mergeCell ref="H1:I1"/>
    <mergeCell ref="D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19.710937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855468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sheetData>
  <mergeCells count="3">
    <mergeCell ref="A1:C1"/>
    <mergeCell ref="D1:G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10"/>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21.71093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272</v>
      </c>
      <c r="B3" s="15" t="s">
        <v>33</v>
      </c>
      <c r="C3" s="15" t="s">
        <v>10</v>
      </c>
      <c r="D3" s="10" t="s">
        <v>489</v>
      </c>
      <c r="E3" s="10">
        <v>118</v>
      </c>
      <c r="F3" s="15" t="s">
        <v>37</v>
      </c>
      <c r="G3" s="15" t="s">
        <v>23</v>
      </c>
      <c r="H3" s="12">
        <v>262292</v>
      </c>
      <c r="I3" s="12">
        <v>21890</v>
      </c>
    </row>
    <row r="4" spans="1:10" x14ac:dyDescent="0.25">
      <c r="A4" s="17">
        <v>272</v>
      </c>
      <c r="B4" s="15" t="s">
        <v>33</v>
      </c>
      <c r="C4" s="15" t="s">
        <v>10</v>
      </c>
      <c r="D4" s="13" t="s">
        <v>488</v>
      </c>
      <c r="E4" s="87"/>
      <c r="F4" s="87"/>
      <c r="G4" s="87"/>
      <c r="H4" s="12">
        <v>90239</v>
      </c>
      <c r="I4" s="12">
        <v>53655</v>
      </c>
    </row>
    <row r="5" spans="1:10" x14ac:dyDescent="0.25">
      <c r="A5" s="17">
        <v>272</v>
      </c>
      <c r="B5" s="15" t="s">
        <v>33</v>
      </c>
      <c r="C5" s="15" t="s">
        <v>10</v>
      </c>
      <c r="D5" s="82" t="s">
        <v>487</v>
      </c>
      <c r="E5" s="82"/>
      <c r="F5" s="15" t="s">
        <v>33</v>
      </c>
      <c r="G5" s="15" t="s">
        <v>10</v>
      </c>
      <c r="H5" s="17">
        <v>268131</v>
      </c>
      <c r="I5" s="12">
        <v>57374</v>
      </c>
      <c r="J5" t="s">
        <v>765</v>
      </c>
    </row>
    <row r="6" spans="1:10" x14ac:dyDescent="0.25">
      <c r="A6" s="17">
        <v>272</v>
      </c>
      <c r="B6" s="15" t="s">
        <v>33</v>
      </c>
      <c r="C6" s="15" t="s">
        <v>10</v>
      </c>
      <c r="D6" s="17" t="s">
        <v>100</v>
      </c>
      <c r="E6" s="17">
        <v>275</v>
      </c>
      <c r="F6" s="15" t="s">
        <v>28</v>
      </c>
      <c r="G6" s="15" t="s">
        <v>12</v>
      </c>
      <c r="H6" s="12">
        <v>545174</v>
      </c>
      <c r="I6" s="12">
        <v>74940</v>
      </c>
    </row>
    <row r="7" spans="1:10" x14ac:dyDescent="0.25">
      <c r="A7" s="17">
        <v>272</v>
      </c>
      <c r="B7" s="15" t="s">
        <v>33</v>
      </c>
      <c r="C7" s="15" t="s">
        <v>10</v>
      </c>
      <c r="D7" s="82" t="s">
        <v>101</v>
      </c>
      <c r="E7" s="82"/>
      <c r="F7" s="15" t="s">
        <v>33</v>
      </c>
      <c r="G7" s="15" t="s">
        <v>10</v>
      </c>
      <c r="H7" s="17">
        <v>324389</v>
      </c>
      <c r="I7" s="17">
        <v>77476</v>
      </c>
      <c r="J7" t="s">
        <v>765</v>
      </c>
    </row>
    <row r="8" spans="1:10" x14ac:dyDescent="0.25">
      <c r="A8" s="17">
        <v>272</v>
      </c>
      <c r="B8" s="15" t="s">
        <v>33</v>
      </c>
      <c r="C8" s="15" t="s">
        <v>10</v>
      </c>
      <c r="D8" s="17" t="s">
        <v>102</v>
      </c>
      <c r="E8" s="17">
        <v>257</v>
      </c>
      <c r="F8" s="15" t="s">
        <v>33</v>
      </c>
      <c r="G8" s="15" t="s">
        <v>10</v>
      </c>
      <c r="H8" s="17">
        <v>2450312</v>
      </c>
      <c r="I8" s="17">
        <v>4768138</v>
      </c>
      <c r="J8" t="s">
        <v>494</v>
      </c>
    </row>
    <row r="9" spans="1:10" x14ac:dyDescent="0.25">
      <c r="A9" s="17">
        <v>272</v>
      </c>
      <c r="B9" s="15" t="s">
        <v>33</v>
      </c>
      <c r="C9" s="15" t="s">
        <v>10</v>
      </c>
      <c r="D9" s="17" t="s">
        <v>103</v>
      </c>
      <c r="E9" s="17">
        <v>321</v>
      </c>
      <c r="F9" s="15" t="s">
        <v>33</v>
      </c>
      <c r="G9" s="15" t="s">
        <v>10</v>
      </c>
      <c r="H9" s="17">
        <v>18211901</v>
      </c>
      <c r="I9" s="17">
        <v>19456098</v>
      </c>
      <c r="J9" t="s">
        <v>494</v>
      </c>
    </row>
    <row r="10" spans="1:10" x14ac:dyDescent="0.25">
      <c r="A10" s="17">
        <v>321</v>
      </c>
      <c r="B10" s="15" t="s">
        <v>33</v>
      </c>
      <c r="C10" s="15" t="s">
        <v>10</v>
      </c>
      <c r="D10" s="17" t="s">
        <v>168</v>
      </c>
      <c r="E10" s="17">
        <v>272</v>
      </c>
      <c r="F10" s="15" t="s">
        <v>33</v>
      </c>
      <c r="G10" s="15" t="s">
        <v>10</v>
      </c>
      <c r="H10" s="17">
        <v>19455567</v>
      </c>
      <c r="I10" s="17">
        <v>18211370</v>
      </c>
    </row>
  </sheetData>
  <mergeCells count="3">
    <mergeCell ref="A1:C1"/>
    <mergeCell ref="D1:G1"/>
    <mergeCell ref="H1:I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9"/>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2.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5.5703125" bestFit="1" customWidth="1"/>
  </cols>
  <sheetData>
    <row r="1" spans="1:11" x14ac:dyDescent="0.25">
      <c r="A1" s="139" t="s">
        <v>476</v>
      </c>
      <c r="B1" s="139"/>
      <c r="C1" s="139"/>
      <c r="D1" s="140" t="s">
        <v>477</v>
      </c>
      <c r="E1" s="141"/>
      <c r="F1" s="141"/>
      <c r="G1" s="142"/>
      <c r="H1" s="139" t="s">
        <v>478</v>
      </c>
      <c r="I1" s="139"/>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185</v>
      </c>
      <c r="B3" s="15" t="s">
        <v>35</v>
      </c>
      <c r="C3" s="15" t="s">
        <v>11</v>
      </c>
      <c r="D3" s="13" t="s">
        <v>104</v>
      </c>
      <c r="E3" s="87"/>
      <c r="F3" s="87"/>
      <c r="G3" s="87"/>
      <c r="H3" s="12">
        <v>13271000</v>
      </c>
      <c r="I3" s="12">
        <v>4000</v>
      </c>
    </row>
    <row r="4" spans="1:11" x14ac:dyDescent="0.25">
      <c r="A4" s="17">
        <v>185</v>
      </c>
      <c r="B4" s="15" t="s">
        <v>35</v>
      </c>
      <c r="C4" s="15" t="s">
        <v>11</v>
      </c>
      <c r="D4" s="82" t="s">
        <v>105</v>
      </c>
      <c r="E4" s="82"/>
      <c r="F4" s="82"/>
      <c r="G4" s="82"/>
      <c r="H4" s="12">
        <v>3546000</v>
      </c>
      <c r="I4" s="12">
        <v>26000</v>
      </c>
      <c r="J4" t="s">
        <v>486</v>
      </c>
    </row>
    <row r="5" spans="1:11" x14ac:dyDescent="0.25">
      <c r="A5" s="17">
        <v>185</v>
      </c>
      <c r="B5" s="15" t="s">
        <v>35</v>
      </c>
      <c r="C5" s="15" t="s">
        <v>11</v>
      </c>
      <c r="D5" s="82" t="s">
        <v>106</v>
      </c>
      <c r="E5" s="82"/>
      <c r="F5" s="15" t="s">
        <v>35</v>
      </c>
      <c r="G5" s="15" t="s">
        <v>13</v>
      </c>
      <c r="H5" s="17">
        <v>6486000</v>
      </c>
      <c r="I5" s="17">
        <v>2578000</v>
      </c>
      <c r="J5" t="s">
        <v>485</v>
      </c>
    </row>
    <row r="6" spans="1:11" x14ac:dyDescent="0.25">
      <c r="A6" s="17">
        <v>211</v>
      </c>
      <c r="B6" s="15" t="s">
        <v>35</v>
      </c>
      <c r="C6" s="15" t="s">
        <v>13</v>
      </c>
      <c r="D6" s="17" t="s">
        <v>107</v>
      </c>
      <c r="E6" s="17">
        <v>185</v>
      </c>
      <c r="F6" s="15" t="s">
        <v>35</v>
      </c>
      <c r="G6" s="15" t="s">
        <v>11</v>
      </c>
      <c r="H6" s="17">
        <v>5406771</v>
      </c>
      <c r="I6" s="17">
        <v>0</v>
      </c>
    </row>
    <row r="7" spans="1:11" ht="14.45" customHeight="1" x14ac:dyDescent="0.25">
      <c r="A7" s="17">
        <v>211</v>
      </c>
      <c r="B7" s="15" t="s">
        <v>35</v>
      </c>
      <c r="C7" s="15" t="s">
        <v>13</v>
      </c>
      <c r="D7" s="13" t="s">
        <v>108</v>
      </c>
      <c r="E7" s="87"/>
      <c r="F7" s="87"/>
      <c r="G7" s="87"/>
      <c r="H7" s="82">
        <v>0</v>
      </c>
      <c r="I7" s="82">
        <v>7180327</v>
      </c>
      <c r="J7" t="s">
        <v>484</v>
      </c>
      <c r="K7" s="59"/>
    </row>
    <row r="8" spans="1:11" x14ac:dyDescent="0.25">
      <c r="A8" s="17">
        <v>211</v>
      </c>
      <c r="B8" s="15" t="s">
        <v>35</v>
      </c>
      <c r="C8" s="15" t="s">
        <v>13</v>
      </c>
      <c r="D8" s="17" t="s">
        <v>109</v>
      </c>
      <c r="E8" s="17">
        <v>230</v>
      </c>
      <c r="F8" s="15" t="s">
        <v>34</v>
      </c>
      <c r="G8" s="15" t="s">
        <v>16</v>
      </c>
      <c r="H8" s="82">
        <v>0</v>
      </c>
      <c r="I8" s="82">
        <v>8722255</v>
      </c>
      <c r="J8" t="s">
        <v>484</v>
      </c>
      <c r="K8" s="59"/>
    </row>
    <row r="9" spans="1:11" x14ac:dyDescent="0.25">
      <c r="A9" s="17">
        <v>211</v>
      </c>
      <c r="B9" s="15" t="s">
        <v>35</v>
      </c>
      <c r="C9" s="15" t="s">
        <v>13</v>
      </c>
      <c r="D9" s="13" t="s">
        <v>110</v>
      </c>
      <c r="E9" s="87"/>
      <c r="F9" s="87"/>
      <c r="G9" s="87"/>
      <c r="H9" s="82">
        <v>0</v>
      </c>
      <c r="I9" s="82">
        <v>8839761</v>
      </c>
      <c r="J9" t="s">
        <v>484</v>
      </c>
      <c r="K9" s="59"/>
    </row>
  </sheetData>
  <mergeCells count="3">
    <mergeCell ref="A1:C1"/>
    <mergeCell ref="D1:G1"/>
    <mergeCell ref="H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J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34.285156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230</v>
      </c>
      <c r="B3" s="15" t="s">
        <v>34</v>
      </c>
      <c r="C3" s="15" t="s">
        <v>16</v>
      </c>
      <c r="D3" s="82" t="s">
        <v>111</v>
      </c>
      <c r="E3" s="82"/>
      <c r="F3" s="15" t="s">
        <v>34</v>
      </c>
      <c r="G3" s="15" t="s">
        <v>16</v>
      </c>
      <c r="H3" s="12">
        <v>15142</v>
      </c>
      <c r="I3" s="12">
        <v>542230</v>
      </c>
      <c r="J3" t="s">
        <v>765</v>
      </c>
    </row>
    <row r="4" spans="1:10" x14ac:dyDescent="0.25">
      <c r="A4" s="17">
        <v>230</v>
      </c>
      <c r="B4" s="15" t="s">
        <v>34</v>
      </c>
      <c r="C4" s="15" t="s">
        <v>16</v>
      </c>
      <c r="D4" s="82" t="s">
        <v>112</v>
      </c>
      <c r="E4" s="82"/>
      <c r="F4" s="15" t="s">
        <v>34</v>
      </c>
      <c r="G4" s="15" t="s">
        <v>16</v>
      </c>
      <c r="H4" s="12">
        <v>311459</v>
      </c>
      <c r="I4" s="12">
        <v>753445</v>
      </c>
      <c r="J4" t="s">
        <v>765</v>
      </c>
    </row>
    <row r="5" spans="1:10" x14ac:dyDescent="0.25">
      <c r="A5" s="17">
        <v>230</v>
      </c>
      <c r="B5" s="15" t="s">
        <v>34</v>
      </c>
      <c r="C5" s="15" t="s">
        <v>16</v>
      </c>
      <c r="D5" s="17" t="s">
        <v>113</v>
      </c>
      <c r="E5" s="17">
        <v>157</v>
      </c>
      <c r="F5" s="15" t="s">
        <v>37</v>
      </c>
      <c r="G5" s="15" t="s">
        <v>26</v>
      </c>
      <c r="H5" s="12">
        <v>1043700</v>
      </c>
      <c r="I5" s="12">
        <v>1502276</v>
      </c>
    </row>
    <row r="6" spans="1:10" x14ac:dyDescent="0.25">
      <c r="A6" s="17">
        <v>230</v>
      </c>
      <c r="B6" s="15" t="s">
        <v>34</v>
      </c>
      <c r="C6" s="15" t="s">
        <v>16</v>
      </c>
      <c r="D6" s="17" t="s">
        <v>114</v>
      </c>
      <c r="E6" s="17">
        <v>263</v>
      </c>
      <c r="F6" s="15" t="s">
        <v>37</v>
      </c>
      <c r="G6" s="15" t="s">
        <v>25</v>
      </c>
      <c r="H6" s="12">
        <v>7834573</v>
      </c>
      <c r="I6" s="12">
        <v>2301383</v>
      </c>
    </row>
    <row r="7" spans="1:10" x14ac:dyDescent="0.25">
      <c r="A7" s="17">
        <v>230</v>
      </c>
      <c r="B7" s="15" t="s">
        <v>34</v>
      </c>
      <c r="C7" s="15" t="s">
        <v>16</v>
      </c>
      <c r="D7" s="17" t="s">
        <v>115</v>
      </c>
      <c r="E7" s="17">
        <v>233</v>
      </c>
      <c r="F7" s="15" t="s">
        <v>37</v>
      </c>
      <c r="G7" s="15" t="s">
        <v>26</v>
      </c>
      <c r="H7" s="12">
        <v>8534103</v>
      </c>
      <c r="I7" s="12">
        <v>2853340</v>
      </c>
    </row>
    <row r="8" spans="1:10" x14ac:dyDescent="0.25">
      <c r="A8" s="17">
        <v>230</v>
      </c>
      <c r="B8" s="15" t="s">
        <v>34</v>
      </c>
      <c r="C8" s="15" t="s">
        <v>16</v>
      </c>
      <c r="D8" s="17" t="s">
        <v>116</v>
      </c>
      <c r="E8" s="17">
        <v>219</v>
      </c>
      <c r="F8" s="15" t="s">
        <v>34</v>
      </c>
      <c r="G8" s="15" t="s">
        <v>18</v>
      </c>
      <c r="H8" s="17">
        <v>16212744</v>
      </c>
      <c r="I8" s="17">
        <v>3193413</v>
      </c>
    </row>
    <row r="9" spans="1:10" x14ac:dyDescent="0.25">
      <c r="A9" s="17">
        <v>230</v>
      </c>
      <c r="B9" s="15" t="s">
        <v>34</v>
      </c>
      <c r="C9" s="15" t="s">
        <v>16</v>
      </c>
      <c r="D9" s="82" t="s">
        <v>117</v>
      </c>
      <c r="E9" s="82"/>
      <c r="F9" s="15" t="s">
        <v>35</v>
      </c>
      <c r="G9" s="15" t="s">
        <v>14</v>
      </c>
      <c r="H9" s="12">
        <v>92144</v>
      </c>
      <c r="I9" s="12">
        <v>4575834</v>
      </c>
      <c r="J9" t="s">
        <v>765</v>
      </c>
    </row>
    <row r="10" spans="1:10" x14ac:dyDescent="0.25">
      <c r="A10" s="17">
        <v>230</v>
      </c>
      <c r="B10" s="15" t="s">
        <v>34</v>
      </c>
      <c r="C10" s="15" t="s">
        <v>16</v>
      </c>
      <c r="D10" s="17" t="s">
        <v>118</v>
      </c>
      <c r="E10" s="17">
        <v>197</v>
      </c>
      <c r="F10" s="15" t="s">
        <v>37</v>
      </c>
      <c r="G10" s="15" t="s">
        <v>25</v>
      </c>
      <c r="H10" s="12">
        <v>9827759</v>
      </c>
      <c r="I10" s="12">
        <v>6508146</v>
      </c>
    </row>
    <row r="11" spans="1:10" x14ac:dyDescent="0.25">
      <c r="A11" s="17">
        <v>230</v>
      </c>
      <c r="B11" s="15" t="s">
        <v>34</v>
      </c>
      <c r="C11" s="15" t="s">
        <v>16</v>
      </c>
      <c r="D11" s="17" t="s">
        <v>119</v>
      </c>
      <c r="E11" s="17">
        <v>211</v>
      </c>
      <c r="F11" s="15" t="s">
        <v>35</v>
      </c>
      <c r="G11" s="15" t="s">
        <v>13</v>
      </c>
      <c r="H11" s="17">
        <v>11842428</v>
      </c>
      <c r="I11" s="17">
        <v>15102572</v>
      </c>
    </row>
    <row r="12" spans="1:10" x14ac:dyDescent="0.25">
      <c r="A12" s="17">
        <v>230</v>
      </c>
      <c r="B12" s="15" t="s">
        <v>34</v>
      </c>
      <c r="C12" s="15" t="s">
        <v>16</v>
      </c>
      <c r="D12" s="17" t="s">
        <v>120</v>
      </c>
      <c r="E12" s="17">
        <v>321</v>
      </c>
      <c r="F12" s="15" t="s">
        <v>34</v>
      </c>
      <c r="G12" s="15" t="s">
        <v>18</v>
      </c>
      <c r="H12" s="17">
        <v>48284923</v>
      </c>
      <c r="I12" s="17">
        <v>62010744</v>
      </c>
      <c r="J12" t="s">
        <v>491</v>
      </c>
    </row>
    <row r="13" spans="1:10" x14ac:dyDescent="0.25">
      <c r="A13" s="17">
        <v>219</v>
      </c>
      <c r="B13" s="15" t="s">
        <v>34</v>
      </c>
      <c r="C13" s="15" t="s">
        <v>18</v>
      </c>
      <c r="D13" s="17" t="s">
        <v>121</v>
      </c>
      <c r="E13" s="17">
        <v>197</v>
      </c>
      <c r="F13" s="15" t="s">
        <v>37</v>
      </c>
      <c r="G13" s="15" t="s">
        <v>25</v>
      </c>
      <c r="H13" s="12">
        <v>2665368</v>
      </c>
      <c r="I13" s="12">
        <v>596493</v>
      </c>
    </row>
    <row r="14" spans="1:10" x14ac:dyDescent="0.25">
      <c r="A14" s="17">
        <v>219</v>
      </c>
      <c r="B14" s="15" t="s">
        <v>34</v>
      </c>
      <c r="C14" s="15" t="s">
        <v>18</v>
      </c>
      <c r="D14" s="17" t="s">
        <v>122</v>
      </c>
      <c r="E14" s="17">
        <v>230</v>
      </c>
      <c r="F14" s="15" t="s">
        <v>34</v>
      </c>
      <c r="G14" s="15" t="s">
        <v>16</v>
      </c>
      <c r="H14" s="17">
        <v>3199575</v>
      </c>
      <c r="I14" s="17">
        <v>16219093</v>
      </c>
    </row>
    <row r="15" spans="1:10" x14ac:dyDescent="0.25">
      <c r="A15" s="17">
        <v>321</v>
      </c>
      <c r="B15" s="15" t="s">
        <v>34</v>
      </c>
      <c r="C15" s="15" t="s">
        <v>18</v>
      </c>
      <c r="D15" s="17" t="s">
        <v>347</v>
      </c>
      <c r="E15" s="17">
        <v>163</v>
      </c>
      <c r="F15" s="15" t="s">
        <v>36</v>
      </c>
      <c r="G15" s="15" t="s">
        <v>20</v>
      </c>
      <c r="H15" s="12">
        <v>152194</v>
      </c>
      <c r="I15" s="12">
        <v>5404</v>
      </c>
    </row>
    <row r="16" spans="1:10" x14ac:dyDescent="0.25">
      <c r="A16" s="17">
        <v>321</v>
      </c>
      <c r="B16" s="15" t="s">
        <v>34</v>
      </c>
      <c r="C16" s="15" t="s">
        <v>18</v>
      </c>
      <c r="D16" s="17" t="s">
        <v>122</v>
      </c>
      <c r="E16" s="17">
        <v>230</v>
      </c>
      <c r="F16" s="15" t="s">
        <v>34</v>
      </c>
      <c r="G16" s="15" t="s">
        <v>16</v>
      </c>
      <c r="H16" s="12">
        <v>65010744</v>
      </c>
      <c r="I16" s="12">
        <v>46574028</v>
      </c>
    </row>
  </sheetData>
  <mergeCells count="3">
    <mergeCell ref="A1:C1"/>
    <mergeCell ref="D1:G1"/>
    <mergeCell ref="H1:I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73"/>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5.7109375" bestFit="1" customWidth="1"/>
    <col min="5" max="5" width="25.42578125" bestFit="1" customWidth="1"/>
    <col min="6" max="6" width="14.85546875" bestFit="1" customWidth="1"/>
    <col min="7" max="7" width="13.28515625" bestFit="1" customWidth="1"/>
    <col min="8" max="8" width="18.7109375" bestFit="1" customWidth="1"/>
    <col min="9" max="9" width="19.42578125" bestFit="1" customWidth="1"/>
    <col min="10" max="10" width="5.85546875" bestFit="1" customWidth="1"/>
  </cols>
  <sheetData>
    <row r="1" spans="1:11" x14ac:dyDescent="0.25">
      <c r="A1" s="139" t="s">
        <v>476</v>
      </c>
      <c r="B1" s="139"/>
      <c r="C1" s="139"/>
      <c r="D1" s="140" t="s">
        <v>477</v>
      </c>
      <c r="E1" s="141"/>
      <c r="F1" s="141"/>
      <c r="G1" s="142"/>
      <c r="H1" s="139" t="s">
        <v>478</v>
      </c>
      <c r="I1" s="139"/>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118</v>
      </c>
      <c r="B3" s="15" t="s">
        <v>37</v>
      </c>
      <c r="C3" s="15" t="s">
        <v>23</v>
      </c>
      <c r="D3" s="17" t="s">
        <v>123</v>
      </c>
      <c r="E3" s="17">
        <v>272</v>
      </c>
      <c r="F3" s="15" t="s">
        <v>28</v>
      </c>
      <c r="G3" s="15" t="s">
        <v>12</v>
      </c>
      <c r="H3" s="12">
        <v>21890</v>
      </c>
      <c r="I3" s="12">
        <v>262292</v>
      </c>
    </row>
    <row r="4" spans="1:11" x14ac:dyDescent="0.25">
      <c r="A4" s="17">
        <v>161</v>
      </c>
      <c r="B4" s="15" t="s">
        <v>37</v>
      </c>
      <c r="C4" s="15" t="s">
        <v>23</v>
      </c>
      <c r="D4" s="17" t="s">
        <v>124</v>
      </c>
      <c r="E4" s="17">
        <v>263</v>
      </c>
      <c r="F4" s="15" t="s">
        <v>37</v>
      </c>
      <c r="G4" s="15" t="s">
        <v>25</v>
      </c>
      <c r="H4" s="12">
        <v>116675</v>
      </c>
      <c r="I4" s="12">
        <v>1016783</v>
      </c>
    </row>
    <row r="5" spans="1:11" x14ac:dyDescent="0.25">
      <c r="A5" s="17">
        <v>118</v>
      </c>
      <c r="B5" s="15" t="s">
        <v>37</v>
      </c>
      <c r="C5" s="15" t="s">
        <v>23</v>
      </c>
      <c r="D5" s="17" t="s">
        <v>125</v>
      </c>
      <c r="E5" s="17">
        <v>263</v>
      </c>
      <c r="F5" s="15" t="s">
        <v>37</v>
      </c>
      <c r="G5" s="15" t="s">
        <v>25</v>
      </c>
      <c r="H5" s="12">
        <v>0</v>
      </c>
      <c r="I5" s="12">
        <v>1555404</v>
      </c>
    </row>
    <row r="6" spans="1:11" x14ac:dyDescent="0.25">
      <c r="A6" s="17">
        <v>161</v>
      </c>
      <c r="B6" s="15" t="s">
        <v>37</v>
      </c>
      <c r="C6" s="15" t="s">
        <v>23</v>
      </c>
      <c r="D6" s="17" t="s">
        <v>126</v>
      </c>
      <c r="E6" s="17">
        <v>197</v>
      </c>
      <c r="F6" s="15" t="s">
        <v>37</v>
      </c>
      <c r="G6" s="15" t="s">
        <v>25</v>
      </c>
      <c r="H6" s="12">
        <v>0</v>
      </c>
      <c r="I6" s="12">
        <v>1897653</v>
      </c>
    </row>
    <row r="7" spans="1:11" x14ac:dyDescent="0.25">
      <c r="A7" s="17">
        <v>118</v>
      </c>
      <c r="B7" s="15" t="s">
        <v>37</v>
      </c>
      <c r="C7" s="15" t="s">
        <v>23</v>
      </c>
      <c r="D7" s="17" t="s">
        <v>127</v>
      </c>
      <c r="E7" s="17">
        <v>258</v>
      </c>
      <c r="F7" s="15" t="s">
        <v>36</v>
      </c>
      <c r="G7" s="15" t="s">
        <v>21</v>
      </c>
      <c r="H7" s="17">
        <v>4501235</v>
      </c>
      <c r="I7" s="17">
        <v>3807475</v>
      </c>
      <c r="J7" s="89"/>
      <c r="K7" s="89"/>
    </row>
    <row r="8" spans="1:11" x14ac:dyDescent="0.25">
      <c r="A8" s="17">
        <v>161</v>
      </c>
      <c r="B8" s="15" t="s">
        <v>37</v>
      </c>
      <c r="C8" s="15" t="s">
        <v>23</v>
      </c>
      <c r="D8" s="10" t="s">
        <v>128</v>
      </c>
      <c r="E8" s="10">
        <v>321</v>
      </c>
      <c r="F8" s="15" t="s">
        <v>37</v>
      </c>
      <c r="G8" s="15" t="s">
        <v>23</v>
      </c>
      <c r="H8" s="10">
        <v>38390</v>
      </c>
      <c r="I8" s="10">
        <v>4308038</v>
      </c>
      <c r="J8" s="90" t="s">
        <v>494</v>
      </c>
      <c r="K8" s="89"/>
    </row>
    <row r="9" spans="1:11" x14ac:dyDescent="0.25">
      <c r="A9" s="17">
        <v>118</v>
      </c>
      <c r="B9" s="15" t="s">
        <v>37</v>
      </c>
      <c r="C9" s="15" t="s">
        <v>23</v>
      </c>
      <c r="D9" s="10" t="s">
        <v>129</v>
      </c>
      <c r="E9" s="10">
        <v>257</v>
      </c>
      <c r="F9" s="15" t="s">
        <v>37</v>
      </c>
      <c r="G9" s="15" t="s">
        <v>23</v>
      </c>
      <c r="H9" s="10">
        <v>16895725</v>
      </c>
      <c r="I9" s="10">
        <v>14504027</v>
      </c>
      <c r="J9" s="90" t="s">
        <v>494</v>
      </c>
      <c r="K9" s="89"/>
    </row>
    <row r="10" spans="1:11" x14ac:dyDescent="0.25">
      <c r="A10" s="17">
        <v>118</v>
      </c>
      <c r="B10" s="15" t="s">
        <v>37</v>
      </c>
      <c r="C10" s="15" t="s">
        <v>23</v>
      </c>
      <c r="D10" s="10" t="s">
        <v>130</v>
      </c>
      <c r="E10" s="10">
        <v>321</v>
      </c>
      <c r="F10" s="15" t="s">
        <v>37</v>
      </c>
      <c r="G10" s="15" t="s">
        <v>23</v>
      </c>
      <c r="H10" s="10">
        <v>16475777</v>
      </c>
      <c r="I10" s="10">
        <v>18379771</v>
      </c>
      <c r="J10" s="90" t="s">
        <v>494</v>
      </c>
      <c r="K10" s="89"/>
    </row>
    <row r="11" spans="1:11" x14ac:dyDescent="0.25">
      <c r="A11" s="17">
        <v>253</v>
      </c>
      <c r="B11" s="15" t="s">
        <v>37</v>
      </c>
      <c r="C11" s="15" t="s">
        <v>24</v>
      </c>
      <c r="D11" s="17" t="s">
        <v>90</v>
      </c>
      <c r="E11" s="17">
        <v>186</v>
      </c>
      <c r="F11" s="15" t="s">
        <v>8</v>
      </c>
      <c r="G11" s="15" t="s">
        <v>8</v>
      </c>
      <c r="H11" s="17">
        <v>4172919</v>
      </c>
      <c r="I11" s="17">
        <v>0</v>
      </c>
      <c r="J11" s="89"/>
      <c r="K11" s="89"/>
    </row>
    <row r="12" spans="1:11" x14ac:dyDescent="0.25">
      <c r="A12" s="17">
        <v>253</v>
      </c>
      <c r="B12" s="15" t="s">
        <v>37</v>
      </c>
      <c r="C12" s="15" t="s">
        <v>24</v>
      </c>
      <c r="D12" s="82" t="s">
        <v>366</v>
      </c>
      <c r="E12" s="82"/>
      <c r="F12" s="82"/>
      <c r="G12" s="82"/>
      <c r="H12" s="17">
        <v>627454</v>
      </c>
      <c r="I12" s="17">
        <v>3218</v>
      </c>
      <c r="J12" s="89" t="s">
        <v>490</v>
      </c>
      <c r="K12" s="89"/>
    </row>
    <row r="13" spans="1:11" x14ac:dyDescent="0.25">
      <c r="A13" s="17">
        <v>253</v>
      </c>
      <c r="B13" s="15" t="s">
        <v>37</v>
      </c>
      <c r="C13" s="15" t="s">
        <v>24</v>
      </c>
      <c r="D13" s="82" t="s">
        <v>367</v>
      </c>
      <c r="E13" s="82"/>
      <c r="F13" s="82"/>
      <c r="G13" s="82"/>
      <c r="H13" s="17">
        <v>287589</v>
      </c>
      <c r="I13" s="17">
        <v>19539</v>
      </c>
      <c r="J13" s="89" t="s">
        <v>490</v>
      </c>
      <c r="K13" s="89"/>
    </row>
    <row r="14" spans="1:11" x14ac:dyDescent="0.25">
      <c r="A14" s="17">
        <v>253</v>
      </c>
      <c r="B14" s="15" t="s">
        <v>37</v>
      </c>
      <c r="C14" s="15" t="s">
        <v>24</v>
      </c>
      <c r="D14" s="82" t="s">
        <v>368</v>
      </c>
      <c r="E14" s="82"/>
      <c r="F14" s="82"/>
      <c r="G14" s="82"/>
      <c r="H14" s="17">
        <v>603713</v>
      </c>
      <c r="I14" s="17">
        <v>102510</v>
      </c>
      <c r="J14" s="89" t="s">
        <v>490</v>
      </c>
      <c r="K14" s="89"/>
    </row>
    <row r="15" spans="1:11" x14ac:dyDescent="0.25">
      <c r="A15" s="17">
        <v>253</v>
      </c>
      <c r="B15" s="15" t="s">
        <v>37</v>
      </c>
      <c r="C15" s="15" t="s">
        <v>24</v>
      </c>
      <c r="D15" s="82" t="s">
        <v>131</v>
      </c>
      <c r="E15" s="82"/>
      <c r="F15" s="15" t="s">
        <v>37</v>
      </c>
      <c r="G15" s="15" t="s">
        <v>26</v>
      </c>
      <c r="H15" s="17">
        <v>502101</v>
      </c>
      <c r="I15" s="17">
        <v>380607</v>
      </c>
      <c r="J15" s="89" t="s">
        <v>765</v>
      </c>
      <c r="K15" s="89"/>
    </row>
    <row r="16" spans="1:11" x14ac:dyDescent="0.25">
      <c r="A16" s="17">
        <v>253</v>
      </c>
      <c r="B16" s="15" t="s">
        <v>37</v>
      </c>
      <c r="C16" s="15" t="s">
        <v>24</v>
      </c>
      <c r="D16" s="17" t="s">
        <v>132</v>
      </c>
      <c r="E16" s="17">
        <v>157</v>
      </c>
      <c r="F16" s="15" t="s">
        <v>37</v>
      </c>
      <c r="G16" s="15" t="s">
        <v>26</v>
      </c>
      <c r="H16" s="17">
        <v>1913803</v>
      </c>
      <c r="I16" s="17">
        <v>522076</v>
      </c>
      <c r="J16" s="89"/>
      <c r="K16" s="89"/>
    </row>
    <row r="17" spans="1:11" x14ac:dyDescent="0.25">
      <c r="A17" s="17">
        <v>101</v>
      </c>
      <c r="B17" s="15" t="s">
        <v>37</v>
      </c>
      <c r="C17" s="15" t="s">
        <v>24</v>
      </c>
      <c r="D17" s="17" t="s">
        <v>128</v>
      </c>
      <c r="E17" s="17">
        <v>321</v>
      </c>
      <c r="F17" s="15" t="s">
        <v>37</v>
      </c>
      <c r="G17" s="15" t="s">
        <v>24</v>
      </c>
      <c r="H17" s="17">
        <v>10584</v>
      </c>
      <c r="I17" s="17">
        <v>778967</v>
      </c>
      <c r="J17" s="90" t="s">
        <v>494</v>
      </c>
      <c r="K17" s="89"/>
    </row>
    <row r="18" spans="1:11" x14ac:dyDescent="0.25">
      <c r="A18" s="17">
        <v>253</v>
      </c>
      <c r="B18" s="15" t="s">
        <v>37</v>
      </c>
      <c r="C18" s="15" t="s">
        <v>24</v>
      </c>
      <c r="D18" s="17" t="s">
        <v>72</v>
      </c>
      <c r="E18" s="17">
        <v>140</v>
      </c>
      <c r="F18" s="15" t="s">
        <v>8</v>
      </c>
      <c r="G18" s="15" t="s">
        <v>8</v>
      </c>
      <c r="H18" s="17">
        <v>1258</v>
      </c>
      <c r="I18" s="17">
        <v>916968</v>
      </c>
      <c r="J18" s="89"/>
      <c r="K18" s="89"/>
    </row>
    <row r="19" spans="1:11" x14ac:dyDescent="0.25">
      <c r="A19" s="17">
        <v>253</v>
      </c>
      <c r="B19" s="15" t="s">
        <v>37</v>
      </c>
      <c r="C19" s="15" t="s">
        <v>24</v>
      </c>
      <c r="D19" s="17" t="s">
        <v>133</v>
      </c>
      <c r="E19" s="17">
        <v>234</v>
      </c>
      <c r="F19" s="15" t="s">
        <v>8</v>
      </c>
      <c r="G19" s="15" t="s">
        <v>8</v>
      </c>
      <c r="H19" s="17">
        <v>103631</v>
      </c>
      <c r="I19" s="17">
        <v>1879260</v>
      </c>
      <c r="J19" s="89"/>
      <c r="K19" s="89"/>
    </row>
    <row r="20" spans="1:11" x14ac:dyDescent="0.25">
      <c r="A20" s="17">
        <v>253</v>
      </c>
      <c r="B20" s="15" t="s">
        <v>37</v>
      </c>
      <c r="C20" s="15" t="s">
        <v>24</v>
      </c>
      <c r="D20" s="17" t="s">
        <v>134</v>
      </c>
      <c r="E20" s="17">
        <v>251</v>
      </c>
      <c r="F20" s="15" t="s">
        <v>37</v>
      </c>
      <c r="G20" s="15" t="s">
        <v>26</v>
      </c>
      <c r="H20" s="17">
        <v>34913</v>
      </c>
      <c r="I20" s="17">
        <v>3380762</v>
      </c>
      <c r="J20" s="89"/>
      <c r="K20" s="89"/>
    </row>
    <row r="21" spans="1:11" x14ac:dyDescent="0.25">
      <c r="A21" s="17">
        <v>101</v>
      </c>
      <c r="B21" s="15" t="s">
        <v>37</v>
      </c>
      <c r="C21" s="15" t="s">
        <v>24</v>
      </c>
      <c r="D21" s="17" t="s">
        <v>135</v>
      </c>
      <c r="E21" s="17">
        <v>253</v>
      </c>
      <c r="F21" s="15" t="s">
        <v>37</v>
      </c>
      <c r="G21" s="15" t="s">
        <v>24</v>
      </c>
      <c r="H21" s="17">
        <v>3645076</v>
      </c>
      <c r="I21" s="17">
        <v>3525167</v>
      </c>
      <c r="J21" s="89"/>
      <c r="K21" s="89"/>
    </row>
    <row r="22" spans="1:11" x14ac:dyDescent="0.25">
      <c r="A22" s="17">
        <v>253</v>
      </c>
      <c r="B22" s="15" t="s">
        <v>37</v>
      </c>
      <c r="C22" s="15" t="s">
        <v>24</v>
      </c>
      <c r="D22" s="17" t="s">
        <v>136</v>
      </c>
      <c r="E22" s="17">
        <v>101</v>
      </c>
      <c r="F22" s="15" t="s">
        <v>37</v>
      </c>
      <c r="G22" s="15" t="s">
        <v>24</v>
      </c>
      <c r="H22" s="17">
        <v>3525167</v>
      </c>
      <c r="I22" s="17">
        <v>3645076</v>
      </c>
      <c r="J22" s="89"/>
      <c r="K22" s="89"/>
    </row>
    <row r="23" spans="1:11" x14ac:dyDescent="0.25">
      <c r="A23" s="17">
        <v>253</v>
      </c>
      <c r="B23" s="15" t="s">
        <v>37</v>
      </c>
      <c r="C23" s="15" t="s">
        <v>24</v>
      </c>
      <c r="D23" s="17" t="s">
        <v>137</v>
      </c>
      <c r="E23" s="17">
        <v>250</v>
      </c>
      <c r="F23" s="15" t="s">
        <v>37</v>
      </c>
      <c r="G23" s="15" t="s">
        <v>26</v>
      </c>
      <c r="H23" s="17">
        <v>3068</v>
      </c>
      <c r="I23" s="17">
        <v>4270208</v>
      </c>
      <c r="J23" s="89"/>
      <c r="K23" s="89"/>
    </row>
    <row r="24" spans="1:11" x14ac:dyDescent="0.25">
      <c r="A24" s="17">
        <v>253</v>
      </c>
      <c r="B24" s="15" t="s">
        <v>37</v>
      </c>
      <c r="C24" s="15" t="s">
        <v>24</v>
      </c>
      <c r="D24" s="17" t="s">
        <v>124</v>
      </c>
      <c r="E24" s="17">
        <v>263</v>
      </c>
      <c r="F24" s="15" t="s">
        <v>37</v>
      </c>
      <c r="G24" s="15" t="s">
        <v>25</v>
      </c>
      <c r="H24" s="17">
        <v>12847173</v>
      </c>
      <c r="I24" s="17">
        <v>4779921</v>
      </c>
      <c r="J24" s="89"/>
      <c r="K24" s="89"/>
    </row>
    <row r="25" spans="1:11" x14ac:dyDescent="0.25">
      <c r="A25" s="17">
        <v>253</v>
      </c>
      <c r="B25" s="15" t="s">
        <v>37</v>
      </c>
      <c r="C25" s="15" t="s">
        <v>24</v>
      </c>
      <c r="D25" s="17" t="s">
        <v>138</v>
      </c>
      <c r="E25" s="17">
        <v>164</v>
      </c>
      <c r="F25" s="15" t="s">
        <v>37</v>
      </c>
      <c r="G25" s="15" t="s">
        <v>26</v>
      </c>
      <c r="H25" s="17">
        <v>2451905</v>
      </c>
      <c r="I25" s="17">
        <v>7878446</v>
      </c>
      <c r="J25" s="89"/>
      <c r="K25" s="89"/>
    </row>
    <row r="26" spans="1:11" x14ac:dyDescent="0.25">
      <c r="A26" s="17">
        <v>253</v>
      </c>
      <c r="B26" s="15" t="s">
        <v>37</v>
      </c>
      <c r="C26" s="15" t="s">
        <v>24</v>
      </c>
      <c r="D26" s="17" t="s">
        <v>92</v>
      </c>
      <c r="E26" s="17">
        <v>171</v>
      </c>
      <c r="F26" s="15" t="s">
        <v>8</v>
      </c>
      <c r="G26" s="15" t="s">
        <v>8</v>
      </c>
      <c r="H26" s="17">
        <v>5085095</v>
      </c>
      <c r="I26" s="17">
        <v>9822052</v>
      </c>
      <c r="J26" s="89"/>
      <c r="K26" s="89"/>
    </row>
    <row r="27" spans="1:11" x14ac:dyDescent="0.25">
      <c r="A27" s="17">
        <v>263</v>
      </c>
      <c r="B27" s="15" t="s">
        <v>37</v>
      </c>
      <c r="C27" s="15" t="s">
        <v>25</v>
      </c>
      <c r="D27" s="17" t="s">
        <v>139</v>
      </c>
      <c r="E27" s="17">
        <v>118</v>
      </c>
      <c r="F27" s="15" t="s">
        <v>37</v>
      </c>
      <c r="G27" s="15" t="s">
        <v>23</v>
      </c>
      <c r="H27" s="17">
        <v>1555404</v>
      </c>
      <c r="I27" s="17">
        <v>0</v>
      </c>
      <c r="J27" s="89"/>
      <c r="K27" s="89"/>
    </row>
    <row r="28" spans="1:11" x14ac:dyDescent="0.25">
      <c r="A28" s="17">
        <v>197</v>
      </c>
      <c r="B28" s="15" t="s">
        <v>37</v>
      </c>
      <c r="C28" s="15" t="s">
        <v>25</v>
      </c>
      <c r="D28" s="17" t="s">
        <v>140</v>
      </c>
      <c r="E28" s="17">
        <v>161</v>
      </c>
      <c r="F28" s="15" t="s">
        <v>37</v>
      </c>
      <c r="G28" s="15" t="s">
        <v>23</v>
      </c>
      <c r="H28" s="17">
        <v>1897664</v>
      </c>
      <c r="I28" s="17">
        <v>0</v>
      </c>
      <c r="J28" s="89"/>
      <c r="K28" s="89"/>
    </row>
    <row r="29" spans="1:11" x14ac:dyDescent="0.25">
      <c r="A29" s="17">
        <v>263</v>
      </c>
      <c r="B29" s="15" t="s">
        <v>37</v>
      </c>
      <c r="C29" s="15" t="s">
        <v>25</v>
      </c>
      <c r="D29" s="17" t="s">
        <v>365</v>
      </c>
      <c r="E29" s="17">
        <v>157</v>
      </c>
      <c r="F29" s="15" t="s">
        <v>37</v>
      </c>
      <c r="G29" s="15" t="s">
        <v>23</v>
      </c>
      <c r="H29" s="17">
        <v>16548</v>
      </c>
      <c r="I29" s="17">
        <v>294298</v>
      </c>
      <c r="J29" s="89"/>
      <c r="K29" s="89"/>
    </row>
    <row r="30" spans="1:11" x14ac:dyDescent="0.25">
      <c r="A30" s="17">
        <v>263</v>
      </c>
      <c r="B30" s="15" t="s">
        <v>37</v>
      </c>
      <c r="C30" s="15" t="s">
        <v>25</v>
      </c>
      <c r="D30" s="17" t="s">
        <v>141</v>
      </c>
      <c r="E30" s="17">
        <v>190</v>
      </c>
      <c r="F30" s="15" t="s">
        <v>37</v>
      </c>
      <c r="G30" s="15" t="s">
        <v>24</v>
      </c>
      <c r="H30" s="17">
        <v>0</v>
      </c>
      <c r="I30" s="17">
        <v>744546</v>
      </c>
      <c r="J30" s="89"/>
      <c r="K30" s="89"/>
    </row>
    <row r="31" spans="1:11" x14ac:dyDescent="0.25">
      <c r="A31" s="17">
        <v>197</v>
      </c>
      <c r="B31" s="15" t="s">
        <v>37</v>
      </c>
      <c r="C31" s="15" t="s">
        <v>25</v>
      </c>
      <c r="D31" s="17" t="s">
        <v>142</v>
      </c>
      <c r="E31" s="17">
        <v>263</v>
      </c>
      <c r="F31" s="15" t="s">
        <v>37</v>
      </c>
      <c r="G31" s="15" t="s">
        <v>25</v>
      </c>
      <c r="H31" s="17">
        <v>1670373</v>
      </c>
      <c r="I31" s="17">
        <v>853465</v>
      </c>
      <c r="J31" s="89"/>
      <c r="K31" s="89"/>
    </row>
    <row r="32" spans="1:11" x14ac:dyDescent="0.25">
      <c r="A32" s="17">
        <v>263</v>
      </c>
      <c r="B32" s="15" t="s">
        <v>37</v>
      </c>
      <c r="C32" s="15" t="s">
        <v>25</v>
      </c>
      <c r="D32" s="17" t="s">
        <v>143</v>
      </c>
      <c r="E32" s="17">
        <v>157</v>
      </c>
      <c r="F32" s="15" t="s">
        <v>37</v>
      </c>
      <c r="G32" s="15" t="s">
        <v>23</v>
      </c>
      <c r="H32" s="17">
        <v>5798</v>
      </c>
      <c r="I32" s="17">
        <v>1361651</v>
      </c>
      <c r="J32" s="89"/>
      <c r="K32" s="89"/>
    </row>
    <row r="33" spans="1:11" x14ac:dyDescent="0.25">
      <c r="A33" s="17">
        <v>263</v>
      </c>
      <c r="B33" s="15" t="s">
        <v>37</v>
      </c>
      <c r="C33" s="15" t="s">
        <v>25</v>
      </c>
      <c r="D33" s="17" t="s">
        <v>144</v>
      </c>
      <c r="E33" s="17">
        <v>161</v>
      </c>
      <c r="F33" s="15" t="s">
        <v>37</v>
      </c>
      <c r="G33" s="15" t="s">
        <v>23</v>
      </c>
      <c r="H33" s="17">
        <v>2420249</v>
      </c>
      <c r="I33" s="17">
        <v>1520141</v>
      </c>
      <c r="J33" s="89"/>
      <c r="K33" s="89"/>
    </row>
    <row r="34" spans="1:11" x14ac:dyDescent="0.25">
      <c r="A34" s="17">
        <v>263</v>
      </c>
      <c r="B34" s="15" t="s">
        <v>37</v>
      </c>
      <c r="C34" s="15" t="s">
        <v>25</v>
      </c>
      <c r="D34" s="17" t="s">
        <v>121</v>
      </c>
      <c r="E34" s="17">
        <v>197</v>
      </c>
      <c r="F34" s="15" t="s">
        <v>37</v>
      </c>
      <c r="G34" s="15" t="s">
        <v>25</v>
      </c>
      <c r="H34" s="17">
        <v>853448</v>
      </c>
      <c r="I34" s="17">
        <v>1670497</v>
      </c>
      <c r="J34" s="89"/>
      <c r="K34" s="89"/>
    </row>
    <row r="35" spans="1:11" x14ac:dyDescent="0.25">
      <c r="A35" s="17">
        <v>197</v>
      </c>
      <c r="B35" s="15" t="s">
        <v>37</v>
      </c>
      <c r="C35" s="15" t="s">
        <v>25</v>
      </c>
      <c r="D35" s="17" t="s">
        <v>145</v>
      </c>
      <c r="E35" s="17">
        <v>219</v>
      </c>
      <c r="F35" s="15" t="s">
        <v>34</v>
      </c>
      <c r="G35" s="15" t="s">
        <v>18</v>
      </c>
      <c r="H35" s="17">
        <v>596493</v>
      </c>
      <c r="I35" s="17">
        <v>2665368</v>
      </c>
      <c r="J35" s="89"/>
      <c r="K35" s="89"/>
    </row>
    <row r="36" spans="1:11" x14ac:dyDescent="0.25">
      <c r="A36" s="17">
        <v>197</v>
      </c>
      <c r="B36" s="15" t="s">
        <v>37</v>
      </c>
      <c r="C36" s="15" t="s">
        <v>25</v>
      </c>
      <c r="D36" s="17" t="s">
        <v>146</v>
      </c>
      <c r="E36" s="17">
        <v>321</v>
      </c>
      <c r="F36" s="15" t="s">
        <v>37</v>
      </c>
      <c r="G36" s="15" t="s">
        <v>25</v>
      </c>
      <c r="H36" s="17">
        <v>6884350</v>
      </c>
      <c r="I36" s="17">
        <v>6418752</v>
      </c>
      <c r="J36" s="90" t="s">
        <v>494</v>
      </c>
      <c r="K36" s="89"/>
    </row>
    <row r="37" spans="1:11" x14ac:dyDescent="0.25">
      <c r="A37" s="17">
        <v>263</v>
      </c>
      <c r="B37" s="15" t="s">
        <v>37</v>
      </c>
      <c r="C37" s="15" t="s">
        <v>25</v>
      </c>
      <c r="D37" s="17" t="s">
        <v>122</v>
      </c>
      <c r="E37" s="17">
        <v>230</v>
      </c>
      <c r="F37" s="15" t="s">
        <v>34</v>
      </c>
      <c r="G37" s="15" t="s">
        <v>16</v>
      </c>
      <c r="H37" s="17">
        <v>2315803</v>
      </c>
      <c r="I37" s="17">
        <v>9262072</v>
      </c>
      <c r="J37" s="89"/>
      <c r="K37" s="89"/>
    </row>
    <row r="38" spans="1:11" x14ac:dyDescent="0.25">
      <c r="A38" s="17">
        <v>197</v>
      </c>
      <c r="B38" s="15" t="s">
        <v>37</v>
      </c>
      <c r="C38" s="15" t="s">
        <v>25</v>
      </c>
      <c r="D38" s="17" t="s">
        <v>147</v>
      </c>
      <c r="E38" s="17">
        <v>230</v>
      </c>
      <c r="F38" s="15" t="s">
        <v>34</v>
      </c>
      <c r="G38" s="15" t="s">
        <v>16</v>
      </c>
      <c r="H38" s="17">
        <v>6653026</v>
      </c>
      <c r="I38" s="17">
        <v>9973056</v>
      </c>
      <c r="J38" s="89"/>
      <c r="K38" s="89"/>
    </row>
    <row r="39" spans="1:11" x14ac:dyDescent="0.25">
      <c r="A39" s="17">
        <v>263</v>
      </c>
      <c r="B39" s="15" t="s">
        <v>37</v>
      </c>
      <c r="C39" s="15" t="s">
        <v>25</v>
      </c>
      <c r="D39" s="17" t="s">
        <v>128</v>
      </c>
      <c r="E39" s="17">
        <v>321</v>
      </c>
      <c r="F39" s="15" t="s">
        <v>37</v>
      </c>
      <c r="G39" s="15" t="s">
        <v>25</v>
      </c>
      <c r="H39" s="17">
        <v>20875922</v>
      </c>
      <c r="I39" s="17">
        <v>10226208</v>
      </c>
      <c r="J39" s="90" t="s">
        <v>494</v>
      </c>
      <c r="K39" s="89"/>
    </row>
    <row r="40" spans="1:11" x14ac:dyDescent="0.25">
      <c r="A40" s="17">
        <v>263</v>
      </c>
      <c r="B40" s="15" t="s">
        <v>37</v>
      </c>
      <c r="C40" s="15" t="s">
        <v>25</v>
      </c>
      <c r="D40" s="17" t="s">
        <v>75</v>
      </c>
      <c r="E40" s="17">
        <v>253</v>
      </c>
      <c r="F40" s="15" t="s">
        <v>37</v>
      </c>
      <c r="G40" s="15" t="s">
        <v>24</v>
      </c>
      <c r="H40" s="17">
        <v>4779921</v>
      </c>
      <c r="I40" s="17">
        <v>12847177</v>
      </c>
      <c r="J40" s="89"/>
      <c r="K40" s="89"/>
    </row>
    <row r="41" spans="1:11" x14ac:dyDescent="0.25">
      <c r="A41" s="17">
        <v>250</v>
      </c>
      <c r="B41" s="15" t="s">
        <v>37</v>
      </c>
      <c r="C41" s="15" t="s">
        <v>26</v>
      </c>
      <c r="D41" s="17" t="s">
        <v>148</v>
      </c>
      <c r="E41" s="17">
        <v>253</v>
      </c>
      <c r="F41" s="15" t="s">
        <v>37</v>
      </c>
      <c r="G41" s="15" t="s">
        <v>24</v>
      </c>
      <c r="H41" s="17">
        <v>4269962</v>
      </c>
      <c r="I41" s="17">
        <v>3068</v>
      </c>
      <c r="J41" s="89"/>
      <c r="K41" s="89"/>
    </row>
    <row r="42" spans="1:11" x14ac:dyDescent="0.25">
      <c r="A42" s="17">
        <v>251</v>
      </c>
      <c r="B42" s="15" t="s">
        <v>37</v>
      </c>
      <c r="C42" s="15" t="s">
        <v>26</v>
      </c>
      <c r="D42" s="82" t="s">
        <v>149</v>
      </c>
      <c r="E42" s="82"/>
      <c r="F42" s="15" t="s">
        <v>37</v>
      </c>
      <c r="G42" s="15" t="s">
        <v>24</v>
      </c>
      <c r="H42" s="17">
        <v>350424</v>
      </c>
      <c r="I42" s="17">
        <v>3976</v>
      </c>
      <c r="J42" s="89" t="s">
        <v>765</v>
      </c>
      <c r="K42" s="89"/>
    </row>
    <row r="43" spans="1:11" x14ac:dyDescent="0.25">
      <c r="A43" s="17">
        <v>157</v>
      </c>
      <c r="B43" s="15" t="s">
        <v>37</v>
      </c>
      <c r="C43" s="15" t="s">
        <v>26</v>
      </c>
      <c r="D43" s="17" t="s">
        <v>142</v>
      </c>
      <c r="E43" s="17">
        <v>263</v>
      </c>
      <c r="F43" s="15" t="s">
        <v>37</v>
      </c>
      <c r="G43" s="15" t="s">
        <v>25</v>
      </c>
      <c r="H43" s="17">
        <v>1361615</v>
      </c>
      <c r="I43" s="17">
        <v>5798</v>
      </c>
      <c r="J43" s="89"/>
      <c r="K43" s="89"/>
    </row>
    <row r="44" spans="1:11" x14ac:dyDescent="0.25">
      <c r="A44" s="17">
        <v>233</v>
      </c>
      <c r="B44" s="15" t="s">
        <v>37</v>
      </c>
      <c r="C44" s="15" t="s">
        <v>26</v>
      </c>
      <c r="D44" s="17" t="s">
        <v>142</v>
      </c>
      <c r="E44" s="17">
        <v>263</v>
      </c>
      <c r="F44" s="15" t="s">
        <v>37</v>
      </c>
      <c r="G44" s="15" t="s">
        <v>25</v>
      </c>
      <c r="H44" s="17">
        <v>294260</v>
      </c>
      <c r="I44" s="17">
        <v>16548</v>
      </c>
      <c r="J44" s="89"/>
      <c r="K44" s="89"/>
    </row>
    <row r="45" spans="1:11" x14ac:dyDescent="0.25">
      <c r="A45" s="17">
        <v>157</v>
      </c>
      <c r="B45" s="15" t="s">
        <v>37</v>
      </c>
      <c r="C45" s="15" t="s">
        <v>26</v>
      </c>
      <c r="D45" s="17" t="s">
        <v>150</v>
      </c>
      <c r="E45" s="17">
        <v>103</v>
      </c>
      <c r="F45" s="15" t="s">
        <v>37</v>
      </c>
      <c r="G45" s="15" t="s">
        <v>26</v>
      </c>
      <c r="H45" s="17">
        <v>723348</v>
      </c>
      <c r="I45" s="17">
        <v>34618</v>
      </c>
      <c r="J45" s="89"/>
      <c r="K45" s="89"/>
    </row>
    <row r="46" spans="1:11" x14ac:dyDescent="0.25">
      <c r="A46" s="17">
        <v>251</v>
      </c>
      <c r="B46" s="15" t="s">
        <v>37</v>
      </c>
      <c r="C46" s="15" t="s">
        <v>26</v>
      </c>
      <c r="D46" s="17" t="s">
        <v>135</v>
      </c>
      <c r="E46" s="17">
        <v>253</v>
      </c>
      <c r="F46" s="15" t="s">
        <v>37</v>
      </c>
      <c r="G46" s="15" t="s">
        <v>24</v>
      </c>
      <c r="H46" s="17">
        <v>3380447</v>
      </c>
      <c r="I46" s="17">
        <v>34915</v>
      </c>
      <c r="J46" s="89"/>
      <c r="K46" s="89"/>
    </row>
    <row r="47" spans="1:11" x14ac:dyDescent="0.25">
      <c r="A47" s="17">
        <v>233</v>
      </c>
      <c r="B47" s="15" t="s">
        <v>37</v>
      </c>
      <c r="C47" s="15" t="s">
        <v>26</v>
      </c>
      <c r="D47" s="17" t="s">
        <v>151</v>
      </c>
      <c r="E47" s="17">
        <v>103</v>
      </c>
      <c r="F47" s="15" t="s">
        <v>37</v>
      </c>
      <c r="G47" s="15" t="s">
        <v>26</v>
      </c>
      <c r="H47" s="17">
        <v>159292</v>
      </c>
      <c r="I47" s="17">
        <v>81038</v>
      </c>
      <c r="J47" s="89"/>
      <c r="K47" s="89"/>
    </row>
    <row r="48" spans="1:11" x14ac:dyDescent="0.25">
      <c r="A48" s="17">
        <v>233</v>
      </c>
      <c r="B48" s="15" t="s">
        <v>37</v>
      </c>
      <c r="C48" s="15" t="s">
        <v>26</v>
      </c>
      <c r="D48" s="17" t="s">
        <v>152</v>
      </c>
      <c r="E48" s="17">
        <v>250</v>
      </c>
      <c r="F48" s="15" t="s">
        <v>37</v>
      </c>
      <c r="G48" s="15" t="s">
        <v>26</v>
      </c>
      <c r="H48" s="17">
        <v>1295934</v>
      </c>
      <c r="I48" s="17">
        <v>124415</v>
      </c>
      <c r="J48" s="89"/>
      <c r="K48" s="89"/>
    </row>
    <row r="49" spans="1:11" x14ac:dyDescent="0.25">
      <c r="A49" s="17">
        <v>103</v>
      </c>
      <c r="B49" s="15" t="s">
        <v>37</v>
      </c>
      <c r="C49" s="15" t="s">
        <v>26</v>
      </c>
      <c r="D49" s="17" t="s">
        <v>153</v>
      </c>
      <c r="E49" s="17">
        <v>233</v>
      </c>
      <c r="F49" s="15" t="s">
        <v>37</v>
      </c>
      <c r="G49" s="15" t="s">
        <v>26</v>
      </c>
      <c r="H49" s="17">
        <v>81038</v>
      </c>
      <c r="I49" s="17">
        <v>159292</v>
      </c>
      <c r="J49" s="89"/>
      <c r="K49" s="89"/>
    </row>
    <row r="50" spans="1:11" x14ac:dyDescent="0.25">
      <c r="A50" s="17">
        <v>250</v>
      </c>
      <c r="B50" s="15" t="s">
        <v>37</v>
      </c>
      <c r="C50" s="15" t="s">
        <v>26</v>
      </c>
      <c r="D50" s="82" t="s">
        <v>154</v>
      </c>
      <c r="E50" s="82"/>
      <c r="F50" s="82"/>
      <c r="G50" s="82"/>
      <c r="H50" s="17">
        <v>71126</v>
      </c>
      <c r="I50" s="17">
        <v>232930</v>
      </c>
      <c r="J50" s="89" t="s">
        <v>490</v>
      </c>
      <c r="K50" s="89"/>
    </row>
    <row r="51" spans="1:11" x14ac:dyDescent="0.25">
      <c r="A51" s="17">
        <v>157</v>
      </c>
      <c r="B51" s="15" t="s">
        <v>37</v>
      </c>
      <c r="C51" s="15" t="s">
        <v>26</v>
      </c>
      <c r="D51" s="17" t="s">
        <v>152</v>
      </c>
      <c r="E51" s="17">
        <v>250</v>
      </c>
      <c r="F51" s="15" t="s">
        <v>37</v>
      </c>
      <c r="G51" s="15" t="s">
        <v>26</v>
      </c>
      <c r="H51" s="17">
        <v>1289615</v>
      </c>
      <c r="I51" s="17">
        <v>293332</v>
      </c>
      <c r="J51" s="89"/>
      <c r="K51" s="89"/>
    </row>
    <row r="52" spans="1:11" x14ac:dyDescent="0.25">
      <c r="A52" s="17">
        <v>157</v>
      </c>
      <c r="B52" s="15" t="s">
        <v>37</v>
      </c>
      <c r="C52" s="15" t="s">
        <v>26</v>
      </c>
      <c r="D52" s="82" t="s">
        <v>154</v>
      </c>
      <c r="E52" s="82"/>
      <c r="F52" s="82"/>
      <c r="G52" s="82"/>
      <c r="H52" s="17">
        <v>418414</v>
      </c>
      <c r="I52" s="17">
        <v>378552</v>
      </c>
      <c r="J52" s="89" t="s">
        <v>490</v>
      </c>
      <c r="K52" s="89"/>
    </row>
    <row r="53" spans="1:11" x14ac:dyDescent="0.25">
      <c r="A53" s="17">
        <v>251</v>
      </c>
      <c r="B53" s="15" t="s">
        <v>37</v>
      </c>
      <c r="C53" s="15" t="s">
        <v>26</v>
      </c>
      <c r="D53" s="82" t="s">
        <v>155</v>
      </c>
      <c r="E53" s="82"/>
      <c r="F53" s="15" t="s">
        <v>37</v>
      </c>
      <c r="G53" s="15" t="s">
        <v>24</v>
      </c>
      <c r="H53" s="17">
        <v>329390</v>
      </c>
      <c r="I53" s="17">
        <v>493325</v>
      </c>
      <c r="J53" s="89" t="s">
        <v>765</v>
      </c>
      <c r="K53" s="89"/>
    </row>
    <row r="54" spans="1:11" x14ac:dyDescent="0.25">
      <c r="A54" s="17">
        <v>103</v>
      </c>
      <c r="B54" s="15" t="s">
        <v>37</v>
      </c>
      <c r="C54" s="15" t="s">
        <v>26</v>
      </c>
      <c r="D54" s="17" t="s">
        <v>156</v>
      </c>
      <c r="E54" s="17">
        <v>157</v>
      </c>
      <c r="F54" s="15" t="s">
        <v>37</v>
      </c>
      <c r="G54" s="15" t="s">
        <v>26</v>
      </c>
      <c r="H54" s="17">
        <v>34640</v>
      </c>
      <c r="I54" s="17">
        <v>723370</v>
      </c>
      <c r="J54" s="89"/>
      <c r="K54" s="89"/>
    </row>
    <row r="55" spans="1:11" x14ac:dyDescent="0.25">
      <c r="A55" s="17">
        <v>157</v>
      </c>
      <c r="B55" s="15" t="s">
        <v>37</v>
      </c>
      <c r="C55" s="15" t="s">
        <v>26</v>
      </c>
      <c r="D55" s="17" t="s">
        <v>122</v>
      </c>
      <c r="E55" s="17">
        <v>230</v>
      </c>
      <c r="F55" s="15" t="s">
        <v>34</v>
      </c>
      <c r="G55" s="15" t="s">
        <v>16</v>
      </c>
      <c r="H55" s="17">
        <v>1502276</v>
      </c>
      <c r="I55" s="17">
        <v>1043700</v>
      </c>
      <c r="J55" s="89"/>
      <c r="K55" s="89"/>
    </row>
    <row r="56" spans="1:11" x14ac:dyDescent="0.25">
      <c r="A56" s="17">
        <v>250</v>
      </c>
      <c r="B56" s="15" t="s">
        <v>37</v>
      </c>
      <c r="C56" s="15" t="s">
        <v>26</v>
      </c>
      <c r="D56" s="17" t="s">
        <v>157</v>
      </c>
      <c r="E56" s="17">
        <v>157</v>
      </c>
      <c r="F56" s="15" t="s">
        <v>37</v>
      </c>
      <c r="G56" s="15" t="s">
        <v>26</v>
      </c>
      <c r="H56" s="17">
        <v>293322</v>
      </c>
      <c r="I56" s="17">
        <v>1289605</v>
      </c>
      <c r="J56" s="89"/>
      <c r="K56" s="89"/>
    </row>
    <row r="57" spans="1:11" x14ac:dyDescent="0.25">
      <c r="A57" s="17">
        <v>250</v>
      </c>
      <c r="B57" s="15" t="s">
        <v>37</v>
      </c>
      <c r="C57" s="15" t="s">
        <v>26</v>
      </c>
      <c r="D57" s="17" t="s">
        <v>153</v>
      </c>
      <c r="E57" s="17">
        <v>233</v>
      </c>
      <c r="F57" s="15" t="s">
        <v>37</v>
      </c>
      <c r="G57" s="15" t="s">
        <v>26</v>
      </c>
      <c r="H57" s="17">
        <v>124415</v>
      </c>
      <c r="I57" s="17">
        <v>1295934</v>
      </c>
      <c r="J57" s="89"/>
      <c r="K57" s="89"/>
    </row>
    <row r="58" spans="1:11" x14ac:dyDescent="0.25">
      <c r="A58" s="17">
        <v>233</v>
      </c>
      <c r="B58" s="15" t="s">
        <v>37</v>
      </c>
      <c r="C58" s="15" t="s">
        <v>26</v>
      </c>
      <c r="D58" s="17" t="s">
        <v>158</v>
      </c>
      <c r="E58" s="17">
        <v>251</v>
      </c>
      <c r="F58" s="15" t="s">
        <v>37</v>
      </c>
      <c r="G58" s="15" t="s">
        <v>26</v>
      </c>
      <c r="H58" s="17">
        <v>2189553</v>
      </c>
      <c r="I58" s="17">
        <v>1795152</v>
      </c>
      <c r="J58" s="89"/>
      <c r="K58" s="89"/>
    </row>
    <row r="59" spans="1:11" x14ac:dyDescent="0.25">
      <c r="A59" s="17">
        <v>157</v>
      </c>
      <c r="B59" s="15" t="s">
        <v>37</v>
      </c>
      <c r="C59" s="15" t="s">
        <v>26</v>
      </c>
      <c r="D59" s="17" t="s">
        <v>148</v>
      </c>
      <c r="E59" s="17">
        <v>253</v>
      </c>
      <c r="F59" s="15" t="s">
        <v>37</v>
      </c>
      <c r="G59" s="15" t="s">
        <v>24</v>
      </c>
      <c r="H59" s="17">
        <v>521654</v>
      </c>
      <c r="I59" s="17">
        <v>1914195</v>
      </c>
      <c r="J59" s="89"/>
      <c r="K59" s="89"/>
    </row>
    <row r="60" spans="1:11" x14ac:dyDescent="0.25">
      <c r="A60" s="17">
        <v>251</v>
      </c>
      <c r="B60" s="15" t="s">
        <v>37</v>
      </c>
      <c r="C60" s="15" t="s">
        <v>26</v>
      </c>
      <c r="D60" s="17" t="s">
        <v>159</v>
      </c>
      <c r="E60" s="17">
        <v>233</v>
      </c>
      <c r="F60" s="15" t="s">
        <v>37</v>
      </c>
      <c r="G60" s="15" t="s">
        <v>26</v>
      </c>
      <c r="H60" s="17">
        <v>1795044</v>
      </c>
      <c r="I60" s="17">
        <v>2189445</v>
      </c>
      <c r="J60" s="89"/>
      <c r="K60" s="89"/>
    </row>
    <row r="61" spans="1:11" x14ac:dyDescent="0.25">
      <c r="A61" s="17">
        <v>157</v>
      </c>
      <c r="B61" s="15" t="s">
        <v>37</v>
      </c>
      <c r="C61" s="15" t="s">
        <v>26</v>
      </c>
      <c r="D61" s="17" t="s">
        <v>160</v>
      </c>
      <c r="E61" s="17">
        <v>251</v>
      </c>
      <c r="F61" s="15" t="s">
        <v>37</v>
      </c>
      <c r="G61" s="15" t="s">
        <v>26</v>
      </c>
      <c r="H61" s="17">
        <v>3398562</v>
      </c>
      <c r="I61" s="17">
        <v>2538071</v>
      </c>
      <c r="J61" s="89"/>
      <c r="K61" s="89"/>
    </row>
    <row r="62" spans="1:11" x14ac:dyDescent="0.25">
      <c r="A62" s="17">
        <v>251</v>
      </c>
      <c r="B62" s="15" t="s">
        <v>37</v>
      </c>
      <c r="C62" s="15" t="s">
        <v>26</v>
      </c>
      <c r="D62" s="17" t="s">
        <v>152</v>
      </c>
      <c r="E62" s="17">
        <v>250</v>
      </c>
      <c r="F62" s="15" t="s">
        <v>37</v>
      </c>
      <c r="G62" s="15" t="s">
        <v>26</v>
      </c>
      <c r="H62" s="17">
        <v>6708900</v>
      </c>
      <c r="I62" s="17">
        <v>3085485</v>
      </c>
      <c r="J62" s="89"/>
      <c r="K62" s="89"/>
    </row>
    <row r="63" spans="1:11" x14ac:dyDescent="0.25">
      <c r="A63" s="17">
        <v>251</v>
      </c>
      <c r="B63" s="15" t="s">
        <v>37</v>
      </c>
      <c r="C63" s="15" t="s">
        <v>26</v>
      </c>
      <c r="D63" s="17" t="s">
        <v>156</v>
      </c>
      <c r="E63" s="17">
        <v>157</v>
      </c>
      <c r="F63" s="15" t="s">
        <v>37</v>
      </c>
      <c r="G63" s="15" t="s">
        <v>26</v>
      </c>
      <c r="H63" s="17">
        <v>2538071</v>
      </c>
      <c r="I63" s="17">
        <v>3398562</v>
      </c>
      <c r="J63" s="89"/>
      <c r="K63" s="89"/>
    </row>
    <row r="64" spans="1:11" x14ac:dyDescent="0.25">
      <c r="A64" s="17">
        <v>233</v>
      </c>
      <c r="B64" s="15" t="s">
        <v>37</v>
      </c>
      <c r="C64" s="15" t="s">
        <v>26</v>
      </c>
      <c r="D64" s="17" t="s">
        <v>161</v>
      </c>
      <c r="E64" s="17">
        <v>157</v>
      </c>
      <c r="F64" s="15" t="s">
        <v>37</v>
      </c>
      <c r="G64" s="15" t="s">
        <v>26</v>
      </c>
      <c r="H64" s="17">
        <v>9601189</v>
      </c>
      <c r="I64" s="17">
        <v>5879588</v>
      </c>
      <c r="J64" s="89"/>
      <c r="K64" s="89"/>
    </row>
    <row r="65" spans="1:11" x14ac:dyDescent="0.25">
      <c r="A65" s="17">
        <v>250</v>
      </c>
      <c r="B65" s="15" t="s">
        <v>37</v>
      </c>
      <c r="C65" s="15" t="s">
        <v>26</v>
      </c>
      <c r="D65" s="17" t="s">
        <v>160</v>
      </c>
      <c r="E65" s="17">
        <v>251</v>
      </c>
      <c r="F65" s="15" t="s">
        <v>37</v>
      </c>
      <c r="G65" s="15" t="s">
        <v>26</v>
      </c>
      <c r="H65" s="17">
        <v>3085486</v>
      </c>
      <c r="I65" s="17">
        <v>6708901</v>
      </c>
      <c r="J65" s="89"/>
      <c r="K65" s="89"/>
    </row>
    <row r="66" spans="1:11" x14ac:dyDescent="0.25">
      <c r="A66" s="17">
        <v>233</v>
      </c>
      <c r="B66" s="15" t="s">
        <v>37</v>
      </c>
      <c r="C66" s="15" t="s">
        <v>26</v>
      </c>
      <c r="D66" s="82" t="s">
        <v>162</v>
      </c>
      <c r="E66" s="82"/>
      <c r="F66" s="15" t="s">
        <v>34</v>
      </c>
      <c r="G66" s="15" t="s">
        <v>16</v>
      </c>
      <c r="H66" s="17">
        <v>2853340</v>
      </c>
      <c r="I66" s="17">
        <v>8534103</v>
      </c>
      <c r="J66" s="89" t="s">
        <v>765</v>
      </c>
      <c r="K66" s="89"/>
    </row>
    <row r="67" spans="1:11" x14ac:dyDescent="0.25">
      <c r="A67" s="17">
        <v>157</v>
      </c>
      <c r="B67" s="15" t="s">
        <v>37</v>
      </c>
      <c r="C67" s="15" t="s">
        <v>26</v>
      </c>
      <c r="D67" s="17" t="s">
        <v>163</v>
      </c>
      <c r="E67" s="17">
        <v>233</v>
      </c>
      <c r="F67" s="15" t="s">
        <v>37</v>
      </c>
      <c r="G67" s="15" t="s">
        <v>26</v>
      </c>
      <c r="H67" s="17">
        <v>5879594</v>
      </c>
      <c r="I67" s="17">
        <v>9601195</v>
      </c>
      <c r="J67" s="89"/>
      <c r="K67" s="89"/>
    </row>
    <row r="68" spans="1:11" x14ac:dyDescent="0.25">
      <c r="A68" s="17">
        <v>321</v>
      </c>
      <c r="B68" s="15" t="s">
        <v>37</v>
      </c>
      <c r="C68" s="15" t="s">
        <v>23</v>
      </c>
      <c r="D68" s="17" t="s">
        <v>348</v>
      </c>
      <c r="E68" s="17">
        <v>118</v>
      </c>
      <c r="F68" s="15" t="s">
        <v>37</v>
      </c>
      <c r="G68" s="15" t="s">
        <v>23</v>
      </c>
      <c r="H68" s="17">
        <v>778967</v>
      </c>
      <c r="I68" s="17">
        <v>10584</v>
      </c>
      <c r="J68" s="90" t="s">
        <v>494</v>
      </c>
      <c r="K68" s="89"/>
    </row>
    <row r="69" spans="1:11" x14ac:dyDescent="0.25">
      <c r="A69" s="17">
        <v>321</v>
      </c>
      <c r="B69" s="15" t="s">
        <v>37</v>
      </c>
      <c r="C69" s="15" t="s">
        <v>25</v>
      </c>
      <c r="D69" s="17" t="s">
        <v>121</v>
      </c>
      <c r="E69" s="17">
        <v>197</v>
      </c>
      <c r="F69" s="15" t="s">
        <v>37</v>
      </c>
      <c r="G69" s="15" t="s">
        <v>25</v>
      </c>
      <c r="H69" s="17">
        <v>6418915</v>
      </c>
      <c r="I69" s="17">
        <v>6884524</v>
      </c>
      <c r="J69" s="90" t="s">
        <v>494</v>
      </c>
      <c r="K69" s="89"/>
    </row>
    <row r="70" spans="1:11" x14ac:dyDescent="0.25">
      <c r="A70" s="17">
        <v>321</v>
      </c>
      <c r="B70" s="15" t="s">
        <v>37</v>
      </c>
      <c r="C70" s="15" t="s">
        <v>25</v>
      </c>
      <c r="D70" s="17" t="s">
        <v>124</v>
      </c>
      <c r="E70" s="17">
        <v>263</v>
      </c>
      <c r="F70" s="15" t="s">
        <v>37</v>
      </c>
      <c r="G70" s="15" t="s">
        <v>25</v>
      </c>
      <c r="H70" s="17">
        <v>10226209</v>
      </c>
      <c r="I70" s="17">
        <v>20875923</v>
      </c>
      <c r="J70" s="90" t="s">
        <v>494</v>
      </c>
      <c r="K70" s="89"/>
    </row>
    <row r="71" spans="1:11" x14ac:dyDescent="0.25">
      <c r="A71" s="17">
        <v>321</v>
      </c>
      <c r="B71" s="15" t="s">
        <v>37</v>
      </c>
      <c r="C71" s="15" t="s">
        <v>23</v>
      </c>
      <c r="D71" s="17" t="s">
        <v>139</v>
      </c>
      <c r="E71" s="17">
        <v>118</v>
      </c>
      <c r="F71" s="15" t="s">
        <v>37</v>
      </c>
      <c r="G71" s="15" t="s">
        <v>23</v>
      </c>
      <c r="H71" s="17">
        <v>18379771</v>
      </c>
      <c r="I71" s="17">
        <v>16475777</v>
      </c>
      <c r="J71" s="90" t="s">
        <v>494</v>
      </c>
      <c r="K71" s="89"/>
    </row>
    <row r="72" spans="1:11" x14ac:dyDescent="0.25">
      <c r="A72" s="17">
        <v>321</v>
      </c>
      <c r="B72" s="15" t="s">
        <v>37</v>
      </c>
      <c r="C72" s="15" t="s">
        <v>24</v>
      </c>
      <c r="D72" s="17" t="s">
        <v>75</v>
      </c>
      <c r="E72" s="17">
        <v>253</v>
      </c>
      <c r="F72" s="15" t="s">
        <v>37</v>
      </c>
      <c r="G72" s="15" t="s">
        <v>24</v>
      </c>
      <c r="H72" s="12">
        <v>8259053</v>
      </c>
      <c r="I72" s="12">
        <v>2954006</v>
      </c>
      <c r="J72" s="90" t="s">
        <v>494</v>
      </c>
      <c r="K72" s="89"/>
    </row>
    <row r="73" spans="1:11" x14ac:dyDescent="0.25">
      <c r="J73" s="89"/>
      <c r="K73" s="89"/>
    </row>
  </sheetData>
  <mergeCells count="3">
    <mergeCell ref="A1:C1"/>
    <mergeCell ref="D1:G1"/>
    <mergeCell ref="H1:I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0"/>
  <sheetViews>
    <sheetView workbookViewId="0">
      <selection sqref="A1:C1"/>
    </sheetView>
  </sheetViews>
  <sheetFormatPr defaultRowHeight="15" x14ac:dyDescent="0.25"/>
  <cols>
    <col min="1" max="1" width="14.7109375" bestFit="1" customWidth="1"/>
    <col min="2" max="2" width="14.28515625" bestFit="1" customWidth="1"/>
    <col min="3" max="3" width="25" bestFit="1" customWidth="1"/>
    <col min="4" max="4" width="36.425781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42.71093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257</v>
      </c>
      <c r="B3" s="15" t="s">
        <v>36</v>
      </c>
      <c r="C3" s="88"/>
      <c r="D3" s="10" t="s">
        <v>164</v>
      </c>
      <c r="E3" s="86"/>
      <c r="F3" s="15" t="s">
        <v>36</v>
      </c>
      <c r="G3" s="15" t="s">
        <v>21</v>
      </c>
      <c r="H3" s="12">
        <v>253287</v>
      </c>
      <c r="I3" s="12">
        <v>13050</v>
      </c>
      <c r="J3" s="90" t="s">
        <v>495</v>
      </c>
    </row>
    <row r="4" spans="1:10" x14ac:dyDescent="0.25">
      <c r="A4" s="12">
        <v>257</v>
      </c>
      <c r="B4" s="15" t="s">
        <v>36</v>
      </c>
      <c r="C4" s="15" t="s">
        <v>20</v>
      </c>
      <c r="D4" s="10" t="s">
        <v>165</v>
      </c>
      <c r="E4" s="86"/>
      <c r="F4" s="15" t="s">
        <v>28</v>
      </c>
      <c r="G4" s="15" t="s">
        <v>19</v>
      </c>
      <c r="H4" s="12">
        <v>33639</v>
      </c>
      <c r="I4" s="12">
        <v>13290</v>
      </c>
      <c r="J4" t="s">
        <v>492</v>
      </c>
    </row>
    <row r="5" spans="1:10" x14ac:dyDescent="0.25">
      <c r="A5" s="12">
        <v>257</v>
      </c>
      <c r="B5" s="15" t="s">
        <v>36</v>
      </c>
      <c r="C5" s="15" t="s">
        <v>20</v>
      </c>
      <c r="D5" s="10" t="s">
        <v>166</v>
      </c>
      <c r="E5" s="10">
        <v>273</v>
      </c>
      <c r="F5" s="15" t="s">
        <v>28</v>
      </c>
      <c r="G5" s="15" t="s">
        <v>19</v>
      </c>
      <c r="H5" s="12">
        <v>12100</v>
      </c>
      <c r="I5" s="12">
        <v>83005</v>
      </c>
      <c r="J5" t="s">
        <v>492</v>
      </c>
    </row>
    <row r="6" spans="1:10" x14ac:dyDescent="0.25">
      <c r="A6" s="12">
        <v>257</v>
      </c>
      <c r="B6" s="15" t="s">
        <v>36</v>
      </c>
      <c r="C6" s="88"/>
      <c r="D6" s="10" t="s">
        <v>167</v>
      </c>
      <c r="E6" s="10">
        <v>258</v>
      </c>
      <c r="F6" s="15" t="s">
        <v>36</v>
      </c>
      <c r="G6" s="15" t="s">
        <v>21</v>
      </c>
      <c r="H6" s="17">
        <v>1924873</v>
      </c>
      <c r="I6" s="17">
        <v>540934</v>
      </c>
      <c r="J6" s="90" t="s">
        <v>495</v>
      </c>
    </row>
    <row r="7" spans="1:10" x14ac:dyDescent="0.25">
      <c r="A7" s="12">
        <v>257</v>
      </c>
      <c r="B7" s="15" t="s">
        <v>36</v>
      </c>
      <c r="C7" s="88"/>
      <c r="D7" s="10" t="s">
        <v>128</v>
      </c>
      <c r="E7" s="10">
        <v>321</v>
      </c>
      <c r="F7" s="82"/>
      <c r="G7" s="82"/>
      <c r="H7" s="17">
        <v>1421261</v>
      </c>
      <c r="I7" s="17">
        <v>1711525</v>
      </c>
      <c r="J7" t="s">
        <v>490</v>
      </c>
    </row>
    <row r="8" spans="1:10" x14ac:dyDescent="0.25">
      <c r="A8" s="17">
        <v>257</v>
      </c>
      <c r="B8" s="15" t="s">
        <v>36</v>
      </c>
      <c r="C8" s="15" t="s">
        <v>20</v>
      </c>
      <c r="D8" s="10" t="s">
        <v>168</v>
      </c>
      <c r="E8" s="10">
        <v>272</v>
      </c>
      <c r="F8" s="91" t="s">
        <v>33</v>
      </c>
      <c r="G8" s="91" t="s">
        <v>10</v>
      </c>
      <c r="H8" s="10">
        <v>2508865</v>
      </c>
      <c r="I8" s="10">
        <v>1732279</v>
      </c>
      <c r="J8" t="s">
        <v>492</v>
      </c>
    </row>
    <row r="9" spans="1:10" x14ac:dyDescent="0.25">
      <c r="A9" s="17">
        <v>257</v>
      </c>
      <c r="B9" s="15" t="s">
        <v>36</v>
      </c>
      <c r="C9" s="15" t="s">
        <v>21</v>
      </c>
      <c r="D9" s="10" t="s">
        <v>169</v>
      </c>
      <c r="E9" s="86"/>
      <c r="F9" s="91" t="s">
        <v>29</v>
      </c>
      <c r="G9" s="91" t="s">
        <v>7</v>
      </c>
      <c r="H9" s="10">
        <v>58049</v>
      </c>
      <c r="I9" s="10">
        <v>2029865</v>
      </c>
      <c r="J9" t="s">
        <v>493</v>
      </c>
    </row>
    <row r="10" spans="1:10" x14ac:dyDescent="0.25">
      <c r="A10" s="17">
        <v>257</v>
      </c>
      <c r="B10" s="15" t="s">
        <v>36</v>
      </c>
      <c r="C10" s="15" t="s">
        <v>20</v>
      </c>
      <c r="D10" s="10" t="s">
        <v>139</v>
      </c>
      <c r="E10" s="10">
        <v>118</v>
      </c>
      <c r="F10" s="91" t="s">
        <v>37</v>
      </c>
      <c r="G10" s="91" t="s">
        <v>23</v>
      </c>
      <c r="H10" s="10">
        <v>2029929</v>
      </c>
      <c r="I10" s="10">
        <v>2271122</v>
      </c>
    </row>
    <row r="11" spans="1:10" x14ac:dyDescent="0.25">
      <c r="A11" s="17">
        <v>258</v>
      </c>
      <c r="B11" s="15" t="s">
        <v>36</v>
      </c>
      <c r="C11" s="15" t="s">
        <v>21</v>
      </c>
      <c r="D11" s="10" t="s">
        <v>128</v>
      </c>
      <c r="E11" s="10">
        <v>321</v>
      </c>
      <c r="F11" s="91" t="s">
        <v>36</v>
      </c>
      <c r="G11" s="91" t="s">
        <v>21</v>
      </c>
      <c r="H11" s="10">
        <v>1697377</v>
      </c>
      <c r="I11" s="10">
        <v>3320327</v>
      </c>
      <c r="J11" s="90" t="s">
        <v>494</v>
      </c>
    </row>
    <row r="12" spans="1:10" x14ac:dyDescent="0.25">
      <c r="A12" s="17">
        <v>258</v>
      </c>
      <c r="B12" s="15" t="s">
        <v>36</v>
      </c>
      <c r="C12" s="15" t="s">
        <v>21</v>
      </c>
      <c r="D12" s="10" t="s">
        <v>139</v>
      </c>
      <c r="E12" s="10">
        <v>118</v>
      </c>
      <c r="F12" s="91" t="s">
        <v>37</v>
      </c>
      <c r="G12" s="91" t="s">
        <v>23</v>
      </c>
      <c r="H12" s="10">
        <v>3807475</v>
      </c>
      <c r="I12" s="10">
        <v>4501235</v>
      </c>
    </row>
    <row r="13" spans="1:10" x14ac:dyDescent="0.25">
      <c r="A13" s="17">
        <v>258</v>
      </c>
      <c r="B13" s="15" t="s">
        <v>36</v>
      </c>
      <c r="C13" s="15" t="s">
        <v>21</v>
      </c>
      <c r="D13" s="10" t="s">
        <v>170</v>
      </c>
      <c r="E13" s="10">
        <v>257</v>
      </c>
      <c r="F13" s="91" t="s">
        <v>36</v>
      </c>
      <c r="G13" s="91" t="s">
        <v>21</v>
      </c>
      <c r="H13" s="10">
        <v>3382727</v>
      </c>
      <c r="I13" s="10">
        <v>4652557</v>
      </c>
      <c r="J13" s="90" t="s">
        <v>494</v>
      </c>
    </row>
    <row r="14" spans="1:10" x14ac:dyDescent="0.25">
      <c r="A14" s="17">
        <v>321</v>
      </c>
      <c r="B14" s="15" t="s">
        <v>36</v>
      </c>
      <c r="C14" s="15" t="s">
        <v>21</v>
      </c>
      <c r="D14" s="10" t="s">
        <v>400</v>
      </c>
      <c r="E14" s="10">
        <v>188</v>
      </c>
      <c r="F14" s="91" t="s">
        <v>36</v>
      </c>
      <c r="G14" s="91" t="s">
        <v>20</v>
      </c>
      <c r="H14" s="10">
        <v>285009</v>
      </c>
      <c r="I14" s="10">
        <v>28204</v>
      </c>
    </row>
    <row r="15" spans="1:10" x14ac:dyDescent="0.25">
      <c r="A15" s="17">
        <v>321</v>
      </c>
      <c r="B15" s="15" t="s">
        <v>36</v>
      </c>
      <c r="C15" s="15" t="s">
        <v>21</v>
      </c>
      <c r="D15" s="10" t="s">
        <v>401</v>
      </c>
      <c r="E15" s="10">
        <v>113</v>
      </c>
      <c r="F15" s="91" t="s">
        <v>36</v>
      </c>
      <c r="G15" s="91" t="s">
        <v>20</v>
      </c>
      <c r="H15" s="10">
        <v>75182</v>
      </c>
      <c r="I15" s="10">
        <v>47870</v>
      </c>
    </row>
    <row r="16" spans="1:10" x14ac:dyDescent="0.25">
      <c r="A16" s="17">
        <v>321</v>
      </c>
      <c r="B16" s="15" t="s">
        <v>36</v>
      </c>
      <c r="C16" s="15" t="s">
        <v>21</v>
      </c>
      <c r="D16" s="10" t="s">
        <v>402</v>
      </c>
      <c r="E16" s="10">
        <v>190</v>
      </c>
      <c r="F16" s="91" t="s">
        <v>36</v>
      </c>
      <c r="G16" s="91" t="s">
        <v>20</v>
      </c>
      <c r="H16" s="10">
        <v>21551</v>
      </c>
      <c r="I16" s="10">
        <v>166974</v>
      </c>
    </row>
    <row r="17" spans="1:10" x14ac:dyDescent="0.25">
      <c r="A17" s="17">
        <v>321</v>
      </c>
      <c r="B17" s="15" t="s">
        <v>36</v>
      </c>
      <c r="C17" s="15" t="s">
        <v>21</v>
      </c>
      <c r="D17" s="10" t="s">
        <v>167</v>
      </c>
      <c r="E17" s="10">
        <v>258</v>
      </c>
      <c r="F17" s="91" t="s">
        <v>36</v>
      </c>
      <c r="G17" s="91" t="s">
        <v>21</v>
      </c>
      <c r="H17" s="10">
        <v>3320327</v>
      </c>
      <c r="I17" s="10">
        <v>1697377</v>
      </c>
      <c r="J17" s="90" t="s">
        <v>494</v>
      </c>
    </row>
    <row r="18" spans="1:10" x14ac:dyDescent="0.25">
      <c r="A18" s="17">
        <v>321</v>
      </c>
      <c r="B18" s="15" t="s">
        <v>36</v>
      </c>
      <c r="C18" s="15" t="s">
        <v>21</v>
      </c>
      <c r="D18" s="10" t="s">
        <v>350</v>
      </c>
      <c r="E18" s="10">
        <v>259</v>
      </c>
      <c r="F18" s="91" t="s">
        <v>36</v>
      </c>
      <c r="G18" s="91" t="s">
        <v>21</v>
      </c>
      <c r="H18" s="10">
        <v>0</v>
      </c>
      <c r="I18" s="10">
        <v>124033</v>
      </c>
      <c r="J18" s="90" t="s">
        <v>494</v>
      </c>
    </row>
    <row r="19" spans="1:10" x14ac:dyDescent="0.25">
      <c r="A19" s="17">
        <v>321</v>
      </c>
      <c r="B19" s="15" t="s">
        <v>36</v>
      </c>
      <c r="C19" s="15" t="s">
        <v>21</v>
      </c>
      <c r="D19" s="10" t="s">
        <v>353</v>
      </c>
      <c r="E19" s="10">
        <v>220</v>
      </c>
      <c r="F19" s="91" t="s">
        <v>36</v>
      </c>
      <c r="G19" s="91" t="s">
        <v>21</v>
      </c>
      <c r="H19" s="10">
        <v>22333</v>
      </c>
      <c r="I19" s="10">
        <v>430385</v>
      </c>
      <c r="J19" s="90" t="s">
        <v>494</v>
      </c>
    </row>
    <row r="20" spans="1:10" x14ac:dyDescent="0.25">
      <c r="A20" s="17">
        <v>321</v>
      </c>
      <c r="B20" s="17" t="s">
        <v>344</v>
      </c>
      <c r="C20" s="15" t="s">
        <v>345</v>
      </c>
      <c r="D20" s="10" t="s">
        <v>170</v>
      </c>
      <c r="E20" s="10">
        <v>257</v>
      </c>
      <c r="F20" s="82"/>
      <c r="G20" s="82"/>
      <c r="H20" s="17">
        <v>13101647</v>
      </c>
      <c r="I20" s="17">
        <v>12893796</v>
      </c>
      <c r="J20" t="s">
        <v>490</v>
      </c>
    </row>
  </sheetData>
  <mergeCells count="3">
    <mergeCell ref="A1:C1"/>
    <mergeCell ref="D1:G1"/>
    <mergeCell ref="H1:I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5"/>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18.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165</v>
      </c>
      <c r="B3" s="15" t="s">
        <v>29</v>
      </c>
      <c r="C3" s="15" t="s">
        <v>7</v>
      </c>
      <c r="D3" s="13" t="s">
        <v>171</v>
      </c>
      <c r="E3" s="87"/>
      <c r="F3" s="87"/>
      <c r="G3" s="87"/>
      <c r="H3" s="12">
        <v>12886</v>
      </c>
      <c r="I3" s="12">
        <v>437366</v>
      </c>
    </row>
    <row r="4" spans="1:10" x14ac:dyDescent="0.25">
      <c r="A4" s="17">
        <v>165</v>
      </c>
      <c r="B4" s="15" t="s">
        <v>29</v>
      </c>
      <c r="C4" s="15" t="s">
        <v>7</v>
      </c>
      <c r="D4" s="17" t="s">
        <v>102</v>
      </c>
      <c r="E4" s="17">
        <v>257</v>
      </c>
      <c r="F4" s="15" t="s">
        <v>29</v>
      </c>
      <c r="G4" s="15" t="s">
        <v>7</v>
      </c>
      <c r="H4" s="17">
        <v>2145909</v>
      </c>
      <c r="I4" s="17">
        <v>530896</v>
      </c>
      <c r="J4" s="90" t="s">
        <v>494</v>
      </c>
    </row>
    <row r="5" spans="1:10" x14ac:dyDescent="0.25">
      <c r="A5" s="17">
        <v>323</v>
      </c>
      <c r="B5" s="15" t="s">
        <v>29</v>
      </c>
      <c r="C5" s="15" t="s">
        <v>7</v>
      </c>
      <c r="D5" s="17" t="s">
        <v>172</v>
      </c>
      <c r="E5" s="17">
        <v>323</v>
      </c>
      <c r="F5" s="15" t="s">
        <v>29</v>
      </c>
      <c r="G5" s="15" t="s">
        <v>7</v>
      </c>
      <c r="H5" s="17">
        <v>0</v>
      </c>
      <c r="I5" s="17">
        <v>3102311</v>
      </c>
    </row>
  </sheetData>
  <mergeCells count="3">
    <mergeCell ref="A1:C1"/>
    <mergeCell ref="D1:G1"/>
    <mergeCell ref="H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6.140625" bestFit="1" customWidth="1"/>
    <col min="5" max="5" width="25.42578125" bestFit="1" customWidth="1"/>
    <col min="6" max="6" width="12.42578125" bestFit="1" customWidth="1"/>
    <col min="7" max="7" width="13.28515625" bestFit="1" customWidth="1"/>
    <col min="8" max="8" width="18.7109375" bestFit="1" customWidth="1"/>
    <col min="9" max="10"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8">
        <v>236</v>
      </c>
      <c r="B3" s="15" t="s">
        <v>28</v>
      </c>
      <c r="C3" s="15" t="s">
        <v>5</v>
      </c>
      <c r="D3" s="17" t="s">
        <v>173</v>
      </c>
      <c r="E3" s="93">
        <v>244</v>
      </c>
      <c r="F3" s="15" t="s">
        <v>28</v>
      </c>
      <c r="G3" s="15" t="s">
        <v>5</v>
      </c>
      <c r="H3" s="12">
        <v>82024</v>
      </c>
      <c r="I3" s="12">
        <v>0</v>
      </c>
    </row>
    <row r="4" spans="1:10" x14ac:dyDescent="0.25">
      <c r="A4" s="18">
        <v>274</v>
      </c>
      <c r="B4" s="15" t="s">
        <v>28</v>
      </c>
      <c r="C4" s="15" t="s">
        <v>5</v>
      </c>
      <c r="D4" s="17" t="s">
        <v>174</v>
      </c>
      <c r="E4" s="93">
        <v>182</v>
      </c>
      <c r="F4" s="15" t="s">
        <v>28</v>
      </c>
      <c r="G4" s="15" t="s">
        <v>5</v>
      </c>
      <c r="H4" s="12">
        <v>176219</v>
      </c>
      <c r="I4" s="12">
        <v>0</v>
      </c>
    </row>
    <row r="5" spans="1:10" x14ac:dyDescent="0.25">
      <c r="A5" s="18">
        <v>274</v>
      </c>
      <c r="B5" s="15" t="s">
        <v>28</v>
      </c>
      <c r="C5" s="15" t="s">
        <v>5</v>
      </c>
      <c r="D5" s="82" t="s">
        <v>175</v>
      </c>
      <c r="E5" s="94"/>
      <c r="F5" s="15" t="s">
        <v>28</v>
      </c>
      <c r="G5" s="15" t="s">
        <v>12</v>
      </c>
      <c r="H5" s="12">
        <v>334840</v>
      </c>
      <c r="I5" s="12">
        <v>0</v>
      </c>
      <c r="J5" t="s">
        <v>765</v>
      </c>
    </row>
    <row r="6" spans="1:10" x14ac:dyDescent="0.25">
      <c r="A6" s="18">
        <v>266</v>
      </c>
      <c r="B6" s="15" t="s">
        <v>28</v>
      </c>
      <c r="C6" s="15" t="s">
        <v>5</v>
      </c>
      <c r="D6" s="17" t="s">
        <v>176</v>
      </c>
      <c r="E6" s="93">
        <v>236</v>
      </c>
      <c r="F6" s="15" t="s">
        <v>28</v>
      </c>
      <c r="G6" s="15" t="s">
        <v>5</v>
      </c>
      <c r="H6" s="17">
        <v>768478</v>
      </c>
      <c r="I6" s="12">
        <v>0</v>
      </c>
    </row>
    <row r="7" spans="1:10" x14ac:dyDescent="0.25">
      <c r="A7" s="18">
        <v>266</v>
      </c>
      <c r="B7" s="15" t="s">
        <v>28</v>
      </c>
      <c r="C7" s="15" t="s">
        <v>5</v>
      </c>
      <c r="D7" s="17" t="s">
        <v>173</v>
      </c>
      <c r="E7" s="93">
        <v>244</v>
      </c>
      <c r="F7" s="15" t="s">
        <v>28</v>
      </c>
      <c r="G7" s="15" t="s">
        <v>5</v>
      </c>
      <c r="H7" s="17">
        <v>1064309</v>
      </c>
      <c r="I7" s="12">
        <v>0</v>
      </c>
    </row>
    <row r="8" spans="1:10" x14ac:dyDescent="0.25">
      <c r="A8" s="18">
        <v>236</v>
      </c>
      <c r="B8" s="15" t="s">
        <v>28</v>
      </c>
      <c r="C8" s="15" t="s">
        <v>5</v>
      </c>
      <c r="D8" s="17" t="s">
        <v>177</v>
      </c>
      <c r="E8" s="93">
        <v>235</v>
      </c>
      <c r="F8" s="15" t="s">
        <v>28</v>
      </c>
      <c r="G8" s="15" t="s">
        <v>19</v>
      </c>
      <c r="H8" s="17">
        <v>1089983</v>
      </c>
      <c r="I8" s="12">
        <v>0</v>
      </c>
    </row>
    <row r="9" spans="1:10" x14ac:dyDescent="0.25">
      <c r="A9" s="18">
        <v>274</v>
      </c>
      <c r="B9" s="15" t="s">
        <v>28</v>
      </c>
      <c r="C9" s="15" t="s">
        <v>5</v>
      </c>
      <c r="D9" s="17" t="s">
        <v>178</v>
      </c>
      <c r="E9" s="93">
        <v>315</v>
      </c>
      <c r="F9" s="15" t="s">
        <v>28</v>
      </c>
      <c r="G9" s="15" t="s">
        <v>5</v>
      </c>
      <c r="H9" s="17">
        <v>2406167</v>
      </c>
      <c r="I9" s="12">
        <v>0</v>
      </c>
    </row>
    <row r="10" spans="1:10" x14ac:dyDescent="0.25">
      <c r="A10" s="18">
        <v>266</v>
      </c>
      <c r="B10" s="15" t="s">
        <v>28</v>
      </c>
      <c r="C10" s="15" t="s">
        <v>5</v>
      </c>
      <c r="D10" s="17" t="s">
        <v>179</v>
      </c>
      <c r="E10" s="93">
        <v>273</v>
      </c>
      <c r="F10" s="15" t="s">
        <v>28</v>
      </c>
      <c r="G10" s="15" t="s">
        <v>19</v>
      </c>
      <c r="H10" s="17">
        <v>2541993</v>
      </c>
      <c r="I10" s="12">
        <v>0</v>
      </c>
    </row>
    <row r="11" spans="1:10" x14ac:dyDescent="0.25">
      <c r="A11" s="18">
        <v>266</v>
      </c>
      <c r="B11" s="15" t="s">
        <v>28</v>
      </c>
      <c r="C11" s="15" t="s">
        <v>5</v>
      </c>
      <c r="D11" s="17" t="s">
        <v>180</v>
      </c>
      <c r="E11" s="93">
        <v>274</v>
      </c>
      <c r="F11" s="15" t="s">
        <v>28</v>
      </c>
      <c r="G11" s="15" t="s">
        <v>5</v>
      </c>
      <c r="H11" s="17">
        <v>2697056</v>
      </c>
      <c r="I11" s="12">
        <v>0</v>
      </c>
    </row>
    <row r="12" spans="1:10" x14ac:dyDescent="0.25">
      <c r="A12" s="18">
        <v>266</v>
      </c>
      <c r="B12" s="15" t="s">
        <v>28</v>
      </c>
      <c r="C12" s="15" t="s">
        <v>5</v>
      </c>
      <c r="D12" s="17" t="s">
        <v>181</v>
      </c>
      <c r="E12" s="93">
        <v>116</v>
      </c>
      <c r="F12" s="15" t="s">
        <v>28</v>
      </c>
      <c r="G12" s="15" t="s">
        <v>5</v>
      </c>
      <c r="H12" s="17">
        <v>3442884</v>
      </c>
      <c r="I12" s="12">
        <v>0</v>
      </c>
    </row>
    <row r="13" spans="1:10" x14ac:dyDescent="0.25">
      <c r="A13" s="18">
        <v>274</v>
      </c>
      <c r="B13" s="15" t="s">
        <v>28</v>
      </c>
      <c r="C13" s="15" t="s">
        <v>5</v>
      </c>
      <c r="D13" s="17" t="s">
        <v>182</v>
      </c>
      <c r="E13" s="93">
        <v>273</v>
      </c>
      <c r="F13" s="15" t="s">
        <v>28</v>
      </c>
      <c r="G13" s="15" t="s">
        <v>19</v>
      </c>
      <c r="H13" s="17">
        <v>3798689</v>
      </c>
      <c r="I13" s="12">
        <v>0</v>
      </c>
    </row>
    <row r="14" spans="1:10" x14ac:dyDescent="0.25">
      <c r="A14" s="18">
        <v>274</v>
      </c>
      <c r="B14" s="15" t="s">
        <v>28</v>
      </c>
      <c r="C14" s="15" t="s">
        <v>5</v>
      </c>
      <c r="D14" s="17" t="s">
        <v>183</v>
      </c>
      <c r="E14" s="93">
        <v>116</v>
      </c>
      <c r="F14" s="15" t="s">
        <v>28</v>
      </c>
      <c r="G14" s="15" t="s">
        <v>5</v>
      </c>
      <c r="H14" s="17">
        <v>7728964</v>
      </c>
      <c r="I14" s="12">
        <v>0</v>
      </c>
    </row>
    <row r="15" spans="1:10" x14ac:dyDescent="0.25">
      <c r="A15" s="18">
        <v>244</v>
      </c>
      <c r="B15" s="15" t="s">
        <v>28</v>
      </c>
      <c r="C15" s="15" t="s">
        <v>5</v>
      </c>
      <c r="D15" s="17" t="s">
        <v>184</v>
      </c>
      <c r="E15" s="93">
        <v>273</v>
      </c>
      <c r="F15" s="15" t="s">
        <v>28</v>
      </c>
      <c r="G15" s="15" t="s">
        <v>19</v>
      </c>
      <c r="H15" s="17">
        <v>24223</v>
      </c>
      <c r="I15" s="12">
        <v>17</v>
      </c>
    </row>
    <row r="16" spans="1:10" x14ac:dyDescent="0.25">
      <c r="A16" s="18">
        <v>266</v>
      </c>
      <c r="B16" s="15" t="s">
        <v>28</v>
      </c>
      <c r="C16" s="15" t="s">
        <v>5</v>
      </c>
      <c r="D16" s="17" t="s">
        <v>185</v>
      </c>
      <c r="E16" s="93">
        <v>154</v>
      </c>
      <c r="F16" s="15" t="s">
        <v>28</v>
      </c>
      <c r="G16" s="15" t="s">
        <v>5</v>
      </c>
      <c r="H16" s="17">
        <v>0</v>
      </c>
      <c r="I16" s="12">
        <v>1001</v>
      </c>
    </row>
    <row r="17" spans="1:10" x14ac:dyDescent="0.25">
      <c r="A17" s="18">
        <v>116</v>
      </c>
      <c r="B17" s="15" t="s">
        <v>28</v>
      </c>
      <c r="C17" s="15" t="s">
        <v>5</v>
      </c>
      <c r="D17" s="17" t="s">
        <v>186</v>
      </c>
      <c r="E17" s="93">
        <v>182</v>
      </c>
      <c r="F17" s="15" t="s">
        <v>28</v>
      </c>
      <c r="G17" s="15" t="s">
        <v>5</v>
      </c>
      <c r="H17" s="17">
        <v>336423</v>
      </c>
      <c r="I17" s="12">
        <v>6895</v>
      </c>
    </row>
    <row r="18" spans="1:10" x14ac:dyDescent="0.25">
      <c r="A18" s="18">
        <v>244</v>
      </c>
      <c r="B18" s="15" t="s">
        <v>28</v>
      </c>
      <c r="C18" s="15" t="s">
        <v>5</v>
      </c>
      <c r="D18" s="17" t="s">
        <v>187</v>
      </c>
      <c r="E18" s="93">
        <v>153</v>
      </c>
      <c r="F18" s="15" t="s">
        <v>28</v>
      </c>
      <c r="G18" s="15" t="s">
        <v>5</v>
      </c>
      <c r="H18" s="17">
        <v>1130467</v>
      </c>
      <c r="I18" s="12">
        <v>8766</v>
      </c>
    </row>
    <row r="19" spans="1:10" x14ac:dyDescent="0.25">
      <c r="A19" s="18">
        <v>236</v>
      </c>
      <c r="B19" s="15" t="s">
        <v>28</v>
      </c>
      <c r="C19" s="15" t="s">
        <v>5</v>
      </c>
      <c r="D19" s="17" t="s">
        <v>188</v>
      </c>
      <c r="E19" s="93">
        <v>116</v>
      </c>
      <c r="F19" s="15" t="s">
        <v>28</v>
      </c>
      <c r="G19" s="15" t="s">
        <v>5</v>
      </c>
      <c r="H19" s="17">
        <v>2840123</v>
      </c>
      <c r="I19" s="12">
        <v>9608</v>
      </c>
    </row>
    <row r="20" spans="1:10" x14ac:dyDescent="0.25">
      <c r="A20" s="18">
        <v>244</v>
      </c>
      <c r="B20" s="15" t="s">
        <v>28</v>
      </c>
      <c r="C20" s="15" t="s">
        <v>5</v>
      </c>
      <c r="D20" s="17" t="s">
        <v>189</v>
      </c>
      <c r="E20" s="93">
        <v>293</v>
      </c>
      <c r="F20" s="15" t="s">
        <v>28</v>
      </c>
      <c r="G20" s="15" t="s">
        <v>5</v>
      </c>
      <c r="H20" s="17">
        <v>1313362</v>
      </c>
      <c r="I20" s="12">
        <v>15610</v>
      </c>
    </row>
    <row r="21" spans="1:10" x14ac:dyDescent="0.25">
      <c r="A21" s="18">
        <v>244</v>
      </c>
      <c r="B21" s="15" t="s">
        <v>28</v>
      </c>
      <c r="C21" s="15" t="s">
        <v>5</v>
      </c>
      <c r="D21" s="17" t="s">
        <v>190</v>
      </c>
      <c r="E21" s="93">
        <v>324</v>
      </c>
      <c r="F21" s="15" t="s">
        <v>28</v>
      </c>
      <c r="G21" s="15" t="s">
        <v>12</v>
      </c>
      <c r="H21" s="12">
        <v>20924</v>
      </c>
      <c r="I21" s="12">
        <v>20887</v>
      </c>
    </row>
    <row r="22" spans="1:10" x14ac:dyDescent="0.25">
      <c r="A22" s="18">
        <v>116</v>
      </c>
      <c r="B22" s="15" t="s">
        <v>28</v>
      </c>
      <c r="C22" s="15" t="s">
        <v>5</v>
      </c>
      <c r="D22" s="82" t="s">
        <v>191</v>
      </c>
      <c r="E22" s="94"/>
      <c r="F22" s="15" t="s">
        <v>28</v>
      </c>
      <c r="G22" s="15" t="s">
        <v>12</v>
      </c>
      <c r="H22" s="12">
        <v>2208751</v>
      </c>
      <c r="I22" s="12">
        <v>28536</v>
      </c>
      <c r="J22" t="s">
        <v>765</v>
      </c>
    </row>
    <row r="23" spans="1:10" x14ac:dyDescent="0.25">
      <c r="A23" s="18">
        <v>210</v>
      </c>
      <c r="B23" s="15" t="s">
        <v>28</v>
      </c>
      <c r="C23" s="15" t="s">
        <v>5</v>
      </c>
      <c r="D23" s="17" t="s">
        <v>192</v>
      </c>
      <c r="E23" s="93">
        <v>228</v>
      </c>
      <c r="F23" s="15" t="s">
        <v>28</v>
      </c>
      <c r="G23" s="15" t="s">
        <v>12</v>
      </c>
      <c r="H23" s="12">
        <v>1531268</v>
      </c>
      <c r="I23" s="12">
        <v>35039</v>
      </c>
    </row>
    <row r="24" spans="1:10" x14ac:dyDescent="0.25">
      <c r="A24" s="18">
        <v>244</v>
      </c>
      <c r="B24" s="15" t="s">
        <v>28</v>
      </c>
      <c r="C24" s="15" t="s">
        <v>5</v>
      </c>
      <c r="D24" s="17" t="s">
        <v>193</v>
      </c>
      <c r="E24" s="93">
        <v>236</v>
      </c>
      <c r="F24" s="15" t="s">
        <v>28</v>
      </c>
      <c r="G24" s="15" t="s">
        <v>5</v>
      </c>
      <c r="H24" s="12">
        <v>0</v>
      </c>
      <c r="I24" s="12">
        <v>81808</v>
      </c>
    </row>
    <row r="25" spans="1:10" x14ac:dyDescent="0.25">
      <c r="A25" s="18">
        <v>116</v>
      </c>
      <c r="B25" s="15" t="s">
        <v>28</v>
      </c>
      <c r="C25" s="15" t="s">
        <v>5</v>
      </c>
      <c r="D25" s="17" t="s">
        <v>194</v>
      </c>
      <c r="E25" s="93">
        <v>228</v>
      </c>
      <c r="F25" s="15" t="s">
        <v>28</v>
      </c>
      <c r="G25" s="15" t="s">
        <v>12</v>
      </c>
      <c r="H25" s="12">
        <v>3758696</v>
      </c>
      <c r="I25" s="12">
        <v>103422</v>
      </c>
    </row>
    <row r="26" spans="1:10" x14ac:dyDescent="0.25">
      <c r="A26" s="18">
        <v>244</v>
      </c>
      <c r="B26" s="15" t="s">
        <v>28</v>
      </c>
      <c r="C26" s="15" t="s">
        <v>5</v>
      </c>
      <c r="D26" s="17" t="s">
        <v>195</v>
      </c>
      <c r="E26" s="93">
        <v>228</v>
      </c>
      <c r="F26" s="15" t="s">
        <v>28</v>
      </c>
      <c r="G26" s="15" t="s">
        <v>12</v>
      </c>
      <c r="H26" s="12">
        <v>2</v>
      </c>
      <c r="I26" s="12">
        <v>165100</v>
      </c>
    </row>
    <row r="27" spans="1:10" x14ac:dyDescent="0.25">
      <c r="A27" s="18">
        <v>182</v>
      </c>
      <c r="B27" s="15" t="s">
        <v>28</v>
      </c>
      <c r="C27" s="15" t="s">
        <v>5</v>
      </c>
      <c r="D27" s="17" t="s">
        <v>196</v>
      </c>
      <c r="E27" s="93">
        <v>274</v>
      </c>
      <c r="F27" s="15" t="s">
        <v>28</v>
      </c>
      <c r="G27" s="15" t="s">
        <v>5</v>
      </c>
      <c r="H27" s="12">
        <v>0</v>
      </c>
      <c r="I27" s="12">
        <v>176236</v>
      </c>
    </row>
    <row r="28" spans="1:10" x14ac:dyDescent="0.25">
      <c r="A28" s="18">
        <v>244</v>
      </c>
      <c r="B28" s="15" t="s">
        <v>28</v>
      </c>
      <c r="C28" s="15" t="s">
        <v>5</v>
      </c>
      <c r="D28" s="17" t="s">
        <v>197</v>
      </c>
      <c r="E28" s="93">
        <v>274</v>
      </c>
      <c r="F28" s="15" t="s">
        <v>28</v>
      </c>
      <c r="G28" s="15" t="s">
        <v>5</v>
      </c>
      <c r="H28" s="12">
        <v>3288887</v>
      </c>
      <c r="I28" s="12">
        <v>192176</v>
      </c>
    </row>
    <row r="29" spans="1:10" x14ac:dyDescent="0.25">
      <c r="A29" s="18">
        <v>116</v>
      </c>
      <c r="B29" s="15" t="s">
        <v>28</v>
      </c>
      <c r="C29" s="15" t="s">
        <v>5</v>
      </c>
      <c r="D29" s="17" t="s">
        <v>198</v>
      </c>
      <c r="E29" s="93">
        <v>323</v>
      </c>
      <c r="F29" s="15" t="s">
        <v>29</v>
      </c>
      <c r="G29" s="15" t="s">
        <v>7</v>
      </c>
      <c r="H29" s="12">
        <v>4447540</v>
      </c>
      <c r="I29" s="12">
        <v>212771</v>
      </c>
    </row>
    <row r="30" spans="1:10" x14ac:dyDescent="0.25">
      <c r="A30" s="18">
        <v>236</v>
      </c>
      <c r="B30" s="15" t="s">
        <v>28</v>
      </c>
      <c r="C30" s="15" t="s">
        <v>5</v>
      </c>
      <c r="D30" s="17" t="s">
        <v>199</v>
      </c>
      <c r="E30" s="93">
        <v>259</v>
      </c>
      <c r="F30" s="15" t="s">
        <v>36</v>
      </c>
      <c r="G30" s="15" t="s">
        <v>21</v>
      </c>
      <c r="H30" s="12">
        <v>39047</v>
      </c>
      <c r="I30" s="12">
        <v>277327</v>
      </c>
    </row>
    <row r="31" spans="1:10" x14ac:dyDescent="0.25">
      <c r="A31" s="18">
        <v>182</v>
      </c>
      <c r="B31" s="15" t="s">
        <v>28</v>
      </c>
      <c r="C31" s="15" t="s">
        <v>5</v>
      </c>
      <c r="D31" s="17" t="s">
        <v>200</v>
      </c>
      <c r="E31" s="93">
        <v>116</v>
      </c>
      <c r="F31" s="15" t="s">
        <v>28</v>
      </c>
      <c r="G31" s="15" t="s">
        <v>5</v>
      </c>
      <c r="H31" s="12">
        <v>0</v>
      </c>
      <c r="I31" s="12">
        <v>329517</v>
      </c>
    </row>
    <row r="32" spans="1:10" x14ac:dyDescent="0.25">
      <c r="A32" s="18">
        <v>160</v>
      </c>
      <c r="B32" s="15" t="s">
        <v>28</v>
      </c>
      <c r="C32" s="15" t="s">
        <v>5</v>
      </c>
      <c r="D32" s="17" t="s">
        <v>201</v>
      </c>
      <c r="E32" s="93">
        <v>266</v>
      </c>
      <c r="F32" s="15" t="s">
        <v>28</v>
      </c>
      <c r="G32" s="15" t="s">
        <v>5</v>
      </c>
      <c r="H32" s="12">
        <v>2778605</v>
      </c>
      <c r="I32" s="12">
        <v>476556</v>
      </c>
    </row>
    <row r="33" spans="1:9" x14ac:dyDescent="0.25">
      <c r="A33" s="18">
        <v>236</v>
      </c>
      <c r="B33" s="15" t="s">
        <v>28</v>
      </c>
      <c r="C33" s="15" t="s">
        <v>5</v>
      </c>
      <c r="D33" s="17" t="s">
        <v>202</v>
      </c>
      <c r="E33" s="93">
        <v>266</v>
      </c>
      <c r="F33" s="15" t="s">
        <v>28</v>
      </c>
      <c r="G33" s="15" t="s">
        <v>5</v>
      </c>
      <c r="H33" s="12">
        <v>200031</v>
      </c>
      <c r="I33" s="12">
        <v>968509</v>
      </c>
    </row>
    <row r="34" spans="1:9" x14ac:dyDescent="0.25">
      <c r="A34" s="18">
        <v>210</v>
      </c>
      <c r="B34" s="15" t="s">
        <v>28</v>
      </c>
      <c r="C34" s="15" t="s">
        <v>5</v>
      </c>
      <c r="D34" s="17" t="s">
        <v>203</v>
      </c>
      <c r="E34" s="93">
        <v>125</v>
      </c>
      <c r="F34" s="15" t="s">
        <v>28</v>
      </c>
      <c r="G34" s="15" t="s">
        <v>6</v>
      </c>
      <c r="H34" s="12">
        <v>1692524</v>
      </c>
      <c r="I34" s="12">
        <v>1017492</v>
      </c>
    </row>
    <row r="35" spans="1:9" x14ac:dyDescent="0.25">
      <c r="A35" s="18">
        <v>153</v>
      </c>
      <c r="B35" s="15" t="s">
        <v>28</v>
      </c>
      <c r="C35" s="15" t="s">
        <v>5</v>
      </c>
      <c r="D35" s="17" t="s">
        <v>204</v>
      </c>
      <c r="E35" s="93">
        <v>244</v>
      </c>
      <c r="F35" s="15" t="s">
        <v>28</v>
      </c>
      <c r="G35" s="15" t="s">
        <v>5</v>
      </c>
      <c r="H35" s="12">
        <v>0</v>
      </c>
      <c r="I35" s="12">
        <v>1130725</v>
      </c>
    </row>
    <row r="36" spans="1:9" x14ac:dyDescent="0.25">
      <c r="A36" s="18">
        <v>293</v>
      </c>
      <c r="B36" s="15" t="s">
        <v>28</v>
      </c>
      <c r="C36" s="15" t="s">
        <v>5</v>
      </c>
      <c r="D36" s="17" t="s">
        <v>204</v>
      </c>
      <c r="E36" s="93">
        <v>244</v>
      </c>
      <c r="F36" s="15" t="s">
        <v>28</v>
      </c>
      <c r="G36" s="15" t="s">
        <v>5</v>
      </c>
      <c r="H36" s="12">
        <v>0</v>
      </c>
      <c r="I36" s="12">
        <v>1313145</v>
      </c>
    </row>
    <row r="37" spans="1:9" x14ac:dyDescent="0.25">
      <c r="A37" s="18">
        <v>244</v>
      </c>
      <c r="B37" s="15" t="s">
        <v>28</v>
      </c>
      <c r="C37" s="15" t="s">
        <v>5</v>
      </c>
      <c r="D37" s="17" t="s">
        <v>201</v>
      </c>
      <c r="E37" s="93">
        <v>266</v>
      </c>
      <c r="F37" s="15" t="s">
        <v>28</v>
      </c>
      <c r="G37" s="15" t="s">
        <v>5</v>
      </c>
      <c r="H37" s="12">
        <v>354946</v>
      </c>
      <c r="I37" s="12">
        <v>1380055</v>
      </c>
    </row>
    <row r="38" spans="1:9" x14ac:dyDescent="0.25">
      <c r="A38" s="18">
        <v>274</v>
      </c>
      <c r="B38" s="15" t="s">
        <v>28</v>
      </c>
      <c r="C38" s="15" t="s">
        <v>5</v>
      </c>
      <c r="D38" s="17" t="s">
        <v>203</v>
      </c>
      <c r="E38" s="93">
        <v>125</v>
      </c>
      <c r="F38" s="15" t="s">
        <v>28</v>
      </c>
      <c r="G38" s="15" t="s">
        <v>6</v>
      </c>
      <c r="H38" s="12">
        <v>0</v>
      </c>
      <c r="I38" s="12">
        <v>1476779</v>
      </c>
    </row>
    <row r="39" spans="1:9" x14ac:dyDescent="0.25">
      <c r="A39" s="18">
        <v>160</v>
      </c>
      <c r="B39" s="15" t="s">
        <v>28</v>
      </c>
      <c r="C39" s="15" t="s">
        <v>5</v>
      </c>
      <c r="D39" s="17" t="s">
        <v>176</v>
      </c>
      <c r="E39" s="93">
        <v>236</v>
      </c>
      <c r="F39" s="15" t="s">
        <v>28</v>
      </c>
      <c r="G39" s="15" t="s">
        <v>5</v>
      </c>
      <c r="H39" s="12">
        <v>3881886</v>
      </c>
      <c r="I39" s="12">
        <v>1931347</v>
      </c>
    </row>
    <row r="40" spans="1:9" x14ac:dyDescent="0.25">
      <c r="A40" s="18">
        <v>182</v>
      </c>
      <c r="B40" s="15" t="s">
        <v>28</v>
      </c>
      <c r="C40" s="15" t="s">
        <v>5</v>
      </c>
      <c r="D40" s="17" t="s">
        <v>205</v>
      </c>
      <c r="E40" s="93">
        <v>125</v>
      </c>
      <c r="F40" s="15" t="s">
        <v>28</v>
      </c>
      <c r="G40" s="15" t="s">
        <v>6</v>
      </c>
      <c r="H40" s="12">
        <v>0</v>
      </c>
      <c r="I40" s="12">
        <v>1946437</v>
      </c>
    </row>
    <row r="41" spans="1:9" x14ac:dyDescent="0.25">
      <c r="A41" s="18">
        <v>236</v>
      </c>
      <c r="B41" s="15" t="s">
        <v>28</v>
      </c>
      <c r="C41" s="15" t="s">
        <v>5</v>
      </c>
      <c r="D41" s="17" t="s">
        <v>206</v>
      </c>
      <c r="E41" s="93">
        <v>160</v>
      </c>
      <c r="F41" s="15" t="s">
        <v>28</v>
      </c>
      <c r="G41" s="15" t="s">
        <v>5</v>
      </c>
      <c r="H41" s="12">
        <v>13513</v>
      </c>
      <c r="I41" s="12">
        <v>1964052</v>
      </c>
    </row>
    <row r="42" spans="1:9" x14ac:dyDescent="0.25">
      <c r="A42" s="18">
        <v>266</v>
      </c>
      <c r="B42" s="15" t="s">
        <v>28</v>
      </c>
      <c r="C42" s="15" t="s">
        <v>5</v>
      </c>
      <c r="D42" s="17" t="s">
        <v>207</v>
      </c>
      <c r="E42" s="93">
        <v>160</v>
      </c>
      <c r="F42" s="15" t="s">
        <v>28</v>
      </c>
      <c r="G42" s="15" t="s">
        <v>5</v>
      </c>
      <c r="H42" s="12">
        <v>0</v>
      </c>
      <c r="I42" s="12">
        <v>2302049</v>
      </c>
    </row>
    <row r="43" spans="1:9" x14ac:dyDescent="0.25">
      <c r="A43" s="18">
        <v>244</v>
      </c>
      <c r="B43" s="15" t="s">
        <v>28</v>
      </c>
      <c r="C43" s="15" t="s">
        <v>5</v>
      </c>
      <c r="D43" s="17" t="s">
        <v>208</v>
      </c>
      <c r="E43" s="93">
        <v>116</v>
      </c>
      <c r="F43" s="15" t="s">
        <v>28</v>
      </c>
      <c r="G43" s="15" t="s">
        <v>5</v>
      </c>
      <c r="H43" s="12">
        <v>5504927</v>
      </c>
      <c r="I43" s="12">
        <v>2313345</v>
      </c>
    </row>
    <row r="44" spans="1:9" x14ac:dyDescent="0.25">
      <c r="A44" s="18">
        <v>315</v>
      </c>
      <c r="B44" s="15" t="s">
        <v>28</v>
      </c>
      <c r="C44" s="15" t="s">
        <v>5</v>
      </c>
      <c r="D44" s="17" t="s">
        <v>209</v>
      </c>
      <c r="E44" s="93">
        <v>315</v>
      </c>
      <c r="F44" s="15" t="s">
        <v>28</v>
      </c>
      <c r="G44" s="15" t="s">
        <v>5</v>
      </c>
      <c r="H44" s="12">
        <v>0</v>
      </c>
      <c r="I44" s="12">
        <v>2419829</v>
      </c>
    </row>
    <row r="45" spans="1:9" x14ac:dyDescent="0.25">
      <c r="A45" s="18">
        <v>236</v>
      </c>
      <c r="B45" s="15" t="s">
        <v>28</v>
      </c>
      <c r="C45" s="15" t="s">
        <v>5</v>
      </c>
      <c r="D45" s="17" t="s">
        <v>210</v>
      </c>
      <c r="E45" s="93">
        <v>273</v>
      </c>
      <c r="F45" s="15" t="s">
        <v>28</v>
      </c>
      <c r="G45" s="15" t="s">
        <v>19</v>
      </c>
      <c r="H45" s="12">
        <v>31389</v>
      </c>
      <c r="I45" s="12">
        <v>2538362</v>
      </c>
    </row>
    <row r="46" spans="1:9" x14ac:dyDescent="0.25">
      <c r="A46" s="18">
        <v>274</v>
      </c>
      <c r="B46" s="15" t="s">
        <v>28</v>
      </c>
      <c r="C46" s="15" t="s">
        <v>5</v>
      </c>
      <c r="D46" s="17" t="s">
        <v>211</v>
      </c>
      <c r="E46" s="93">
        <v>266</v>
      </c>
      <c r="F46" s="15" t="s">
        <v>28</v>
      </c>
      <c r="G46" s="15" t="s">
        <v>5</v>
      </c>
      <c r="H46" s="12">
        <v>0</v>
      </c>
      <c r="I46" s="12">
        <v>2697056</v>
      </c>
    </row>
    <row r="47" spans="1:9" x14ac:dyDescent="0.25">
      <c r="A47" s="18">
        <v>116</v>
      </c>
      <c r="B47" s="15" t="s">
        <v>28</v>
      </c>
      <c r="C47" s="15" t="s">
        <v>5</v>
      </c>
      <c r="D47" s="17" t="s">
        <v>212</v>
      </c>
      <c r="E47" s="95">
        <v>236</v>
      </c>
      <c r="F47" s="15" t="s">
        <v>28</v>
      </c>
      <c r="G47" s="15" t="s">
        <v>5</v>
      </c>
      <c r="H47" s="12">
        <v>16663</v>
      </c>
      <c r="I47" s="12">
        <v>2847178</v>
      </c>
    </row>
    <row r="48" spans="1:9" x14ac:dyDescent="0.25">
      <c r="A48" s="18">
        <v>116</v>
      </c>
      <c r="B48" s="15" t="s">
        <v>28</v>
      </c>
      <c r="C48" s="15" t="s">
        <v>5</v>
      </c>
      <c r="D48" s="17" t="s">
        <v>213</v>
      </c>
      <c r="E48" s="93">
        <v>266</v>
      </c>
      <c r="F48" s="15" t="s">
        <v>28</v>
      </c>
      <c r="G48" s="15" t="s">
        <v>5</v>
      </c>
      <c r="H48" s="12">
        <v>171901</v>
      </c>
      <c r="I48" s="12">
        <v>3647334</v>
      </c>
    </row>
    <row r="49" spans="1:10" x14ac:dyDescent="0.25">
      <c r="A49" s="18">
        <v>274</v>
      </c>
      <c r="B49" s="15" t="s">
        <v>28</v>
      </c>
      <c r="C49" s="15" t="s">
        <v>5</v>
      </c>
      <c r="D49" s="17" t="s">
        <v>214</v>
      </c>
      <c r="E49" s="93">
        <v>244</v>
      </c>
      <c r="F49" s="15" t="s">
        <v>28</v>
      </c>
      <c r="G49" s="15" t="s">
        <v>5</v>
      </c>
      <c r="H49" s="12">
        <v>0</v>
      </c>
      <c r="I49" s="12">
        <v>4068136</v>
      </c>
    </row>
    <row r="50" spans="1:10" x14ac:dyDescent="0.25">
      <c r="A50" s="18">
        <v>154</v>
      </c>
      <c r="B50" s="15" t="s">
        <v>28</v>
      </c>
      <c r="C50" s="15" t="s">
        <v>5</v>
      </c>
      <c r="D50" s="17" t="s">
        <v>215</v>
      </c>
      <c r="E50" s="93">
        <v>116</v>
      </c>
      <c r="F50" s="15" t="s">
        <v>28</v>
      </c>
      <c r="G50" s="15" t="s">
        <v>5</v>
      </c>
      <c r="H50" s="12">
        <v>0</v>
      </c>
      <c r="I50" s="12">
        <v>4398190</v>
      </c>
    </row>
    <row r="51" spans="1:10" x14ac:dyDescent="0.25">
      <c r="A51" s="18">
        <v>210</v>
      </c>
      <c r="B51" s="15" t="s">
        <v>28</v>
      </c>
      <c r="C51" s="15" t="s">
        <v>5</v>
      </c>
      <c r="D51" s="17" t="s">
        <v>216</v>
      </c>
      <c r="E51" s="93">
        <v>274</v>
      </c>
      <c r="F51" s="15" t="s">
        <v>28</v>
      </c>
      <c r="G51" s="15" t="s">
        <v>5</v>
      </c>
      <c r="H51" s="12">
        <v>4835412</v>
      </c>
      <c r="I51" s="12">
        <v>5170025</v>
      </c>
    </row>
    <row r="52" spans="1:10" x14ac:dyDescent="0.25">
      <c r="A52" s="18">
        <v>266</v>
      </c>
      <c r="B52" s="15" t="s">
        <v>28</v>
      </c>
      <c r="C52" s="15" t="s">
        <v>5</v>
      </c>
      <c r="D52" s="82" t="s">
        <v>217</v>
      </c>
      <c r="E52" s="94"/>
      <c r="F52" s="82"/>
      <c r="G52" s="82"/>
      <c r="H52" s="12">
        <v>645473</v>
      </c>
      <c r="I52" s="12">
        <v>5575215</v>
      </c>
      <c r="J52" t="s">
        <v>496</v>
      </c>
    </row>
    <row r="53" spans="1:10" x14ac:dyDescent="0.25">
      <c r="A53" s="18">
        <v>210</v>
      </c>
      <c r="B53" s="15" t="s">
        <v>28</v>
      </c>
      <c r="C53" s="15" t="s">
        <v>5</v>
      </c>
      <c r="D53" s="17" t="s">
        <v>218</v>
      </c>
      <c r="E53" s="93">
        <v>194</v>
      </c>
      <c r="F53" s="15" t="s">
        <v>28</v>
      </c>
      <c r="G53" s="15" t="s">
        <v>6</v>
      </c>
      <c r="H53" s="12">
        <v>9109143</v>
      </c>
      <c r="I53" s="12">
        <v>8024941</v>
      </c>
    </row>
    <row r="54" spans="1:10" x14ac:dyDescent="0.25">
      <c r="A54" s="18">
        <v>116</v>
      </c>
      <c r="B54" s="15" t="s">
        <v>28</v>
      </c>
      <c r="C54" s="15" t="s">
        <v>5</v>
      </c>
      <c r="D54" s="17" t="s">
        <v>219</v>
      </c>
      <c r="E54" s="93">
        <v>194</v>
      </c>
      <c r="F54" s="15" t="s">
        <v>28</v>
      </c>
      <c r="G54" s="15" t="s">
        <v>6</v>
      </c>
      <c r="H54" s="12">
        <v>8</v>
      </c>
      <c r="I54" s="12">
        <v>8092705</v>
      </c>
    </row>
    <row r="55" spans="1:10" x14ac:dyDescent="0.25">
      <c r="A55" s="18">
        <v>274</v>
      </c>
      <c r="B55" s="15" t="s">
        <v>28</v>
      </c>
      <c r="C55" s="15" t="s">
        <v>5</v>
      </c>
      <c r="D55" s="17" t="s">
        <v>220</v>
      </c>
      <c r="E55" s="93">
        <v>194</v>
      </c>
      <c r="F55" s="15" t="s">
        <v>28</v>
      </c>
      <c r="G55" s="15" t="s">
        <v>6</v>
      </c>
      <c r="H55" s="12">
        <v>0</v>
      </c>
      <c r="I55" s="12">
        <v>8257016</v>
      </c>
    </row>
    <row r="56" spans="1:10" x14ac:dyDescent="0.25">
      <c r="A56" s="18">
        <v>116</v>
      </c>
      <c r="B56" s="15" t="s">
        <v>28</v>
      </c>
      <c r="C56" s="15" t="s">
        <v>5</v>
      </c>
      <c r="D56" s="17" t="s">
        <v>221</v>
      </c>
      <c r="E56" s="93">
        <v>125</v>
      </c>
      <c r="F56" s="15" t="s">
        <v>28</v>
      </c>
      <c r="G56" s="15" t="s">
        <v>6</v>
      </c>
      <c r="H56" s="12">
        <v>1174904</v>
      </c>
      <c r="I56" s="12">
        <v>8571542</v>
      </c>
    </row>
    <row r="57" spans="1:10" x14ac:dyDescent="0.25">
      <c r="A57" s="18">
        <v>116</v>
      </c>
      <c r="B57" s="15" t="s">
        <v>28</v>
      </c>
      <c r="C57" s="15" t="s">
        <v>5</v>
      </c>
      <c r="D57" s="17" t="s">
        <v>222</v>
      </c>
      <c r="E57" s="93">
        <v>274</v>
      </c>
      <c r="F57" s="15" t="s">
        <v>28</v>
      </c>
      <c r="G57" s="15" t="s">
        <v>5</v>
      </c>
      <c r="H57" s="12">
        <v>2794654</v>
      </c>
      <c r="I57" s="12">
        <v>10056652</v>
      </c>
    </row>
    <row r="58" spans="1:10" x14ac:dyDescent="0.25">
      <c r="A58" s="18">
        <v>244</v>
      </c>
      <c r="B58" s="15" t="s">
        <v>28</v>
      </c>
      <c r="C58" s="15" t="s">
        <v>5</v>
      </c>
      <c r="D58" s="17" t="s">
        <v>223</v>
      </c>
      <c r="E58" s="93">
        <v>125</v>
      </c>
      <c r="F58" s="15" t="s">
        <v>28</v>
      </c>
      <c r="G58" s="15" t="s">
        <v>6</v>
      </c>
      <c r="H58" s="12">
        <v>56701</v>
      </c>
      <c r="I58" s="12">
        <v>14418468</v>
      </c>
    </row>
    <row r="59" spans="1:10" x14ac:dyDescent="0.25">
      <c r="A59" s="18">
        <v>116</v>
      </c>
      <c r="B59" s="15" t="s">
        <v>28</v>
      </c>
      <c r="C59" s="15" t="s">
        <v>5</v>
      </c>
      <c r="D59" s="82" t="s">
        <v>224</v>
      </c>
      <c r="E59" s="94"/>
      <c r="F59" s="82"/>
      <c r="G59" s="82"/>
      <c r="H59" s="12">
        <v>41652442</v>
      </c>
      <c r="I59" s="12">
        <v>18561125</v>
      </c>
      <c r="J59" t="s">
        <v>486</v>
      </c>
    </row>
    <row r="60" spans="1:10" x14ac:dyDescent="0.25">
      <c r="A60" s="18">
        <v>116</v>
      </c>
      <c r="B60" s="15" t="s">
        <v>28</v>
      </c>
      <c r="C60" s="15" t="s">
        <v>5</v>
      </c>
      <c r="D60" s="17" t="s">
        <v>225</v>
      </c>
      <c r="E60" s="93">
        <v>244</v>
      </c>
      <c r="F60" s="15" t="s">
        <v>28</v>
      </c>
      <c r="G60" s="15" t="s">
        <v>5</v>
      </c>
      <c r="H60" s="12">
        <v>41883044</v>
      </c>
      <c r="I60" s="12">
        <v>44989982</v>
      </c>
    </row>
    <row r="61" spans="1:10" x14ac:dyDescent="0.25">
      <c r="A61" s="20">
        <v>125</v>
      </c>
      <c r="B61" s="15" t="s">
        <v>28</v>
      </c>
      <c r="C61" s="15" t="s">
        <v>6</v>
      </c>
      <c r="D61" s="17" t="s">
        <v>226</v>
      </c>
      <c r="E61" s="93">
        <v>229</v>
      </c>
      <c r="F61" s="15" t="s">
        <v>28</v>
      </c>
      <c r="G61" s="15" t="s">
        <v>12</v>
      </c>
      <c r="H61" s="12">
        <v>369684</v>
      </c>
      <c r="I61" s="12">
        <v>0</v>
      </c>
    </row>
    <row r="62" spans="1:10" x14ac:dyDescent="0.25">
      <c r="A62" s="20">
        <v>125</v>
      </c>
      <c r="B62" s="15" t="s">
        <v>28</v>
      </c>
      <c r="C62" s="15" t="s">
        <v>6</v>
      </c>
      <c r="D62" s="17" t="s">
        <v>227</v>
      </c>
      <c r="E62" s="93">
        <v>274</v>
      </c>
      <c r="F62" s="15" t="s">
        <v>28</v>
      </c>
      <c r="G62" s="15" t="s">
        <v>5</v>
      </c>
      <c r="H62" s="12">
        <v>1476779</v>
      </c>
      <c r="I62" s="12">
        <v>0</v>
      </c>
    </row>
    <row r="63" spans="1:10" x14ac:dyDescent="0.25">
      <c r="A63" s="20">
        <v>125</v>
      </c>
      <c r="B63" s="15" t="s">
        <v>28</v>
      </c>
      <c r="C63" s="15" t="s">
        <v>6</v>
      </c>
      <c r="D63" s="17" t="s">
        <v>228</v>
      </c>
      <c r="E63" s="93">
        <v>182</v>
      </c>
      <c r="F63" s="15" t="s">
        <v>28</v>
      </c>
      <c r="G63" s="15" t="s">
        <v>5</v>
      </c>
      <c r="H63" s="12">
        <v>1946596</v>
      </c>
      <c r="I63" s="12">
        <v>0</v>
      </c>
    </row>
    <row r="64" spans="1:10" x14ac:dyDescent="0.25">
      <c r="A64" s="20">
        <v>125</v>
      </c>
      <c r="B64" s="15" t="s">
        <v>28</v>
      </c>
      <c r="C64" s="15" t="s">
        <v>6</v>
      </c>
      <c r="D64" s="17" t="s">
        <v>229</v>
      </c>
      <c r="E64" s="93">
        <v>116</v>
      </c>
      <c r="F64" s="15" t="s">
        <v>28</v>
      </c>
      <c r="G64" s="15" t="s">
        <v>5</v>
      </c>
      <c r="H64" s="12">
        <v>7400051</v>
      </c>
      <c r="I64" s="12">
        <v>0</v>
      </c>
    </row>
    <row r="65" spans="1:10" x14ac:dyDescent="0.25">
      <c r="A65" s="20">
        <v>243</v>
      </c>
      <c r="B65" s="15" t="s">
        <v>28</v>
      </c>
      <c r="C65" s="15" t="s">
        <v>6</v>
      </c>
      <c r="D65" s="17" t="s">
        <v>230</v>
      </c>
      <c r="E65" s="93">
        <v>122</v>
      </c>
      <c r="F65" s="15" t="s">
        <v>28</v>
      </c>
      <c r="G65" s="15" t="s">
        <v>12</v>
      </c>
      <c r="H65" s="12">
        <v>7447688</v>
      </c>
      <c r="I65" s="12">
        <v>0</v>
      </c>
    </row>
    <row r="66" spans="1:10" x14ac:dyDescent="0.25">
      <c r="A66" s="20">
        <v>194</v>
      </c>
      <c r="B66" s="15" t="s">
        <v>28</v>
      </c>
      <c r="C66" s="15" t="s">
        <v>6</v>
      </c>
      <c r="D66" s="17" t="s">
        <v>200</v>
      </c>
      <c r="E66" s="93">
        <v>116</v>
      </c>
      <c r="F66" s="15" t="s">
        <v>28</v>
      </c>
      <c r="G66" s="15" t="s">
        <v>5</v>
      </c>
      <c r="H66" s="12">
        <v>8092575</v>
      </c>
      <c r="I66" s="12">
        <v>0</v>
      </c>
    </row>
    <row r="67" spans="1:10" x14ac:dyDescent="0.25">
      <c r="A67" s="20">
        <v>125</v>
      </c>
      <c r="B67" s="15" t="s">
        <v>28</v>
      </c>
      <c r="C67" s="15" t="s">
        <v>6</v>
      </c>
      <c r="D67" s="17" t="s">
        <v>231</v>
      </c>
      <c r="E67" s="93">
        <v>244</v>
      </c>
      <c r="F67" s="15" t="s">
        <v>28</v>
      </c>
      <c r="G67" s="15" t="s">
        <v>5</v>
      </c>
      <c r="H67" s="12">
        <v>14230993</v>
      </c>
      <c r="I67" s="12">
        <v>0</v>
      </c>
    </row>
    <row r="68" spans="1:10" x14ac:dyDescent="0.25">
      <c r="A68" s="20">
        <v>125</v>
      </c>
      <c r="B68" s="15" t="s">
        <v>28</v>
      </c>
      <c r="C68" s="15" t="s">
        <v>6</v>
      </c>
      <c r="D68" s="17" t="s">
        <v>232</v>
      </c>
      <c r="E68" s="93">
        <v>122</v>
      </c>
      <c r="F68" s="15" t="s">
        <v>28</v>
      </c>
      <c r="G68" s="15" t="s">
        <v>12</v>
      </c>
      <c r="H68" s="17">
        <v>14241127</v>
      </c>
      <c r="I68" s="12">
        <v>0</v>
      </c>
    </row>
    <row r="69" spans="1:10" x14ac:dyDescent="0.25">
      <c r="A69" s="20">
        <v>125</v>
      </c>
      <c r="B69" s="15" t="s">
        <v>28</v>
      </c>
      <c r="C69" s="15" t="s">
        <v>6</v>
      </c>
      <c r="D69" s="17" t="s">
        <v>233</v>
      </c>
      <c r="E69" s="93">
        <v>194</v>
      </c>
      <c r="F69" s="15" t="s">
        <v>28</v>
      </c>
      <c r="G69" s="15" t="s">
        <v>6</v>
      </c>
      <c r="H69" s="17">
        <v>21964164</v>
      </c>
      <c r="I69" s="12">
        <v>0</v>
      </c>
    </row>
    <row r="70" spans="1:10" x14ac:dyDescent="0.25">
      <c r="A70" s="20">
        <v>125</v>
      </c>
      <c r="B70" s="15" t="s">
        <v>28</v>
      </c>
      <c r="C70" s="15" t="s">
        <v>6</v>
      </c>
      <c r="D70" s="82" t="s">
        <v>234</v>
      </c>
      <c r="E70" s="94"/>
      <c r="F70" s="82"/>
      <c r="G70" s="82"/>
      <c r="H70" s="12">
        <v>0</v>
      </c>
      <c r="I70" s="12">
        <v>10</v>
      </c>
      <c r="J70" t="s">
        <v>486</v>
      </c>
    </row>
    <row r="71" spans="1:10" x14ac:dyDescent="0.25">
      <c r="A71" s="20">
        <v>267</v>
      </c>
      <c r="B71" s="15" t="s">
        <v>28</v>
      </c>
      <c r="C71" s="15" t="s">
        <v>6</v>
      </c>
      <c r="D71" s="17" t="s">
        <v>235</v>
      </c>
      <c r="E71" s="93">
        <v>125</v>
      </c>
      <c r="F71" s="15" t="s">
        <v>28</v>
      </c>
      <c r="G71" s="15" t="s">
        <v>6</v>
      </c>
      <c r="H71" s="12">
        <v>616018</v>
      </c>
      <c r="I71" s="12">
        <v>639</v>
      </c>
    </row>
    <row r="72" spans="1:10" x14ac:dyDescent="0.25">
      <c r="A72" s="20">
        <v>194</v>
      </c>
      <c r="B72" s="15" t="s">
        <v>28</v>
      </c>
      <c r="C72" s="15" t="s">
        <v>6</v>
      </c>
      <c r="D72" s="17" t="s">
        <v>236</v>
      </c>
      <c r="E72" s="93">
        <v>228</v>
      </c>
      <c r="F72" s="15" t="s">
        <v>28</v>
      </c>
      <c r="G72" s="15" t="s">
        <v>12</v>
      </c>
      <c r="H72" s="12">
        <v>2074538</v>
      </c>
      <c r="I72" s="12">
        <v>52950</v>
      </c>
    </row>
    <row r="73" spans="1:10" x14ac:dyDescent="0.25">
      <c r="A73" s="20">
        <v>194</v>
      </c>
      <c r="B73" s="15" t="s">
        <v>28</v>
      </c>
      <c r="C73" s="15" t="s">
        <v>6</v>
      </c>
      <c r="D73" s="17" t="s">
        <v>237</v>
      </c>
      <c r="E73" s="93">
        <v>122</v>
      </c>
      <c r="F73" s="15" t="s">
        <v>28</v>
      </c>
      <c r="G73" s="15" t="s">
        <v>12</v>
      </c>
      <c r="H73" s="12">
        <v>13259942</v>
      </c>
      <c r="I73" s="12">
        <v>79327</v>
      </c>
    </row>
    <row r="74" spans="1:10" x14ac:dyDescent="0.25">
      <c r="A74" s="20">
        <v>267</v>
      </c>
      <c r="B74" s="15" t="s">
        <v>28</v>
      </c>
      <c r="C74" s="15" t="s">
        <v>6</v>
      </c>
      <c r="D74" s="82" t="s">
        <v>238</v>
      </c>
      <c r="E74" s="94"/>
      <c r="F74" s="15" t="s">
        <v>28</v>
      </c>
      <c r="G74" s="15" t="s">
        <v>6</v>
      </c>
      <c r="H74" s="12">
        <v>238643</v>
      </c>
      <c r="I74" s="12">
        <v>87664</v>
      </c>
      <c r="J74" t="s">
        <v>766</v>
      </c>
    </row>
    <row r="75" spans="1:10" x14ac:dyDescent="0.25">
      <c r="A75" s="20">
        <v>125</v>
      </c>
      <c r="B75" s="15" t="s">
        <v>28</v>
      </c>
      <c r="C75" s="15" t="s">
        <v>6</v>
      </c>
      <c r="D75" s="82" t="s">
        <v>239</v>
      </c>
      <c r="E75" s="94"/>
      <c r="F75" s="82"/>
      <c r="G75" s="82"/>
      <c r="H75" s="12">
        <v>299205</v>
      </c>
      <c r="I75" s="12">
        <v>106864</v>
      </c>
      <c r="J75" t="s">
        <v>486</v>
      </c>
    </row>
    <row r="76" spans="1:10" x14ac:dyDescent="0.25">
      <c r="A76" s="20">
        <v>243</v>
      </c>
      <c r="B76" s="15" t="s">
        <v>28</v>
      </c>
      <c r="C76" s="15" t="s">
        <v>6</v>
      </c>
      <c r="D76" s="82" t="s">
        <v>240</v>
      </c>
      <c r="E76" s="94"/>
      <c r="F76" s="82"/>
      <c r="G76" s="82"/>
      <c r="H76" s="12">
        <v>87664</v>
      </c>
      <c r="I76" s="12">
        <v>238643</v>
      </c>
      <c r="J76" t="s">
        <v>497</v>
      </c>
    </row>
    <row r="77" spans="1:10" x14ac:dyDescent="0.25">
      <c r="A77" s="20">
        <v>194</v>
      </c>
      <c r="B77" s="15" t="s">
        <v>28</v>
      </c>
      <c r="C77" s="15" t="s">
        <v>6</v>
      </c>
      <c r="D77" s="17" t="s">
        <v>241</v>
      </c>
      <c r="E77" s="93">
        <v>274</v>
      </c>
      <c r="F77" s="15" t="s">
        <v>28</v>
      </c>
      <c r="G77" s="15" t="s">
        <v>5</v>
      </c>
      <c r="H77" s="12">
        <v>8552433</v>
      </c>
      <c r="I77" s="12">
        <v>295586</v>
      </c>
    </row>
    <row r="78" spans="1:10" x14ac:dyDescent="0.25">
      <c r="A78" s="20">
        <v>125</v>
      </c>
      <c r="B78" s="15" t="s">
        <v>28</v>
      </c>
      <c r="C78" s="15" t="s">
        <v>6</v>
      </c>
      <c r="D78" s="82" t="s">
        <v>238</v>
      </c>
      <c r="E78" s="94"/>
      <c r="F78" s="15" t="s">
        <v>28</v>
      </c>
      <c r="G78" s="15" t="s">
        <v>6</v>
      </c>
      <c r="H78" s="12">
        <v>3320092</v>
      </c>
      <c r="I78" s="12">
        <v>363963</v>
      </c>
      <c r="J78" t="s">
        <v>766</v>
      </c>
    </row>
    <row r="79" spans="1:10" x14ac:dyDescent="0.25">
      <c r="A79" s="20">
        <v>125</v>
      </c>
      <c r="B79" s="15" t="s">
        <v>28</v>
      </c>
      <c r="C79" s="15" t="s">
        <v>6</v>
      </c>
      <c r="D79" s="17" t="s">
        <v>242</v>
      </c>
      <c r="E79" s="93">
        <v>267</v>
      </c>
      <c r="F79" s="15" t="s">
        <v>28</v>
      </c>
      <c r="G79" s="15" t="s">
        <v>6</v>
      </c>
      <c r="H79" s="12">
        <v>621</v>
      </c>
      <c r="I79" s="12">
        <v>616011</v>
      </c>
    </row>
    <row r="80" spans="1:10" x14ac:dyDescent="0.25">
      <c r="A80" s="20">
        <v>125</v>
      </c>
      <c r="B80" s="15" t="s">
        <v>28</v>
      </c>
      <c r="C80" s="15" t="s">
        <v>6</v>
      </c>
      <c r="D80" s="17" t="s">
        <v>243</v>
      </c>
      <c r="E80" s="93">
        <v>122</v>
      </c>
      <c r="F80" s="15" t="s">
        <v>28</v>
      </c>
      <c r="G80" s="15" t="s">
        <v>5</v>
      </c>
      <c r="H80" s="12">
        <v>0</v>
      </c>
      <c r="I80" s="12">
        <v>706181</v>
      </c>
    </row>
    <row r="81" spans="1:10" x14ac:dyDescent="0.25">
      <c r="A81" s="20">
        <v>243</v>
      </c>
      <c r="B81" s="15" t="s">
        <v>28</v>
      </c>
      <c r="C81" s="15" t="s">
        <v>6</v>
      </c>
      <c r="D81" s="17" t="s">
        <v>235</v>
      </c>
      <c r="E81" s="93">
        <v>125</v>
      </c>
      <c r="F81" s="15" t="s">
        <v>28</v>
      </c>
      <c r="G81" s="15" t="s">
        <v>6</v>
      </c>
      <c r="H81" s="12">
        <v>365784</v>
      </c>
      <c r="I81" s="12">
        <v>1893447</v>
      </c>
    </row>
    <row r="82" spans="1:10" x14ac:dyDescent="0.25">
      <c r="A82" s="20">
        <v>194</v>
      </c>
      <c r="B82" s="15" t="s">
        <v>28</v>
      </c>
      <c r="C82" s="15" t="s">
        <v>6</v>
      </c>
      <c r="D82" s="17" t="s">
        <v>244</v>
      </c>
      <c r="E82" s="93">
        <v>122</v>
      </c>
      <c r="F82" s="15" t="s">
        <v>28</v>
      </c>
      <c r="G82" s="15" t="s">
        <v>5</v>
      </c>
      <c r="H82" s="12">
        <v>8024677</v>
      </c>
      <c r="I82" s="12">
        <v>9711755</v>
      </c>
    </row>
    <row r="83" spans="1:10" x14ac:dyDescent="0.25">
      <c r="A83" s="20">
        <v>194</v>
      </c>
      <c r="B83" s="15" t="s">
        <v>28</v>
      </c>
      <c r="C83" s="15" t="s">
        <v>6</v>
      </c>
      <c r="D83" s="17" t="s">
        <v>245</v>
      </c>
      <c r="E83" s="93">
        <v>125</v>
      </c>
      <c r="F83" s="15" t="s">
        <v>28</v>
      </c>
      <c r="G83" s="15" t="s">
        <v>6</v>
      </c>
      <c r="H83" s="12">
        <v>413322</v>
      </c>
      <c r="I83" s="12">
        <v>22378788</v>
      </c>
    </row>
    <row r="84" spans="1:10" x14ac:dyDescent="0.25">
      <c r="A84" s="14">
        <v>239</v>
      </c>
      <c r="B84" s="15" t="s">
        <v>28</v>
      </c>
      <c r="C84" s="15" t="s">
        <v>12</v>
      </c>
      <c r="D84" s="17" t="s">
        <v>246</v>
      </c>
      <c r="E84" s="93">
        <v>119</v>
      </c>
      <c r="F84" s="15" t="s">
        <v>28</v>
      </c>
      <c r="G84" s="15" t="s">
        <v>12</v>
      </c>
      <c r="H84" s="12">
        <v>0</v>
      </c>
      <c r="I84" s="12">
        <v>325586</v>
      </c>
    </row>
    <row r="85" spans="1:10" x14ac:dyDescent="0.25">
      <c r="A85" s="14">
        <v>239</v>
      </c>
      <c r="B85" s="15" t="s">
        <v>28</v>
      </c>
      <c r="C85" s="15" t="s">
        <v>12</v>
      </c>
      <c r="D85" s="17" t="s">
        <v>247</v>
      </c>
      <c r="E85" s="93">
        <v>119</v>
      </c>
      <c r="F85" s="15" t="s">
        <v>28</v>
      </c>
      <c r="G85" s="15" t="s">
        <v>12</v>
      </c>
      <c r="H85" s="12">
        <v>1018830</v>
      </c>
      <c r="I85" s="12">
        <v>251328</v>
      </c>
    </row>
    <row r="86" spans="1:10" x14ac:dyDescent="0.25">
      <c r="A86" s="14">
        <v>239</v>
      </c>
      <c r="B86" s="15" t="s">
        <v>28</v>
      </c>
      <c r="C86" s="15" t="s">
        <v>12</v>
      </c>
      <c r="D86" s="17" t="s">
        <v>248</v>
      </c>
      <c r="E86" s="93">
        <v>119</v>
      </c>
      <c r="F86" s="15" t="s">
        <v>28</v>
      </c>
      <c r="G86" s="15" t="s">
        <v>12</v>
      </c>
      <c r="H86" s="12">
        <v>376026</v>
      </c>
      <c r="I86" s="12">
        <v>5306</v>
      </c>
    </row>
    <row r="87" spans="1:10" x14ac:dyDescent="0.25">
      <c r="A87" s="14">
        <v>239</v>
      </c>
      <c r="B87" s="15" t="s">
        <v>28</v>
      </c>
      <c r="C87" s="15" t="s">
        <v>12</v>
      </c>
      <c r="D87" s="17" t="s">
        <v>249</v>
      </c>
      <c r="E87" s="93">
        <v>122</v>
      </c>
      <c r="F87" s="15" t="s">
        <v>28</v>
      </c>
      <c r="G87" s="15" t="s">
        <v>12</v>
      </c>
      <c r="H87" s="12">
        <v>26487</v>
      </c>
      <c r="I87" s="12">
        <v>0</v>
      </c>
    </row>
    <row r="88" spans="1:10" x14ac:dyDescent="0.25">
      <c r="A88" s="14">
        <v>239</v>
      </c>
      <c r="B88" s="15" t="s">
        <v>28</v>
      </c>
      <c r="C88" s="15" t="s">
        <v>12</v>
      </c>
      <c r="D88" s="17" t="s">
        <v>250</v>
      </c>
      <c r="E88" s="93">
        <v>122</v>
      </c>
      <c r="F88" s="15" t="s">
        <v>28</v>
      </c>
      <c r="G88" s="15" t="s">
        <v>12</v>
      </c>
      <c r="H88" s="12">
        <v>20461</v>
      </c>
      <c r="I88" s="12">
        <v>0</v>
      </c>
    </row>
    <row r="89" spans="1:10" x14ac:dyDescent="0.25">
      <c r="A89" s="14">
        <v>237</v>
      </c>
      <c r="B89" s="15" t="s">
        <v>28</v>
      </c>
      <c r="C89" s="15" t="s">
        <v>12</v>
      </c>
      <c r="D89" s="17" t="s">
        <v>251</v>
      </c>
      <c r="E89" s="93">
        <v>323</v>
      </c>
      <c r="F89" s="15" t="s">
        <v>29</v>
      </c>
      <c r="G89" s="15" t="s">
        <v>7</v>
      </c>
      <c r="H89" s="12">
        <v>7980</v>
      </c>
      <c r="I89" s="12">
        <v>0</v>
      </c>
    </row>
    <row r="90" spans="1:10" x14ac:dyDescent="0.25">
      <c r="A90" s="14">
        <v>239</v>
      </c>
      <c r="B90" s="15" t="s">
        <v>28</v>
      </c>
      <c r="C90" s="15" t="s">
        <v>12</v>
      </c>
      <c r="D90" s="17" t="s">
        <v>252</v>
      </c>
      <c r="E90" s="93">
        <v>119</v>
      </c>
      <c r="F90" s="15" t="s">
        <v>28</v>
      </c>
      <c r="G90" s="15" t="s">
        <v>12</v>
      </c>
      <c r="H90" s="17">
        <v>41104</v>
      </c>
      <c r="I90" s="12">
        <v>0</v>
      </c>
    </row>
    <row r="91" spans="1:10" x14ac:dyDescent="0.25">
      <c r="A91" s="14">
        <v>239</v>
      </c>
      <c r="B91" s="15" t="s">
        <v>28</v>
      </c>
      <c r="C91" s="15" t="s">
        <v>12</v>
      </c>
      <c r="D91" s="17" t="s">
        <v>253</v>
      </c>
      <c r="E91" s="93">
        <v>119</v>
      </c>
      <c r="F91" s="15" t="s">
        <v>28</v>
      </c>
      <c r="G91" s="15" t="s">
        <v>12</v>
      </c>
      <c r="H91" s="17">
        <v>51454</v>
      </c>
      <c r="I91" s="12">
        <v>0</v>
      </c>
    </row>
    <row r="92" spans="1:10" x14ac:dyDescent="0.25">
      <c r="A92" s="14">
        <v>180</v>
      </c>
      <c r="B92" s="15" t="s">
        <v>28</v>
      </c>
      <c r="C92" s="15" t="s">
        <v>12</v>
      </c>
      <c r="D92" s="17" t="s">
        <v>254</v>
      </c>
      <c r="E92" s="93">
        <v>217</v>
      </c>
      <c r="F92" s="15" t="s">
        <v>28</v>
      </c>
      <c r="G92" s="15" t="s">
        <v>12</v>
      </c>
      <c r="H92" s="17">
        <v>101077</v>
      </c>
      <c r="I92" s="12">
        <v>0</v>
      </c>
    </row>
    <row r="93" spans="1:10" x14ac:dyDescent="0.25">
      <c r="A93" s="14">
        <v>237</v>
      </c>
      <c r="B93" s="15" t="s">
        <v>28</v>
      </c>
      <c r="C93" s="15" t="s">
        <v>12</v>
      </c>
      <c r="D93" s="17" t="s">
        <v>255</v>
      </c>
      <c r="E93" s="93">
        <v>232</v>
      </c>
      <c r="F93" s="15" t="s">
        <v>28</v>
      </c>
      <c r="G93" s="15" t="s">
        <v>12</v>
      </c>
      <c r="H93" s="17">
        <v>139939</v>
      </c>
      <c r="I93" s="12">
        <v>0</v>
      </c>
    </row>
    <row r="94" spans="1:10" x14ac:dyDescent="0.25">
      <c r="A94" s="14">
        <v>119</v>
      </c>
      <c r="B94" s="15" t="s">
        <v>28</v>
      </c>
      <c r="C94" s="15" t="s">
        <v>12</v>
      </c>
      <c r="D94" s="17" t="s">
        <v>256</v>
      </c>
      <c r="E94" s="93">
        <v>238</v>
      </c>
      <c r="F94" s="15" t="s">
        <v>28</v>
      </c>
      <c r="G94" s="15" t="s">
        <v>12</v>
      </c>
      <c r="H94" s="17">
        <v>256735</v>
      </c>
      <c r="I94" s="12">
        <v>0</v>
      </c>
    </row>
    <row r="95" spans="1:10" x14ac:dyDescent="0.25">
      <c r="A95" s="14">
        <v>119</v>
      </c>
      <c r="B95" s="15" t="s">
        <v>28</v>
      </c>
      <c r="C95" s="15" t="s">
        <v>12</v>
      </c>
      <c r="D95" s="17" t="s">
        <v>257</v>
      </c>
      <c r="E95" s="93">
        <v>139</v>
      </c>
      <c r="F95" s="15" t="s">
        <v>28</v>
      </c>
      <c r="G95" s="15" t="s">
        <v>12</v>
      </c>
      <c r="H95" s="17">
        <v>256738</v>
      </c>
      <c r="I95" s="12">
        <v>0</v>
      </c>
    </row>
    <row r="96" spans="1:10" x14ac:dyDescent="0.25">
      <c r="A96" s="14">
        <v>239</v>
      </c>
      <c r="B96" s="15" t="s">
        <v>28</v>
      </c>
      <c r="C96" s="15" t="s">
        <v>12</v>
      </c>
      <c r="D96" s="82" t="s">
        <v>258</v>
      </c>
      <c r="E96" s="94"/>
      <c r="F96" s="82"/>
      <c r="G96" s="82"/>
      <c r="H96" s="12">
        <v>322083</v>
      </c>
      <c r="I96" s="12">
        <v>0</v>
      </c>
      <c r="J96" t="s">
        <v>486</v>
      </c>
    </row>
    <row r="97" spans="1:9" x14ac:dyDescent="0.25">
      <c r="A97" s="14">
        <v>240</v>
      </c>
      <c r="B97" s="15" t="s">
        <v>28</v>
      </c>
      <c r="C97" s="15" t="s">
        <v>12</v>
      </c>
      <c r="D97" s="17" t="s">
        <v>257</v>
      </c>
      <c r="E97" s="93">
        <v>139</v>
      </c>
      <c r="F97" s="15" t="s">
        <v>28</v>
      </c>
      <c r="G97" s="15" t="s">
        <v>12</v>
      </c>
      <c r="H97" s="12">
        <v>512063</v>
      </c>
      <c r="I97" s="12">
        <v>0</v>
      </c>
    </row>
    <row r="98" spans="1:9" x14ac:dyDescent="0.25">
      <c r="A98" s="14">
        <v>217</v>
      </c>
      <c r="B98" s="15" t="s">
        <v>28</v>
      </c>
      <c r="C98" s="15" t="s">
        <v>12</v>
      </c>
      <c r="D98" s="17" t="s">
        <v>259</v>
      </c>
      <c r="E98" s="93">
        <v>229</v>
      </c>
      <c r="F98" s="15" t="s">
        <v>28</v>
      </c>
      <c r="G98" s="15" t="s">
        <v>12</v>
      </c>
      <c r="H98" s="12">
        <v>992140</v>
      </c>
      <c r="I98" s="12">
        <v>0</v>
      </c>
    </row>
    <row r="99" spans="1:9" x14ac:dyDescent="0.25">
      <c r="A99" s="14">
        <v>239</v>
      </c>
      <c r="B99" s="15" t="s">
        <v>28</v>
      </c>
      <c r="C99" s="15" t="s">
        <v>12</v>
      </c>
      <c r="D99" s="17" t="s">
        <v>260</v>
      </c>
      <c r="E99" s="93">
        <v>122</v>
      </c>
      <c r="F99" s="15" t="s">
        <v>28</v>
      </c>
      <c r="G99" s="15" t="s">
        <v>12</v>
      </c>
      <c r="H99" s="12">
        <v>1457236</v>
      </c>
      <c r="I99" s="12">
        <v>0</v>
      </c>
    </row>
    <row r="100" spans="1:9" x14ac:dyDescent="0.25">
      <c r="A100" s="14">
        <v>217</v>
      </c>
      <c r="B100" s="15" t="s">
        <v>28</v>
      </c>
      <c r="C100" s="15" t="s">
        <v>12</v>
      </c>
      <c r="D100" s="17" t="s">
        <v>261</v>
      </c>
      <c r="E100" s="93">
        <v>232</v>
      </c>
      <c r="F100" s="15" t="s">
        <v>28</v>
      </c>
      <c r="G100" s="15" t="s">
        <v>12</v>
      </c>
      <c r="H100" s="12">
        <v>1869157</v>
      </c>
      <c r="I100" s="12">
        <v>0</v>
      </c>
    </row>
    <row r="101" spans="1:9" x14ac:dyDescent="0.25">
      <c r="A101" s="14">
        <v>217</v>
      </c>
      <c r="B101" s="15" t="s">
        <v>28</v>
      </c>
      <c r="C101" s="15" t="s">
        <v>12</v>
      </c>
      <c r="D101" s="17" t="s">
        <v>262</v>
      </c>
      <c r="E101" s="93">
        <v>240</v>
      </c>
      <c r="F101" s="15" t="s">
        <v>28</v>
      </c>
      <c r="G101" s="15" t="s">
        <v>12</v>
      </c>
      <c r="H101" s="12">
        <v>4417194</v>
      </c>
      <c r="I101" s="12">
        <v>0</v>
      </c>
    </row>
    <row r="102" spans="1:9" x14ac:dyDescent="0.25">
      <c r="A102" s="14">
        <v>228</v>
      </c>
      <c r="B102" s="15" t="s">
        <v>28</v>
      </c>
      <c r="C102" s="15" t="s">
        <v>12</v>
      </c>
      <c r="D102" s="17" t="s">
        <v>263</v>
      </c>
      <c r="E102" s="93">
        <v>244</v>
      </c>
      <c r="F102" s="15" t="s">
        <v>28</v>
      </c>
      <c r="G102" s="15" t="s">
        <v>5</v>
      </c>
      <c r="H102" s="12">
        <v>165100</v>
      </c>
      <c r="I102" s="12">
        <v>2</v>
      </c>
    </row>
    <row r="103" spans="1:9" x14ac:dyDescent="0.25">
      <c r="A103" s="14">
        <v>239</v>
      </c>
      <c r="B103" s="15" t="s">
        <v>28</v>
      </c>
      <c r="C103" s="15" t="s">
        <v>12</v>
      </c>
      <c r="D103" s="17" t="s">
        <v>264</v>
      </c>
      <c r="E103" s="93">
        <v>122</v>
      </c>
      <c r="F103" s="15" t="s">
        <v>28</v>
      </c>
      <c r="G103" s="15" t="s">
        <v>12</v>
      </c>
      <c r="H103" s="12">
        <v>1096751</v>
      </c>
      <c r="I103" s="12">
        <v>13</v>
      </c>
    </row>
    <row r="104" spans="1:9" x14ac:dyDescent="0.25">
      <c r="A104" s="14">
        <v>249</v>
      </c>
      <c r="B104" s="15" t="s">
        <v>28</v>
      </c>
      <c r="C104" s="15" t="s">
        <v>12</v>
      </c>
      <c r="D104" s="17" t="s">
        <v>265</v>
      </c>
      <c r="E104" s="93">
        <v>194</v>
      </c>
      <c r="F104" s="15" t="s">
        <v>28</v>
      </c>
      <c r="G104" s="15" t="s">
        <v>6</v>
      </c>
      <c r="H104" s="12">
        <v>603890</v>
      </c>
      <c r="I104" s="12">
        <v>1150</v>
      </c>
    </row>
    <row r="105" spans="1:9" x14ac:dyDescent="0.25">
      <c r="A105" s="14">
        <v>228</v>
      </c>
      <c r="B105" s="15" t="s">
        <v>28</v>
      </c>
      <c r="C105" s="15" t="s">
        <v>12</v>
      </c>
      <c r="D105" s="17" t="s">
        <v>266</v>
      </c>
      <c r="E105" s="93">
        <v>229</v>
      </c>
      <c r="F105" s="15" t="s">
        <v>28</v>
      </c>
      <c r="G105" s="15" t="s">
        <v>12</v>
      </c>
      <c r="H105" s="12">
        <v>6604450</v>
      </c>
      <c r="I105" s="12">
        <v>1260</v>
      </c>
    </row>
    <row r="106" spans="1:9" x14ac:dyDescent="0.25">
      <c r="A106" s="14">
        <v>217</v>
      </c>
      <c r="B106" s="15" t="s">
        <v>28</v>
      </c>
      <c r="C106" s="15" t="s">
        <v>12</v>
      </c>
      <c r="D106" s="17" t="s">
        <v>267</v>
      </c>
      <c r="E106" s="93">
        <v>324</v>
      </c>
      <c r="F106" s="15" t="s">
        <v>28</v>
      </c>
      <c r="G106" s="15" t="s">
        <v>12</v>
      </c>
      <c r="H106" s="12">
        <v>568133</v>
      </c>
      <c r="I106" s="12">
        <v>2874</v>
      </c>
    </row>
    <row r="107" spans="1:9" x14ac:dyDescent="0.25">
      <c r="A107" s="14">
        <v>122</v>
      </c>
      <c r="B107" s="15" t="s">
        <v>28</v>
      </c>
      <c r="C107" s="15" t="s">
        <v>12</v>
      </c>
      <c r="D107" s="17" t="s">
        <v>198</v>
      </c>
      <c r="E107" s="93">
        <v>323</v>
      </c>
      <c r="F107" s="15" t="s">
        <v>29</v>
      </c>
      <c r="G107" s="15" t="s">
        <v>7</v>
      </c>
      <c r="H107" s="12">
        <v>3094097</v>
      </c>
      <c r="I107" s="12">
        <v>3481</v>
      </c>
    </row>
    <row r="108" spans="1:9" x14ac:dyDescent="0.25">
      <c r="A108" s="14">
        <v>239</v>
      </c>
      <c r="B108" s="15" t="s">
        <v>28</v>
      </c>
      <c r="C108" s="15" t="s">
        <v>12</v>
      </c>
      <c r="D108" s="17" t="s">
        <v>268</v>
      </c>
      <c r="E108" s="93">
        <v>122</v>
      </c>
      <c r="F108" s="15" t="s">
        <v>28</v>
      </c>
      <c r="G108" s="15" t="s">
        <v>12</v>
      </c>
      <c r="H108" s="12">
        <v>0</v>
      </c>
      <c r="I108" s="12">
        <v>7108</v>
      </c>
    </row>
    <row r="109" spans="1:9" x14ac:dyDescent="0.25">
      <c r="A109" s="14">
        <v>249</v>
      </c>
      <c r="B109" s="15" t="s">
        <v>28</v>
      </c>
      <c r="C109" s="15" t="s">
        <v>12</v>
      </c>
      <c r="D109" s="17" t="s">
        <v>269</v>
      </c>
      <c r="E109" s="93">
        <v>310</v>
      </c>
      <c r="F109" s="15" t="s">
        <v>28</v>
      </c>
      <c r="G109" s="15" t="s">
        <v>6</v>
      </c>
      <c r="H109" s="12">
        <v>24768</v>
      </c>
      <c r="I109" s="12">
        <v>7483</v>
      </c>
    </row>
    <row r="110" spans="1:9" x14ac:dyDescent="0.25">
      <c r="A110" s="14">
        <v>249</v>
      </c>
      <c r="B110" s="15" t="s">
        <v>28</v>
      </c>
      <c r="C110" s="15" t="s">
        <v>12</v>
      </c>
      <c r="D110" s="17" t="s">
        <v>270</v>
      </c>
      <c r="E110" s="93">
        <v>228</v>
      </c>
      <c r="F110" s="15" t="s">
        <v>28</v>
      </c>
      <c r="G110" s="15" t="s">
        <v>12</v>
      </c>
      <c r="H110" s="12">
        <v>436561</v>
      </c>
      <c r="I110" s="12">
        <v>11487</v>
      </c>
    </row>
    <row r="111" spans="1:9" x14ac:dyDescent="0.25">
      <c r="A111" s="14">
        <v>239</v>
      </c>
      <c r="B111" s="15" t="s">
        <v>28</v>
      </c>
      <c r="C111" s="15" t="s">
        <v>12</v>
      </c>
      <c r="D111" s="17" t="s">
        <v>271</v>
      </c>
      <c r="E111" s="93">
        <v>240</v>
      </c>
      <c r="F111" s="15" t="s">
        <v>28</v>
      </c>
      <c r="G111" s="15" t="s">
        <v>12</v>
      </c>
      <c r="H111" s="12">
        <v>844867</v>
      </c>
      <c r="I111" s="12">
        <v>22079</v>
      </c>
    </row>
    <row r="112" spans="1:9" x14ac:dyDescent="0.25">
      <c r="A112" s="14">
        <v>139</v>
      </c>
      <c r="B112" s="15" t="s">
        <v>28</v>
      </c>
      <c r="C112" s="15" t="s">
        <v>12</v>
      </c>
      <c r="D112" s="17" t="s">
        <v>272</v>
      </c>
      <c r="E112" s="93">
        <v>239</v>
      </c>
      <c r="F112" s="15" t="s">
        <v>28</v>
      </c>
      <c r="G112" s="15" t="s">
        <v>12</v>
      </c>
      <c r="H112" s="12">
        <v>2078</v>
      </c>
      <c r="I112" s="12">
        <v>22793</v>
      </c>
    </row>
    <row r="113" spans="1:9" x14ac:dyDescent="0.25">
      <c r="A113" s="14">
        <v>180</v>
      </c>
      <c r="B113" s="15" t="s">
        <v>28</v>
      </c>
      <c r="C113" s="15" t="s">
        <v>12</v>
      </c>
      <c r="D113" s="17" t="s">
        <v>273</v>
      </c>
      <c r="E113" s="93">
        <v>228</v>
      </c>
      <c r="F113" s="15" t="s">
        <v>28</v>
      </c>
      <c r="G113" s="15" t="s">
        <v>12</v>
      </c>
      <c r="H113" s="12">
        <v>2273380</v>
      </c>
      <c r="I113" s="12">
        <v>26250</v>
      </c>
    </row>
    <row r="114" spans="1:9" x14ac:dyDescent="0.25">
      <c r="A114" s="14">
        <v>237</v>
      </c>
      <c r="B114" s="15" t="s">
        <v>28</v>
      </c>
      <c r="C114" s="15" t="s">
        <v>12</v>
      </c>
      <c r="D114" s="17" t="s">
        <v>274</v>
      </c>
      <c r="E114" s="93">
        <v>119</v>
      </c>
      <c r="F114" s="15" t="s">
        <v>28</v>
      </c>
      <c r="G114" s="15" t="s">
        <v>12</v>
      </c>
      <c r="H114" s="12">
        <v>162997</v>
      </c>
      <c r="I114" s="12">
        <v>35078</v>
      </c>
    </row>
    <row r="115" spans="1:9" x14ac:dyDescent="0.25">
      <c r="A115" s="14">
        <v>229</v>
      </c>
      <c r="B115" s="15" t="s">
        <v>28</v>
      </c>
      <c r="C115" s="15" t="s">
        <v>12</v>
      </c>
      <c r="D115" s="17" t="s">
        <v>275</v>
      </c>
      <c r="E115" s="93">
        <v>239</v>
      </c>
      <c r="F115" s="15" t="s">
        <v>28</v>
      </c>
      <c r="G115" s="15" t="s">
        <v>12</v>
      </c>
      <c r="H115" s="12">
        <v>935740</v>
      </c>
      <c r="I115" s="12">
        <v>35221</v>
      </c>
    </row>
    <row r="116" spans="1:9" x14ac:dyDescent="0.25">
      <c r="A116" s="14">
        <v>122</v>
      </c>
      <c r="B116" s="15" t="s">
        <v>28</v>
      </c>
      <c r="C116" s="15" t="s">
        <v>12</v>
      </c>
      <c r="D116" s="17" t="s">
        <v>276</v>
      </c>
      <c r="E116" s="93">
        <v>217</v>
      </c>
      <c r="F116" s="15" t="s">
        <v>28</v>
      </c>
      <c r="G116" s="15" t="s">
        <v>12</v>
      </c>
      <c r="H116" s="12">
        <v>8130273</v>
      </c>
      <c r="I116" s="12">
        <v>36785</v>
      </c>
    </row>
    <row r="117" spans="1:9" x14ac:dyDescent="0.25">
      <c r="A117" s="14">
        <v>217</v>
      </c>
      <c r="B117" s="15" t="s">
        <v>28</v>
      </c>
      <c r="C117" s="15" t="s">
        <v>12</v>
      </c>
      <c r="D117" s="17" t="s">
        <v>277</v>
      </c>
      <c r="E117" s="93">
        <v>324</v>
      </c>
      <c r="F117" s="15" t="s">
        <v>28</v>
      </c>
      <c r="G117" s="15" t="s">
        <v>12</v>
      </c>
      <c r="H117" s="12">
        <v>571598</v>
      </c>
      <c r="I117" s="12">
        <v>38429</v>
      </c>
    </row>
    <row r="118" spans="1:9" x14ac:dyDescent="0.25">
      <c r="A118" s="14">
        <v>239</v>
      </c>
      <c r="B118" s="15" t="s">
        <v>28</v>
      </c>
      <c r="C118" s="15" t="s">
        <v>12</v>
      </c>
      <c r="D118" s="17" t="s">
        <v>278</v>
      </c>
      <c r="E118" s="93">
        <v>122</v>
      </c>
      <c r="F118" s="15" t="s">
        <v>28</v>
      </c>
      <c r="G118" s="15" t="s">
        <v>12</v>
      </c>
      <c r="H118" s="12">
        <v>0</v>
      </c>
      <c r="I118" s="12">
        <v>42691</v>
      </c>
    </row>
    <row r="119" spans="1:9" x14ac:dyDescent="0.25">
      <c r="A119" s="14">
        <v>249</v>
      </c>
      <c r="B119" s="15" t="s">
        <v>28</v>
      </c>
      <c r="C119" s="15" t="s">
        <v>12</v>
      </c>
      <c r="D119" s="17" t="s">
        <v>279</v>
      </c>
      <c r="E119" s="93">
        <v>122</v>
      </c>
      <c r="F119" s="15" t="s">
        <v>28</v>
      </c>
      <c r="G119" s="15" t="s">
        <v>12</v>
      </c>
      <c r="H119" s="12">
        <v>667742</v>
      </c>
      <c r="I119" s="12">
        <v>48887</v>
      </c>
    </row>
    <row r="120" spans="1:9" x14ac:dyDescent="0.25">
      <c r="A120" s="14">
        <v>122</v>
      </c>
      <c r="B120" s="15" t="s">
        <v>28</v>
      </c>
      <c r="C120" s="15" t="s">
        <v>12</v>
      </c>
      <c r="D120" s="17" t="s">
        <v>280</v>
      </c>
      <c r="E120" s="93">
        <v>237</v>
      </c>
      <c r="F120" s="15" t="s">
        <v>28</v>
      </c>
      <c r="G120" s="15" t="s">
        <v>12</v>
      </c>
      <c r="H120" s="12">
        <v>4430917</v>
      </c>
      <c r="I120" s="12">
        <v>54015</v>
      </c>
    </row>
    <row r="121" spans="1:9" x14ac:dyDescent="0.25">
      <c r="A121" s="14">
        <v>180</v>
      </c>
      <c r="B121" s="15" t="s">
        <v>28</v>
      </c>
      <c r="C121" s="15" t="s">
        <v>12</v>
      </c>
      <c r="D121" s="17" t="s">
        <v>281</v>
      </c>
      <c r="E121" s="93">
        <v>119</v>
      </c>
      <c r="F121" s="15" t="s">
        <v>28</v>
      </c>
      <c r="G121" s="15" t="s">
        <v>12</v>
      </c>
      <c r="H121" s="12">
        <v>910413</v>
      </c>
      <c r="I121" s="12">
        <v>67408</v>
      </c>
    </row>
    <row r="122" spans="1:9" x14ac:dyDescent="0.25">
      <c r="A122" s="14">
        <v>122</v>
      </c>
      <c r="B122" s="15" t="s">
        <v>28</v>
      </c>
      <c r="C122" s="15" t="s">
        <v>12</v>
      </c>
      <c r="D122" s="17" t="s">
        <v>272</v>
      </c>
      <c r="E122" s="93">
        <v>239</v>
      </c>
      <c r="F122" s="15" t="s">
        <v>28</v>
      </c>
      <c r="G122" s="15" t="s">
        <v>12</v>
      </c>
      <c r="H122" s="12">
        <v>3872002</v>
      </c>
      <c r="I122" s="12">
        <v>72661</v>
      </c>
    </row>
    <row r="123" spans="1:9" x14ac:dyDescent="0.25">
      <c r="A123" s="14">
        <v>122</v>
      </c>
      <c r="B123" s="15" t="s">
        <v>28</v>
      </c>
      <c r="C123" s="15" t="s">
        <v>12</v>
      </c>
      <c r="D123" s="17" t="s">
        <v>282</v>
      </c>
      <c r="E123" s="93">
        <v>238</v>
      </c>
      <c r="F123" s="15" t="s">
        <v>28</v>
      </c>
      <c r="G123" s="15" t="s">
        <v>12</v>
      </c>
      <c r="H123" s="12">
        <v>2737118</v>
      </c>
      <c r="I123" s="12">
        <v>95213</v>
      </c>
    </row>
    <row r="124" spans="1:9" x14ac:dyDescent="0.25">
      <c r="A124" s="14">
        <v>217</v>
      </c>
      <c r="B124" s="15" t="s">
        <v>28</v>
      </c>
      <c r="C124" s="15" t="s">
        <v>12</v>
      </c>
      <c r="D124" s="17" t="s">
        <v>283</v>
      </c>
      <c r="E124" s="93">
        <v>180</v>
      </c>
      <c r="F124" s="15" t="s">
        <v>28</v>
      </c>
      <c r="G124" s="15" t="s">
        <v>12</v>
      </c>
      <c r="H124" s="12">
        <v>91</v>
      </c>
      <c r="I124" s="12">
        <v>101168</v>
      </c>
    </row>
    <row r="125" spans="1:9" x14ac:dyDescent="0.25">
      <c r="A125" s="14">
        <v>229</v>
      </c>
      <c r="B125" s="15" t="s">
        <v>28</v>
      </c>
      <c r="C125" s="15" t="s">
        <v>12</v>
      </c>
      <c r="D125" s="17" t="s">
        <v>284</v>
      </c>
      <c r="E125" s="93">
        <v>238</v>
      </c>
      <c r="F125" s="15" t="s">
        <v>28</v>
      </c>
      <c r="G125" s="15" t="s">
        <v>12</v>
      </c>
      <c r="H125" s="12">
        <v>0</v>
      </c>
      <c r="I125" s="12">
        <v>112486</v>
      </c>
    </row>
    <row r="126" spans="1:9" x14ac:dyDescent="0.25">
      <c r="A126" s="14">
        <v>228</v>
      </c>
      <c r="B126" s="15" t="s">
        <v>28</v>
      </c>
      <c r="C126" s="15" t="s">
        <v>12</v>
      </c>
      <c r="D126" s="17" t="s">
        <v>285</v>
      </c>
      <c r="E126" s="93">
        <v>217</v>
      </c>
      <c r="F126" s="15" t="s">
        <v>28</v>
      </c>
      <c r="G126" s="15" t="s">
        <v>12</v>
      </c>
      <c r="H126" s="12">
        <v>882463</v>
      </c>
      <c r="I126" s="12">
        <v>119754</v>
      </c>
    </row>
    <row r="127" spans="1:9" x14ac:dyDescent="0.25">
      <c r="A127" s="14">
        <v>119</v>
      </c>
      <c r="B127" s="15" t="s">
        <v>28</v>
      </c>
      <c r="C127" s="15" t="s">
        <v>12</v>
      </c>
      <c r="D127" s="17" t="s">
        <v>286</v>
      </c>
      <c r="E127" s="93">
        <v>238</v>
      </c>
      <c r="F127" s="15" t="s">
        <v>28</v>
      </c>
      <c r="G127" s="15" t="s">
        <v>12</v>
      </c>
      <c r="H127" s="12">
        <v>0</v>
      </c>
      <c r="I127" s="12">
        <v>129739</v>
      </c>
    </row>
    <row r="128" spans="1:9" x14ac:dyDescent="0.25">
      <c r="A128" s="14">
        <v>249</v>
      </c>
      <c r="B128" s="15" t="s">
        <v>28</v>
      </c>
      <c r="C128" s="15" t="s">
        <v>12</v>
      </c>
      <c r="D128" s="17" t="s">
        <v>287</v>
      </c>
      <c r="E128" s="93">
        <v>227</v>
      </c>
      <c r="F128" s="15" t="s">
        <v>28</v>
      </c>
      <c r="G128" s="15" t="s">
        <v>6</v>
      </c>
      <c r="H128" s="12">
        <v>144368</v>
      </c>
      <c r="I128" s="12">
        <v>130368</v>
      </c>
    </row>
    <row r="129" spans="1:9" x14ac:dyDescent="0.25">
      <c r="A129" s="14">
        <v>239</v>
      </c>
      <c r="B129" s="15" t="s">
        <v>28</v>
      </c>
      <c r="C129" s="15" t="s">
        <v>12</v>
      </c>
      <c r="D129" s="17" t="s">
        <v>288</v>
      </c>
      <c r="E129" s="93">
        <v>122</v>
      </c>
      <c r="F129" s="15" t="s">
        <v>28</v>
      </c>
      <c r="G129" s="15" t="s">
        <v>12</v>
      </c>
      <c r="H129" s="12">
        <v>0</v>
      </c>
      <c r="I129" s="12">
        <v>137317</v>
      </c>
    </row>
    <row r="130" spans="1:9" x14ac:dyDescent="0.25">
      <c r="A130" s="14">
        <v>232</v>
      </c>
      <c r="B130" s="15" t="s">
        <v>28</v>
      </c>
      <c r="C130" s="15" t="s">
        <v>12</v>
      </c>
      <c r="D130" s="17" t="s">
        <v>289</v>
      </c>
      <c r="E130" s="93">
        <v>237</v>
      </c>
      <c r="F130" s="15" t="s">
        <v>28</v>
      </c>
      <c r="G130" s="15" t="s">
        <v>12</v>
      </c>
      <c r="H130" s="12">
        <v>0</v>
      </c>
      <c r="I130" s="12">
        <v>139939</v>
      </c>
    </row>
    <row r="131" spans="1:9" x14ac:dyDescent="0.25">
      <c r="A131" s="14">
        <v>122</v>
      </c>
      <c r="B131" s="15" t="s">
        <v>28</v>
      </c>
      <c r="C131" s="15" t="s">
        <v>12</v>
      </c>
      <c r="D131" s="17" t="s">
        <v>290</v>
      </c>
      <c r="E131" s="93">
        <v>180</v>
      </c>
      <c r="F131" s="15" t="s">
        <v>28</v>
      </c>
      <c r="G131" s="15" t="s">
        <v>12</v>
      </c>
      <c r="H131" s="12">
        <v>344990</v>
      </c>
      <c r="I131" s="12">
        <v>146262</v>
      </c>
    </row>
    <row r="132" spans="1:9" x14ac:dyDescent="0.25">
      <c r="A132" s="14">
        <v>229</v>
      </c>
      <c r="B132" s="15" t="s">
        <v>28</v>
      </c>
      <c r="C132" s="15" t="s">
        <v>12</v>
      </c>
      <c r="D132" s="17" t="s">
        <v>237</v>
      </c>
      <c r="E132" s="93">
        <v>122</v>
      </c>
      <c r="F132" s="15" t="s">
        <v>28</v>
      </c>
      <c r="G132" s="15" t="s">
        <v>12</v>
      </c>
      <c r="H132" s="12">
        <v>5945052</v>
      </c>
      <c r="I132" s="12">
        <v>162663</v>
      </c>
    </row>
    <row r="133" spans="1:9" x14ac:dyDescent="0.25">
      <c r="A133" s="14">
        <v>119</v>
      </c>
      <c r="B133" s="15" t="s">
        <v>28</v>
      </c>
      <c r="C133" s="15" t="s">
        <v>12</v>
      </c>
      <c r="D133" s="17" t="s">
        <v>280</v>
      </c>
      <c r="E133" s="93">
        <v>237</v>
      </c>
      <c r="F133" s="15" t="s">
        <v>28</v>
      </c>
      <c r="G133" s="15" t="s">
        <v>12</v>
      </c>
      <c r="H133" s="12">
        <v>35159</v>
      </c>
      <c r="I133" s="12">
        <v>163078</v>
      </c>
    </row>
    <row r="134" spans="1:9" x14ac:dyDescent="0.25">
      <c r="A134" s="14">
        <v>249</v>
      </c>
      <c r="B134" s="15" t="s">
        <v>28</v>
      </c>
      <c r="C134" s="15" t="s">
        <v>12</v>
      </c>
      <c r="D134" s="17" t="s">
        <v>291</v>
      </c>
      <c r="E134" s="93">
        <v>180</v>
      </c>
      <c r="F134" s="15" t="s">
        <v>28</v>
      </c>
      <c r="G134" s="15" t="s">
        <v>12</v>
      </c>
      <c r="H134" s="12">
        <v>505772</v>
      </c>
      <c r="I134" s="12">
        <v>170362</v>
      </c>
    </row>
    <row r="135" spans="1:9" x14ac:dyDescent="0.25">
      <c r="A135" s="14">
        <v>239</v>
      </c>
      <c r="B135" s="15" t="s">
        <v>28</v>
      </c>
      <c r="C135" s="15" t="s">
        <v>12</v>
      </c>
      <c r="D135" s="17" t="s">
        <v>292</v>
      </c>
      <c r="E135" s="93">
        <v>122</v>
      </c>
      <c r="F135" s="15" t="s">
        <v>28</v>
      </c>
      <c r="G135" s="15" t="s">
        <v>12</v>
      </c>
      <c r="H135" s="12">
        <v>205335</v>
      </c>
      <c r="I135" s="12">
        <v>173661</v>
      </c>
    </row>
    <row r="136" spans="1:9" x14ac:dyDescent="0.25">
      <c r="A136" s="14">
        <v>180</v>
      </c>
      <c r="B136" s="15" t="s">
        <v>28</v>
      </c>
      <c r="C136" s="15" t="s">
        <v>12</v>
      </c>
      <c r="D136" s="17" t="s">
        <v>293</v>
      </c>
      <c r="E136" s="93">
        <v>122</v>
      </c>
      <c r="F136" s="15" t="s">
        <v>28</v>
      </c>
      <c r="G136" s="15" t="s">
        <v>12</v>
      </c>
      <c r="H136" s="12">
        <v>13922</v>
      </c>
      <c r="I136" s="12">
        <v>212760</v>
      </c>
    </row>
    <row r="137" spans="1:9" x14ac:dyDescent="0.25">
      <c r="A137" s="14">
        <v>229</v>
      </c>
      <c r="B137" s="15" t="s">
        <v>28</v>
      </c>
      <c r="C137" s="15" t="s">
        <v>12</v>
      </c>
      <c r="D137" s="17" t="s">
        <v>294</v>
      </c>
      <c r="E137" s="93">
        <v>119</v>
      </c>
      <c r="F137" s="15" t="s">
        <v>28</v>
      </c>
      <c r="G137" s="15" t="s">
        <v>12</v>
      </c>
      <c r="H137" s="12">
        <v>473833</v>
      </c>
      <c r="I137" s="12">
        <v>215248</v>
      </c>
    </row>
    <row r="138" spans="1:9" x14ac:dyDescent="0.25">
      <c r="A138" s="14">
        <v>247</v>
      </c>
      <c r="B138" s="15" t="s">
        <v>28</v>
      </c>
      <c r="C138" s="15" t="s">
        <v>12</v>
      </c>
      <c r="D138" s="17" t="s">
        <v>295</v>
      </c>
      <c r="E138" s="93">
        <v>119</v>
      </c>
      <c r="F138" s="15" t="s">
        <v>28</v>
      </c>
      <c r="G138" s="15" t="s">
        <v>12</v>
      </c>
      <c r="H138" s="12">
        <v>0</v>
      </c>
      <c r="I138" s="12">
        <v>256735</v>
      </c>
    </row>
    <row r="139" spans="1:9" x14ac:dyDescent="0.25">
      <c r="A139" s="14">
        <v>139</v>
      </c>
      <c r="B139" s="15" t="s">
        <v>28</v>
      </c>
      <c r="C139" s="15" t="s">
        <v>12</v>
      </c>
      <c r="D139" s="17" t="s">
        <v>274</v>
      </c>
      <c r="E139" s="93">
        <v>119</v>
      </c>
      <c r="F139" s="15" t="s">
        <v>28</v>
      </c>
      <c r="G139" s="15" t="s">
        <v>12</v>
      </c>
      <c r="H139" s="12">
        <v>0</v>
      </c>
      <c r="I139" s="12">
        <v>256738</v>
      </c>
    </row>
    <row r="140" spans="1:9" x14ac:dyDescent="0.25">
      <c r="A140" s="14">
        <v>232</v>
      </c>
      <c r="B140" s="15" t="s">
        <v>28</v>
      </c>
      <c r="C140" s="15" t="s">
        <v>12</v>
      </c>
      <c r="D140" s="17" t="s">
        <v>296</v>
      </c>
      <c r="E140" s="93">
        <v>239</v>
      </c>
      <c r="F140" s="15" t="s">
        <v>28</v>
      </c>
      <c r="G140" s="15" t="s">
        <v>12</v>
      </c>
      <c r="H140" s="12">
        <v>0</v>
      </c>
      <c r="I140" s="12">
        <v>265111</v>
      </c>
    </row>
    <row r="141" spans="1:9" x14ac:dyDescent="0.25">
      <c r="A141" s="14">
        <v>239</v>
      </c>
      <c r="B141" s="15" t="s">
        <v>28</v>
      </c>
      <c r="C141" s="15" t="s">
        <v>12</v>
      </c>
      <c r="D141" s="17" t="s">
        <v>297</v>
      </c>
      <c r="E141" s="93">
        <v>122</v>
      </c>
      <c r="F141" s="15" t="s">
        <v>28</v>
      </c>
      <c r="G141" s="15" t="s">
        <v>12</v>
      </c>
      <c r="H141" s="12">
        <v>359637</v>
      </c>
      <c r="I141" s="12">
        <v>314991</v>
      </c>
    </row>
    <row r="142" spans="1:9" x14ac:dyDescent="0.25">
      <c r="A142" s="14">
        <v>232</v>
      </c>
      <c r="B142" s="15" t="s">
        <v>28</v>
      </c>
      <c r="C142" s="15" t="s">
        <v>12</v>
      </c>
      <c r="D142" s="17" t="s">
        <v>298</v>
      </c>
      <c r="E142" s="93">
        <v>238</v>
      </c>
      <c r="F142" s="15" t="s">
        <v>28</v>
      </c>
      <c r="G142" s="15" t="s">
        <v>12</v>
      </c>
      <c r="H142" s="12">
        <v>0</v>
      </c>
      <c r="I142" s="12">
        <v>335198</v>
      </c>
    </row>
    <row r="143" spans="1:9" x14ac:dyDescent="0.25">
      <c r="A143" s="14">
        <v>275</v>
      </c>
      <c r="B143" s="15" t="s">
        <v>28</v>
      </c>
      <c r="C143" s="15" t="s">
        <v>12</v>
      </c>
      <c r="D143" s="17" t="s">
        <v>299</v>
      </c>
      <c r="E143" s="93">
        <v>275</v>
      </c>
      <c r="F143" s="15" t="s">
        <v>28</v>
      </c>
      <c r="G143" s="15" t="s">
        <v>12</v>
      </c>
      <c r="H143" s="12">
        <v>55912</v>
      </c>
      <c r="I143" s="12">
        <v>361107</v>
      </c>
    </row>
    <row r="144" spans="1:9" x14ac:dyDescent="0.25">
      <c r="A144" s="14">
        <v>229</v>
      </c>
      <c r="B144" s="15" t="s">
        <v>28</v>
      </c>
      <c r="C144" s="15" t="s">
        <v>12</v>
      </c>
      <c r="D144" s="17" t="s">
        <v>300</v>
      </c>
      <c r="E144" s="93">
        <v>125</v>
      </c>
      <c r="F144" s="15" t="s">
        <v>28</v>
      </c>
      <c r="G144" s="15" t="s">
        <v>6</v>
      </c>
      <c r="H144" s="12">
        <v>414</v>
      </c>
      <c r="I144" s="12">
        <v>370216</v>
      </c>
    </row>
    <row r="145" spans="1:9" x14ac:dyDescent="0.25">
      <c r="A145" s="14">
        <v>237</v>
      </c>
      <c r="B145" s="15" t="s">
        <v>28</v>
      </c>
      <c r="C145" s="15" t="s">
        <v>12</v>
      </c>
      <c r="D145" s="17" t="s">
        <v>301</v>
      </c>
      <c r="E145" s="93">
        <v>238</v>
      </c>
      <c r="F145" s="15" t="s">
        <v>28</v>
      </c>
      <c r="G145" s="15" t="s">
        <v>12</v>
      </c>
      <c r="H145" s="12">
        <v>845296</v>
      </c>
      <c r="I145" s="12">
        <v>423039</v>
      </c>
    </row>
    <row r="146" spans="1:9" x14ac:dyDescent="0.25">
      <c r="A146" s="14">
        <v>240</v>
      </c>
      <c r="B146" s="15" t="s">
        <v>28</v>
      </c>
      <c r="C146" s="15" t="s">
        <v>12</v>
      </c>
      <c r="D146" s="17" t="s">
        <v>301</v>
      </c>
      <c r="E146" s="93">
        <v>238</v>
      </c>
      <c r="F146" s="15" t="s">
        <v>28</v>
      </c>
      <c r="G146" s="15" t="s">
        <v>12</v>
      </c>
      <c r="H146" s="12">
        <v>0</v>
      </c>
      <c r="I146" s="12">
        <v>424408</v>
      </c>
    </row>
    <row r="147" spans="1:9" x14ac:dyDescent="0.25">
      <c r="A147" s="14">
        <v>180</v>
      </c>
      <c r="B147" s="15" t="s">
        <v>28</v>
      </c>
      <c r="C147" s="15" t="s">
        <v>12</v>
      </c>
      <c r="D147" s="17" t="s">
        <v>302</v>
      </c>
      <c r="E147" s="93">
        <v>122</v>
      </c>
      <c r="F147" s="15" t="s">
        <v>28</v>
      </c>
      <c r="G147" s="15" t="s">
        <v>5</v>
      </c>
      <c r="H147" s="12">
        <v>169543</v>
      </c>
      <c r="I147" s="12">
        <v>504908</v>
      </c>
    </row>
    <row r="148" spans="1:9" x14ac:dyDescent="0.25">
      <c r="A148" s="14">
        <v>229</v>
      </c>
      <c r="B148" s="15" t="s">
        <v>28</v>
      </c>
      <c r="C148" s="15" t="s">
        <v>12</v>
      </c>
      <c r="D148" s="17" t="s">
        <v>283</v>
      </c>
      <c r="E148" s="93">
        <v>180</v>
      </c>
      <c r="F148" s="15" t="s">
        <v>28</v>
      </c>
      <c r="G148" s="15" t="s">
        <v>12</v>
      </c>
      <c r="H148" s="12">
        <v>1843046</v>
      </c>
      <c r="I148" s="12">
        <v>505262</v>
      </c>
    </row>
    <row r="149" spans="1:9" x14ac:dyDescent="0.25">
      <c r="A149" s="14">
        <v>119</v>
      </c>
      <c r="B149" s="15" t="s">
        <v>28</v>
      </c>
      <c r="C149" s="15" t="s">
        <v>12</v>
      </c>
      <c r="D149" s="17" t="s">
        <v>303</v>
      </c>
      <c r="E149" s="93">
        <v>228</v>
      </c>
      <c r="F149" s="15" t="s">
        <v>28</v>
      </c>
      <c r="G149" s="15" t="s">
        <v>12</v>
      </c>
      <c r="H149" s="12">
        <v>249403</v>
      </c>
      <c r="I149" s="12">
        <v>507988</v>
      </c>
    </row>
    <row r="150" spans="1:9" x14ac:dyDescent="0.25">
      <c r="A150" s="14">
        <v>139</v>
      </c>
      <c r="B150" s="15" t="s">
        <v>28</v>
      </c>
      <c r="C150" s="15" t="s">
        <v>12</v>
      </c>
      <c r="D150" s="17" t="s">
        <v>304</v>
      </c>
      <c r="E150" s="93">
        <v>240</v>
      </c>
      <c r="F150" s="15" t="s">
        <v>28</v>
      </c>
      <c r="G150" s="15" t="s">
        <v>12</v>
      </c>
      <c r="H150" s="12">
        <v>90</v>
      </c>
      <c r="I150" s="12">
        <v>512153</v>
      </c>
    </row>
    <row r="151" spans="1:9" x14ac:dyDescent="0.25">
      <c r="A151" s="14">
        <v>275</v>
      </c>
      <c r="B151" s="15" t="s">
        <v>28</v>
      </c>
      <c r="C151" s="15" t="s">
        <v>12</v>
      </c>
      <c r="D151" s="17" t="s">
        <v>305</v>
      </c>
      <c r="E151" s="93">
        <v>272</v>
      </c>
      <c r="F151" s="15" t="s">
        <v>33</v>
      </c>
      <c r="G151" s="15" t="s">
        <v>10</v>
      </c>
      <c r="H151" s="12">
        <v>74940</v>
      </c>
      <c r="I151" s="12">
        <v>545174</v>
      </c>
    </row>
    <row r="152" spans="1:9" x14ac:dyDescent="0.25">
      <c r="A152" s="14">
        <v>324</v>
      </c>
      <c r="B152" s="15" t="s">
        <v>28</v>
      </c>
      <c r="C152" s="15" t="s">
        <v>12</v>
      </c>
      <c r="D152" s="17" t="s">
        <v>306</v>
      </c>
      <c r="E152" s="93">
        <v>217</v>
      </c>
      <c r="F152" s="15" t="s">
        <v>28</v>
      </c>
      <c r="G152" s="15" t="s">
        <v>12</v>
      </c>
      <c r="H152" s="12">
        <v>20794</v>
      </c>
      <c r="I152" s="12">
        <v>588790</v>
      </c>
    </row>
    <row r="153" spans="1:9" x14ac:dyDescent="0.25">
      <c r="A153" s="14">
        <v>228</v>
      </c>
      <c r="B153" s="15" t="s">
        <v>28</v>
      </c>
      <c r="C153" s="15" t="s">
        <v>12</v>
      </c>
      <c r="D153" s="17" t="s">
        <v>307</v>
      </c>
      <c r="E153" s="93">
        <v>273</v>
      </c>
      <c r="F153" s="15" t="s">
        <v>28</v>
      </c>
      <c r="G153" s="15" t="s">
        <v>19</v>
      </c>
      <c r="H153" s="12">
        <v>1147504</v>
      </c>
      <c r="I153" s="12">
        <v>636434</v>
      </c>
    </row>
    <row r="154" spans="1:9" x14ac:dyDescent="0.25">
      <c r="A154" s="14">
        <v>238</v>
      </c>
      <c r="B154" s="15" t="s">
        <v>28</v>
      </c>
      <c r="C154" s="15" t="s">
        <v>12</v>
      </c>
      <c r="D154" s="17" t="s">
        <v>308</v>
      </c>
      <c r="E154" s="93">
        <v>237</v>
      </c>
      <c r="F154" s="15" t="s">
        <v>28</v>
      </c>
      <c r="G154" s="15" t="s">
        <v>12</v>
      </c>
      <c r="H154" s="12">
        <v>308525</v>
      </c>
      <c r="I154" s="12">
        <v>641510</v>
      </c>
    </row>
    <row r="155" spans="1:9" x14ac:dyDescent="0.25">
      <c r="A155" s="14">
        <v>217</v>
      </c>
      <c r="B155" s="15" t="s">
        <v>28</v>
      </c>
      <c r="C155" s="15" t="s">
        <v>12</v>
      </c>
      <c r="D155" s="17" t="s">
        <v>309</v>
      </c>
      <c r="E155" s="93">
        <v>119</v>
      </c>
      <c r="F155" s="15" t="s">
        <v>28</v>
      </c>
      <c r="G155" s="15" t="s">
        <v>12</v>
      </c>
      <c r="H155" s="12">
        <v>1550175</v>
      </c>
      <c r="I155" s="12">
        <v>664954</v>
      </c>
    </row>
    <row r="156" spans="1:9" x14ac:dyDescent="0.25">
      <c r="A156" s="14">
        <v>122</v>
      </c>
      <c r="B156" s="15" t="s">
        <v>28</v>
      </c>
      <c r="C156" s="15" t="s">
        <v>12</v>
      </c>
      <c r="D156" s="17" t="s">
        <v>310</v>
      </c>
      <c r="E156" s="93">
        <v>122</v>
      </c>
      <c r="F156" s="15" t="s">
        <v>28</v>
      </c>
      <c r="G156" s="15" t="s">
        <v>5</v>
      </c>
      <c r="H156" s="12">
        <v>48426</v>
      </c>
      <c r="I156" s="12">
        <v>667380</v>
      </c>
    </row>
    <row r="157" spans="1:9" x14ac:dyDescent="0.25">
      <c r="A157" s="14">
        <v>217</v>
      </c>
      <c r="B157" s="15" t="s">
        <v>28</v>
      </c>
      <c r="C157" s="15" t="s">
        <v>12</v>
      </c>
      <c r="D157" s="13" t="s">
        <v>311</v>
      </c>
      <c r="E157" s="92"/>
      <c r="F157" s="87"/>
      <c r="G157" s="87"/>
      <c r="H157" s="12">
        <v>15100</v>
      </c>
      <c r="I157" s="12">
        <v>667450</v>
      </c>
    </row>
    <row r="158" spans="1:9" x14ac:dyDescent="0.25">
      <c r="A158" s="14">
        <v>119</v>
      </c>
      <c r="B158" s="15" t="s">
        <v>28</v>
      </c>
      <c r="C158" s="15" t="s">
        <v>12</v>
      </c>
      <c r="D158" s="17" t="s">
        <v>283</v>
      </c>
      <c r="E158" s="93">
        <v>180</v>
      </c>
      <c r="F158" s="15" t="s">
        <v>28</v>
      </c>
      <c r="G158" s="15" t="s">
        <v>12</v>
      </c>
      <c r="H158" s="17">
        <v>67733</v>
      </c>
      <c r="I158" s="17">
        <v>910929</v>
      </c>
    </row>
    <row r="159" spans="1:9" x14ac:dyDescent="0.25">
      <c r="A159" s="14">
        <v>229</v>
      </c>
      <c r="B159" s="15" t="s">
        <v>28</v>
      </c>
      <c r="C159" s="15" t="s">
        <v>12</v>
      </c>
      <c r="D159" s="17" t="s">
        <v>285</v>
      </c>
      <c r="E159" s="93">
        <v>217</v>
      </c>
      <c r="F159" s="15" t="s">
        <v>28</v>
      </c>
      <c r="G159" s="15" t="s">
        <v>12</v>
      </c>
      <c r="H159" s="17">
        <v>2</v>
      </c>
      <c r="I159" s="17">
        <v>992215</v>
      </c>
    </row>
    <row r="160" spans="1:9" x14ac:dyDescent="0.25">
      <c r="A160" s="14">
        <v>119</v>
      </c>
      <c r="B160" s="15" t="s">
        <v>28</v>
      </c>
      <c r="C160" s="15" t="s">
        <v>12</v>
      </c>
      <c r="D160" s="17" t="s">
        <v>312</v>
      </c>
      <c r="E160" s="93">
        <v>239</v>
      </c>
      <c r="F160" s="15" t="s">
        <v>28</v>
      </c>
      <c r="G160" s="15" t="s">
        <v>12</v>
      </c>
      <c r="H160" s="17">
        <v>371667</v>
      </c>
      <c r="I160" s="17">
        <v>1004795</v>
      </c>
    </row>
    <row r="161" spans="1:9" x14ac:dyDescent="0.25">
      <c r="A161" s="14">
        <v>240</v>
      </c>
      <c r="B161" s="15" t="s">
        <v>28</v>
      </c>
      <c r="C161" s="15" t="s">
        <v>12</v>
      </c>
      <c r="D161" s="17" t="s">
        <v>313</v>
      </c>
      <c r="E161" s="93">
        <v>237</v>
      </c>
      <c r="F161" s="15" t="s">
        <v>28</v>
      </c>
      <c r="G161" s="15" t="s">
        <v>12</v>
      </c>
      <c r="H161" s="17">
        <v>1506357</v>
      </c>
      <c r="I161" s="17">
        <v>1057802</v>
      </c>
    </row>
    <row r="162" spans="1:9" x14ac:dyDescent="0.25">
      <c r="A162" s="14">
        <v>239</v>
      </c>
      <c r="B162" s="15" t="s">
        <v>28</v>
      </c>
      <c r="C162" s="15" t="s">
        <v>12</v>
      </c>
      <c r="D162" s="17" t="s">
        <v>314</v>
      </c>
      <c r="E162" s="93">
        <v>122</v>
      </c>
      <c r="F162" s="15" t="s">
        <v>28</v>
      </c>
      <c r="G162" s="15" t="s">
        <v>12</v>
      </c>
      <c r="H162" s="17">
        <v>0</v>
      </c>
      <c r="I162" s="17">
        <v>1143571</v>
      </c>
    </row>
    <row r="163" spans="1:9" x14ac:dyDescent="0.25">
      <c r="A163" s="14">
        <v>275</v>
      </c>
      <c r="B163" s="15" t="s">
        <v>28</v>
      </c>
      <c r="C163" s="15" t="s">
        <v>12</v>
      </c>
      <c r="D163" s="17" t="s">
        <v>315</v>
      </c>
      <c r="E163" s="93">
        <v>217</v>
      </c>
      <c r="F163" s="15" t="s">
        <v>28</v>
      </c>
      <c r="G163" s="15" t="s">
        <v>12</v>
      </c>
      <c r="H163" s="17">
        <v>2322667</v>
      </c>
      <c r="I163" s="17">
        <v>1212954</v>
      </c>
    </row>
    <row r="164" spans="1:9" x14ac:dyDescent="0.25">
      <c r="A164" s="14">
        <v>240</v>
      </c>
      <c r="B164" s="15" t="s">
        <v>28</v>
      </c>
      <c r="C164" s="15" t="s">
        <v>12</v>
      </c>
      <c r="D164" s="17" t="s">
        <v>256</v>
      </c>
      <c r="E164" s="93">
        <v>238</v>
      </c>
      <c r="F164" s="15" t="s">
        <v>28</v>
      </c>
      <c r="G164" s="15" t="s">
        <v>12</v>
      </c>
      <c r="H164" s="17">
        <v>1451553</v>
      </c>
      <c r="I164" s="17">
        <v>1244927</v>
      </c>
    </row>
    <row r="165" spans="1:9" x14ac:dyDescent="0.25">
      <c r="A165" s="14">
        <v>229</v>
      </c>
      <c r="B165" s="15" t="s">
        <v>28</v>
      </c>
      <c r="C165" s="15" t="s">
        <v>12</v>
      </c>
      <c r="D165" s="17" t="s">
        <v>261</v>
      </c>
      <c r="E165" s="93">
        <v>232</v>
      </c>
      <c r="F165" s="15" t="s">
        <v>28</v>
      </c>
      <c r="G165" s="15" t="s">
        <v>12</v>
      </c>
      <c r="H165" s="17">
        <v>3371</v>
      </c>
      <c r="I165" s="17">
        <v>1367887</v>
      </c>
    </row>
    <row r="166" spans="1:9" x14ac:dyDescent="0.25">
      <c r="A166" s="14">
        <v>237</v>
      </c>
      <c r="B166" s="15" t="s">
        <v>28</v>
      </c>
      <c r="C166" s="15" t="s">
        <v>12</v>
      </c>
      <c r="D166" s="17" t="s">
        <v>304</v>
      </c>
      <c r="E166" s="93">
        <v>240</v>
      </c>
      <c r="F166" s="15" t="s">
        <v>28</v>
      </c>
      <c r="G166" s="15" t="s">
        <v>12</v>
      </c>
      <c r="H166" s="17">
        <v>1065281</v>
      </c>
      <c r="I166" s="17">
        <v>1513836</v>
      </c>
    </row>
    <row r="167" spans="1:9" x14ac:dyDescent="0.25">
      <c r="A167" s="14">
        <v>217</v>
      </c>
      <c r="B167" s="15" t="s">
        <v>28</v>
      </c>
      <c r="C167" s="15" t="s">
        <v>12</v>
      </c>
      <c r="D167" s="17" t="s">
        <v>192</v>
      </c>
      <c r="E167" s="93">
        <v>228</v>
      </c>
      <c r="F167" s="15" t="s">
        <v>28</v>
      </c>
      <c r="G167" s="15" t="s">
        <v>12</v>
      </c>
      <c r="H167" s="17">
        <v>818289</v>
      </c>
      <c r="I167" s="17">
        <v>1580701</v>
      </c>
    </row>
    <row r="168" spans="1:9" x14ac:dyDescent="0.25">
      <c r="A168" s="14">
        <v>247</v>
      </c>
      <c r="B168" s="15" t="s">
        <v>28</v>
      </c>
      <c r="C168" s="15" t="s">
        <v>12</v>
      </c>
      <c r="D168" s="17" t="s">
        <v>304</v>
      </c>
      <c r="E168" s="93">
        <v>240</v>
      </c>
      <c r="F168" s="15" t="s">
        <v>28</v>
      </c>
      <c r="G168" s="15" t="s">
        <v>12</v>
      </c>
      <c r="H168" s="17">
        <v>1384892</v>
      </c>
      <c r="I168" s="17">
        <v>1591518</v>
      </c>
    </row>
    <row r="169" spans="1:9" x14ac:dyDescent="0.25">
      <c r="A169" s="14">
        <v>119</v>
      </c>
      <c r="B169" s="15" t="s">
        <v>28</v>
      </c>
      <c r="C169" s="15" t="s">
        <v>12</v>
      </c>
      <c r="D169" s="17" t="s">
        <v>285</v>
      </c>
      <c r="E169" s="93">
        <v>217</v>
      </c>
      <c r="F169" s="15" t="s">
        <v>28</v>
      </c>
      <c r="G169" s="15" t="s">
        <v>12</v>
      </c>
      <c r="H169" s="17">
        <v>707149</v>
      </c>
      <c r="I169" s="17">
        <v>1592388</v>
      </c>
    </row>
    <row r="170" spans="1:9" x14ac:dyDescent="0.25">
      <c r="A170" s="14">
        <v>232</v>
      </c>
      <c r="B170" s="15" t="s">
        <v>28</v>
      </c>
      <c r="C170" s="15" t="s">
        <v>12</v>
      </c>
      <c r="D170" s="17" t="s">
        <v>316</v>
      </c>
      <c r="E170" s="93">
        <v>217</v>
      </c>
      <c r="F170" s="15" t="s">
        <v>28</v>
      </c>
      <c r="G170" s="15" t="s">
        <v>12</v>
      </c>
      <c r="H170" s="17">
        <v>57258</v>
      </c>
      <c r="I170" s="17">
        <v>1926561</v>
      </c>
    </row>
    <row r="171" spans="1:9" x14ac:dyDescent="0.25">
      <c r="A171" s="14">
        <v>228</v>
      </c>
      <c r="B171" s="15" t="s">
        <v>28</v>
      </c>
      <c r="C171" s="15" t="s">
        <v>12</v>
      </c>
      <c r="D171" s="17" t="s">
        <v>244</v>
      </c>
      <c r="E171" s="93">
        <v>122</v>
      </c>
      <c r="F171" s="15" t="s">
        <v>28</v>
      </c>
      <c r="G171" s="15" t="s">
        <v>5</v>
      </c>
      <c r="H171" s="17">
        <v>17992</v>
      </c>
      <c r="I171" s="17">
        <v>1939711</v>
      </c>
    </row>
    <row r="172" spans="1:9" x14ac:dyDescent="0.25">
      <c r="A172" s="14">
        <v>232</v>
      </c>
      <c r="B172" s="15" t="s">
        <v>28</v>
      </c>
      <c r="C172" s="15" t="s">
        <v>12</v>
      </c>
      <c r="D172" s="17" t="s">
        <v>317</v>
      </c>
      <c r="E172" s="93">
        <v>229</v>
      </c>
      <c r="F172" s="15" t="s">
        <v>28</v>
      </c>
      <c r="G172" s="15" t="s">
        <v>12</v>
      </c>
      <c r="H172" s="17">
        <v>3389399</v>
      </c>
      <c r="I172" s="17">
        <v>2024883</v>
      </c>
    </row>
    <row r="173" spans="1:9" x14ac:dyDescent="0.25">
      <c r="A173" s="14">
        <v>228</v>
      </c>
      <c r="B173" s="15" t="s">
        <v>28</v>
      </c>
      <c r="C173" s="15" t="s">
        <v>12</v>
      </c>
      <c r="D173" s="17" t="s">
        <v>318</v>
      </c>
      <c r="E173" s="93">
        <v>194</v>
      </c>
      <c r="F173" s="15" t="s">
        <v>28</v>
      </c>
      <c r="G173" s="15" t="s">
        <v>6</v>
      </c>
      <c r="H173" s="17">
        <v>52584</v>
      </c>
      <c r="I173" s="17">
        <v>2074172</v>
      </c>
    </row>
    <row r="174" spans="1:9" x14ac:dyDescent="0.25">
      <c r="A174" s="14">
        <v>228</v>
      </c>
      <c r="B174" s="15" t="s">
        <v>28</v>
      </c>
      <c r="C174" s="15" t="s">
        <v>12</v>
      </c>
      <c r="D174" s="17" t="s">
        <v>283</v>
      </c>
      <c r="E174" s="93">
        <v>180</v>
      </c>
      <c r="F174" s="15" t="s">
        <v>28</v>
      </c>
      <c r="G174" s="15" t="s">
        <v>12</v>
      </c>
      <c r="H174" s="17">
        <v>32539</v>
      </c>
      <c r="I174" s="17">
        <v>2280650</v>
      </c>
    </row>
    <row r="175" spans="1:9" x14ac:dyDescent="0.25">
      <c r="A175" s="14">
        <v>122</v>
      </c>
      <c r="B175" s="15" t="s">
        <v>28</v>
      </c>
      <c r="C175" s="15" t="s">
        <v>12</v>
      </c>
      <c r="D175" s="17" t="s">
        <v>257</v>
      </c>
      <c r="E175" s="93">
        <v>139</v>
      </c>
      <c r="F175" s="15" t="s">
        <v>28</v>
      </c>
      <c r="G175" s="15" t="s">
        <v>12</v>
      </c>
      <c r="H175" s="17">
        <v>19500</v>
      </c>
      <c r="I175" s="17">
        <v>2317554</v>
      </c>
    </row>
    <row r="176" spans="1:9" x14ac:dyDescent="0.25">
      <c r="A176" s="14">
        <v>217</v>
      </c>
      <c r="B176" s="15" t="s">
        <v>28</v>
      </c>
      <c r="C176" s="15" t="s">
        <v>12</v>
      </c>
      <c r="D176" s="17" t="s">
        <v>319</v>
      </c>
      <c r="E176" s="93">
        <v>275</v>
      </c>
      <c r="F176" s="15" t="s">
        <v>28</v>
      </c>
      <c r="G176" s="15" t="s">
        <v>12</v>
      </c>
      <c r="H176" s="17">
        <v>1212951</v>
      </c>
      <c r="I176" s="17">
        <v>2322732</v>
      </c>
    </row>
    <row r="177" spans="1:9" x14ac:dyDescent="0.25">
      <c r="A177" s="14">
        <v>240</v>
      </c>
      <c r="B177" s="15" t="s">
        <v>28</v>
      </c>
      <c r="C177" s="15" t="s">
        <v>12</v>
      </c>
      <c r="D177" s="17" t="s">
        <v>320</v>
      </c>
      <c r="E177" s="93">
        <v>239</v>
      </c>
      <c r="F177" s="15" t="s">
        <v>28</v>
      </c>
      <c r="G177" s="15" t="s">
        <v>12</v>
      </c>
      <c r="H177" s="17">
        <v>0</v>
      </c>
      <c r="I177" s="17">
        <v>2765983</v>
      </c>
    </row>
    <row r="178" spans="1:9" x14ac:dyDescent="0.25">
      <c r="A178" s="14">
        <v>239</v>
      </c>
      <c r="B178" s="15" t="s">
        <v>28</v>
      </c>
      <c r="C178" s="15" t="s">
        <v>12</v>
      </c>
      <c r="D178" s="17" t="s">
        <v>321</v>
      </c>
      <c r="E178" s="93">
        <v>122</v>
      </c>
      <c r="F178" s="15" t="s">
        <v>28</v>
      </c>
      <c r="G178" s="15" t="s">
        <v>12</v>
      </c>
      <c r="H178" s="17">
        <v>0</v>
      </c>
      <c r="I178" s="17">
        <v>3220586</v>
      </c>
    </row>
    <row r="179" spans="1:9" x14ac:dyDescent="0.25">
      <c r="A179" s="14">
        <v>122</v>
      </c>
      <c r="B179" s="15" t="s">
        <v>28</v>
      </c>
      <c r="C179" s="15" t="s">
        <v>12</v>
      </c>
      <c r="D179" s="17" t="s">
        <v>256</v>
      </c>
      <c r="E179" s="93">
        <v>238</v>
      </c>
      <c r="F179" s="15" t="s">
        <v>28</v>
      </c>
      <c r="G179" s="15" t="s">
        <v>12</v>
      </c>
      <c r="H179" s="17">
        <v>448438</v>
      </c>
      <c r="I179" s="17">
        <v>3299087</v>
      </c>
    </row>
    <row r="180" spans="1:9" x14ac:dyDescent="0.25">
      <c r="A180" s="14">
        <v>238</v>
      </c>
      <c r="B180" s="15" t="s">
        <v>28</v>
      </c>
      <c r="C180" s="15" t="s">
        <v>12</v>
      </c>
      <c r="D180" s="17" t="s">
        <v>322</v>
      </c>
      <c r="E180" s="93">
        <v>122</v>
      </c>
      <c r="F180" s="15" t="s">
        <v>28</v>
      </c>
      <c r="G180" s="15" t="s">
        <v>12</v>
      </c>
      <c r="H180" s="17">
        <v>722837</v>
      </c>
      <c r="I180" s="17">
        <v>3364742</v>
      </c>
    </row>
    <row r="181" spans="1:9" x14ac:dyDescent="0.25">
      <c r="A181" s="14">
        <v>228</v>
      </c>
      <c r="B181" s="15" t="s">
        <v>28</v>
      </c>
      <c r="C181" s="15" t="s">
        <v>12</v>
      </c>
      <c r="D181" s="17" t="s">
        <v>323</v>
      </c>
      <c r="E181" s="93">
        <v>116</v>
      </c>
      <c r="F181" s="15" t="s">
        <v>28</v>
      </c>
      <c r="G181" s="15" t="s">
        <v>5</v>
      </c>
      <c r="H181" s="17">
        <v>14949</v>
      </c>
      <c r="I181" s="17">
        <v>3670382</v>
      </c>
    </row>
    <row r="182" spans="1:9" x14ac:dyDescent="0.25">
      <c r="A182" s="14">
        <v>237</v>
      </c>
      <c r="B182" s="15" t="s">
        <v>28</v>
      </c>
      <c r="C182" s="15" t="s">
        <v>12</v>
      </c>
      <c r="D182" s="17" t="s">
        <v>312</v>
      </c>
      <c r="E182" s="93">
        <v>239</v>
      </c>
      <c r="F182" s="15" t="s">
        <v>28</v>
      </c>
      <c r="G182" s="15" t="s">
        <v>12</v>
      </c>
      <c r="H182" s="17">
        <v>5297182</v>
      </c>
      <c r="I182" s="17">
        <v>3739797</v>
      </c>
    </row>
    <row r="183" spans="1:9" x14ac:dyDescent="0.25">
      <c r="A183" s="14">
        <v>122</v>
      </c>
      <c r="B183" s="15" t="s">
        <v>28</v>
      </c>
      <c r="C183" s="15" t="s">
        <v>12</v>
      </c>
      <c r="D183" s="13" t="s">
        <v>324</v>
      </c>
      <c r="E183" s="92"/>
      <c r="F183" s="87"/>
      <c r="G183" s="87"/>
      <c r="H183" s="12">
        <v>1810672</v>
      </c>
      <c r="I183" s="12">
        <v>3934588</v>
      </c>
    </row>
    <row r="184" spans="1:9" x14ac:dyDescent="0.25">
      <c r="A184" s="14">
        <v>240</v>
      </c>
      <c r="B184" s="15" t="s">
        <v>28</v>
      </c>
      <c r="C184" s="15" t="s">
        <v>12</v>
      </c>
      <c r="D184" s="17" t="s">
        <v>257</v>
      </c>
      <c r="E184" s="93">
        <v>139</v>
      </c>
      <c r="F184" s="15" t="s">
        <v>28</v>
      </c>
      <c r="G184" s="15" t="s">
        <v>12</v>
      </c>
      <c r="H184" s="17">
        <v>19214771</v>
      </c>
      <c r="I184" s="17">
        <v>3957613</v>
      </c>
    </row>
    <row r="185" spans="1:9" x14ac:dyDescent="0.25">
      <c r="A185" s="14">
        <v>139</v>
      </c>
      <c r="B185" s="15" t="s">
        <v>28</v>
      </c>
      <c r="C185" s="15" t="s">
        <v>12</v>
      </c>
      <c r="D185" s="17" t="s">
        <v>237</v>
      </c>
      <c r="E185" s="93">
        <v>122</v>
      </c>
      <c r="F185" s="15" t="s">
        <v>28</v>
      </c>
      <c r="G185" s="15" t="s">
        <v>12</v>
      </c>
      <c r="H185" s="17">
        <v>6295450</v>
      </c>
      <c r="I185" s="17">
        <v>3997396</v>
      </c>
    </row>
    <row r="186" spans="1:9" x14ac:dyDescent="0.25">
      <c r="A186" s="14">
        <v>122</v>
      </c>
      <c r="B186" s="15" t="s">
        <v>28</v>
      </c>
      <c r="C186" s="15" t="s">
        <v>12</v>
      </c>
      <c r="D186" s="17" t="s">
        <v>295</v>
      </c>
      <c r="E186" s="93">
        <v>119</v>
      </c>
      <c r="F186" s="15" t="s">
        <v>28</v>
      </c>
      <c r="G186" s="15" t="s">
        <v>12</v>
      </c>
      <c r="H186" s="17">
        <v>1779</v>
      </c>
      <c r="I186" s="17">
        <v>4266726</v>
      </c>
    </row>
    <row r="187" spans="1:9" x14ac:dyDescent="0.25">
      <c r="A187" s="14">
        <v>180</v>
      </c>
      <c r="B187" s="15" t="s">
        <v>28</v>
      </c>
      <c r="C187" s="15" t="s">
        <v>12</v>
      </c>
      <c r="D187" s="17" t="s">
        <v>325</v>
      </c>
      <c r="E187" s="93">
        <v>229</v>
      </c>
      <c r="F187" s="15" t="s">
        <v>28</v>
      </c>
      <c r="G187" s="15" t="s">
        <v>12</v>
      </c>
      <c r="H187" s="17">
        <v>2947333</v>
      </c>
      <c r="I187" s="17">
        <v>4284215</v>
      </c>
    </row>
    <row r="188" spans="1:9" x14ac:dyDescent="0.25">
      <c r="A188" s="14">
        <v>239</v>
      </c>
      <c r="B188" s="15" t="s">
        <v>28</v>
      </c>
      <c r="C188" s="15" t="s">
        <v>12</v>
      </c>
      <c r="D188" s="17" t="s">
        <v>326</v>
      </c>
      <c r="E188" s="93">
        <v>122</v>
      </c>
      <c r="F188" s="15" t="s">
        <v>28</v>
      </c>
      <c r="G188" s="15" t="s">
        <v>12</v>
      </c>
      <c r="H188" s="17">
        <v>9678</v>
      </c>
      <c r="I188" s="17">
        <v>4497103</v>
      </c>
    </row>
    <row r="189" spans="1:9" x14ac:dyDescent="0.25">
      <c r="A189" s="14">
        <v>240</v>
      </c>
      <c r="B189" s="15" t="s">
        <v>28</v>
      </c>
      <c r="C189" s="15" t="s">
        <v>12</v>
      </c>
      <c r="D189" s="17" t="s">
        <v>285</v>
      </c>
      <c r="E189" s="93">
        <v>217</v>
      </c>
      <c r="F189" s="15" t="s">
        <v>28</v>
      </c>
      <c r="G189" s="15" t="s">
        <v>12</v>
      </c>
      <c r="H189" s="17">
        <v>128257</v>
      </c>
      <c r="I189" s="17">
        <v>4545635</v>
      </c>
    </row>
    <row r="190" spans="1:9" x14ac:dyDescent="0.25">
      <c r="A190" s="14">
        <v>237</v>
      </c>
      <c r="B190" s="15" t="s">
        <v>28</v>
      </c>
      <c r="C190" s="15" t="s">
        <v>12</v>
      </c>
      <c r="D190" s="17" t="s">
        <v>237</v>
      </c>
      <c r="E190" s="93">
        <v>122</v>
      </c>
      <c r="F190" s="15" t="s">
        <v>28</v>
      </c>
      <c r="G190" s="15" t="s">
        <v>12</v>
      </c>
      <c r="H190" s="17">
        <v>351856</v>
      </c>
      <c r="I190" s="17">
        <v>4728758</v>
      </c>
    </row>
    <row r="191" spans="1:9" x14ac:dyDescent="0.25">
      <c r="A191" s="14">
        <v>247</v>
      </c>
      <c r="B191" s="15" t="s">
        <v>28</v>
      </c>
      <c r="C191" s="15" t="s">
        <v>12</v>
      </c>
      <c r="D191" s="17" t="s">
        <v>237</v>
      </c>
      <c r="E191" s="93">
        <v>122</v>
      </c>
      <c r="F191" s="15" t="s">
        <v>28</v>
      </c>
      <c r="G191" s="15" t="s">
        <v>12</v>
      </c>
      <c r="H191" s="17">
        <v>7884351</v>
      </c>
      <c r="I191" s="17">
        <v>5051395</v>
      </c>
    </row>
    <row r="192" spans="1:9" x14ac:dyDescent="0.25">
      <c r="A192" s="14">
        <v>119</v>
      </c>
      <c r="B192" s="15" t="s">
        <v>28</v>
      </c>
      <c r="C192" s="15" t="s">
        <v>12</v>
      </c>
      <c r="D192" s="17" t="s">
        <v>237</v>
      </c>
      <c r="E192" s="93">
        <v>122</v>
      </c>
      <c r="F192" s="15" t="s">
        <v>28</v>
      </c>
      <c r="G192" s="15" t="s">
        <v>12</v>
      </c>
      <c r="H192" s="17">
        <v>9730636</v>
      </c>
      <c r="I192" s="17">
        <v>5465689</v>
      </c>
    </row>
    <row r="193" spans="1:10" x14ac:dyDescent="0.25">
      <c r="A193" s="14">
        <v>122</v>
      </c>
      <c r="B193" s="15" t="s">
        <v>28</v>
      </c>
      <c r="C193" s="15" t="s">
        <v>12</v>
      </c>
      <c r="D193" s="17" t="s">
        <v>259</v>
      </c>
      <c r="E193" s="93">
        <v>229</v>
      </c>
      <c r="F193" s="15" t="s">
        <v>28</v>
      </c>
      <c r="G193" s="15" t="s">
        <v>12</v>
      </c>
      <c r="H193" s="17">
        <v>162663</v>
      </c>
      <c r="I193" s="17">
        <v>5945051</v>
      </c>
    </row>
    <row r="194" spans="1:10" x14ac:dyDescent="0.25">
      <c r="A194" s="14">
        <v>229</v>
      </c>
      <c r="B194" s="15" t="s">
        <v>28</v>
      </c>
      <c r="C194" s="15" t="s">
        <v>12</v>
      </c>
      <c r="D194" s="17" t="s">
        <v>327</v>
      </c>
      <c r="E194" s="93">
        <v>228</v>
      </c>
      <c r="F194" s="15" t="s">
        <v>28</v>
      </c>
      <c r="G194" s="15" t="s">
        <v>12</v>
      </c>
      <c r="H194" s="17">
        <v>1260</v>
      </c>
      <c r="I194" s="17">
        <v>6604450</v>
      </c>
    </row>
    <row r="195" spans="1:10" x14ac:dyDescent="0.25">
      <c r="A195" s="14">
        <v>122</v>
      </c>
      <c r="B195" s="15" t="s">
        <v>28</v>
      </c>
      <c r="C195" s="15" t="s">
        <v>12</v>
      </c>
      <c r="D195" s="82" t="s">
        <v>328</v>
      </c>
      <c r="E195" s="94"/>
      <c r="F195" s="15" t="s">
        <v>28</v>
      </c>
      <c r="G195" s="15" t="s">
        <v>6</v>
      </c>
      <c r="H195" s="17">
        <v>19137</v>
      </c>
      <c r="I195" s="17">
        <v>7466824</v>
      </c>
      <c r="J195" t="s">
        <v>766</v>
      </c>
    </row>
    <row r="196" spans="1:10" x14ac:dyDescent="0.25">
      <c r="A196" s="14">
        <v>232</v>
      </c>
      <c r="B196" s="15" t="s">
        <v>28</v>
      </c>
      <c r="C196" s="15" t="s">
        <v>12</v>
      </c>
      <c r="D196" s="17" t="s">
        <v>329</v>
      </c>
      <c r="E196" s="93">
        <v>122</v>
      </c>
      <c r="F196" s="15" t="s">
        <v>28</v>
      </c>
      <c r="G196" s="15" t="s">
        <v>12</v>
      </c>
      <c r="H196" s="17">
        <v>18244312</v>
      </c>
      <c r="I196" s="17">
        <v>7494648</v>
      </c>
    </row>
    <row r="197" spans="1:10" x14ac:dyDescent="0.25">
      <c r="A197" s="14">
        <v>122</v>
      </c>
      <c r="B197" s="15" t="s">
        <v>28</v>
      </c>
      <c r="C197" s="15" t="s">
        <v>12</v>
      </c>
      <c r="D197" s="17" t="s">
        <v>261</v>
      </c>
      <c r="E197" s="93">
        <v>232</v>
      </c>
      <c r="F197" s="15" t="s">
        <v>28</v>
      </c>
      <c r="G197" s="15" t="s">
        <v>12</v>
      </c>
      <c r="H197" s="17">
        <v>0</v>
      </c>
      <c r="I197" s="17">
        <v>10749661</v>
      </c>
    </row>
    <row r="198" spans="1:10" x14ac:dyDescent="0.25">
      <c r="A198" s="14">
        <v>217</v>
      </c>
      <c r="B198" s="15" t="s">
        <v>28</v>
      </c>
      <c r="C198" s="15" t="s">
        <v>12</v>
      </c>
      <c r="D198" s="17" t="s">
        <v>237</v>
      </c>
      <c r="E198" s="93">
        <v>122</v>
      </c>
      <c r="F198" s="15" t="s">
        <v>28</v>
      </c>
      <c r="G198" s="15" t="s">
        <v>12</v>
      </c>
      <c r="H198" s="17">
        <v>2851705</v>
      </c>
      <c r="I198" s="17">
        <v>10944676</v>
      </c>
    </row>
    <row r="199" spans="1:10" x14ac:dyDescent="0.25">
      <c r="A199" s="14">
        <v>122</v>
      </c>
      <c r="B199" s="15" t="s">
        <v>28</v>
      </c>
      <c r="C199" s="15" t="s">
        <v>12</v>
      </c>
      <c r="D199" s="17" t="s">
        <v>330</v>
      </c>
      <c r="E199" s="93">
        <v>194</v>
      </c>
      <c r="F199" s="15" t="s">
        <v>28</v>
      </c>
      <c r="G199" s="15" t="s">
        <v>6</v>
      </c>
      <c r="H199" s="17">
        <v>77338</v>
      </c>
      <c r="I199" s="17">
        <v>13257954</v>
      </c>
    </row>
    <row r="200" spans="1:10" x14ac:dyDescent="0.25">
      <c r="A200" s="14">
        <v>122</v>
      </c>
      <c r="B200" s="15" t="s">
        <v>28</v>
      </c>
      <c r="C200" s="15" t="s">
        <v>12</v>
      </c>
      <c r="D200" s="17" t="s">
        <v>304</v>
      </c>
      <c r="E200" s="93">
        <v>240</v>
      </c>
      <c r="F200" s="15" t="s">
        <v>28</v>
      </c>
      <c r="G200" s="15" t="s">
        <v>12</v>
      </c>
      <c r="H200" s="17">
        <v>0</v>
      </c>
      <c r="I200" s="17">
        <v>15257157</v>
      </c>
    </row>
    <row r="201" spans="1:10" x14ac:dyDescent="0.25">
      <c r="A201" s="14">
        <v>122</v>
      </c>
      <c r="B201" s="15" t="s">
        <v>28</v>
      </c>
      <c r="C201" s="15" t="s">
        <v>12</v>
      </c>
      <c r="D201" s="17" t="s">
        <v>300</v>
      </c>
      <c r="E201" s="93">
        <v>125</v>
      </c>
      <c r="F201" s="15" t="s">
        <v>28</v>
      </c>
      <c r="G201" s="15" t="s">
        <v>6</v>
      </c>
      <c r="H201" s="17">
        <v>23767</v>
      </c>
      <c r="I201" s="17">
        <v>15696803</v>
      </c>
    </row>
    <row r="202" spans="1:10" x14ac:dyDescent="0.25">
      <c r="A202" s="14">
        <v>312</v>
      </c>
      <c r="B202" s="15" t="s">
        <v>28</v>
      </c>
      <c r="C202" s="15" t="s">
        <v>12</v>
      </c>
      <c r="D202" s="17" t="s">
        <v>331</v>
      </c>
      <c r="E202" s="93">
        <v>217</v>
      </c>
      <c r="F202" s="15" t="s">
        <v>28</v>
      </c>
      <c r="G202" s="15" t="s">
        <v>12</v>
      </c>
      <c r="H202" s="17">
        <v>237350</v>
      </c>
      <c r="I202" s="17">
        <v>770340</v>
      </c>
    </row>
    <row r="203" spans="1:10" x14ac:dyDescent="0.25">
      <c r="A203" s="16">
        <v>273</v>
      </c>
      <c r="B203" s="15" t="s">
        <v>28</v>
      </c>
      <c r="C203" s="15" t="s">
        <v>19</v>
      </c>
      <c r="D203" s="17" t="s">
        <v>332</v>
      </c>
      <c r="E203" s="93">
        <v>209</v>
      </c>
      <c r="F203" s="15" t="s">
        <v>33</v>
      </c>
      <c r="G203" s="15" t="s">
        <v>10</v>
      </c>
      <c r="H203" s="17">
        <v>1281</v>
      </c>
      <c r="I203" s="17">
        <v>0</v>
      </c>
    </row>
    <row r="204" spans="1:10" x14ac:dyDescent="0.25">
      <c r="A204" s="16">
        <v>273</v>
      </c>
      <c r="B204" s="15" t="s">
        <v>28</v>
      </c>
      <c r="C204" s="15" t="s">
        <v>19</v>
      </c>
      <c r="D204" s="17" t="s">
        <v>129</v>
      </c>
      <c r="E204" s="93">
        <v>257</v>
      </c>
      <c r="F204" s="15" t="s">
        <v>28</v>
      </c>
      <c r="G204" s="15" t="s">
        <v>19</v>
      </c>
      <c r="H204" s="17">
        <v>73800</v>
      </c>
      <c r="I204" s="17">
        <v>0</v>
      </c>
      <c r="J204" s="90" t="s">
        <v>494</v>
      </c>
    </row>
    <row r="205" spans="1:10" x14ac:dyDescent="0.25">
      <c r="A205" s="16">
        <v>273</v>
      </c>
      <c r="B205" s="15" t="s">
        <v>28</v>
      </c>
      <c r="C205" s="15" t="s">
        <v>19</v>
      </c>
      <c r="D205" s="17" t="s">
        <v>333</v>
      </c>
      <c r="E205" s="93">
        <v>275</v>
      </c>
      <c r="F205" s="15" t="s">
        <v>28</v>
      </c>
      <c r="G205" s="15" t="s">
        <v>12</v>
      </c>
      <c r="H205" s="17">
        <v>305326</v>
      </c>
      <c r="I205" s="17">
        <v>0</v>
      </c>
    </row>
    <row r="206" spans="1:10" x14ac:dyDescent="0.25">
      <c r="A206" s="16">
        <v>273</v>
      </c>
      <c r="B206" s="15" t="s">
        <v>28</v>
      </c>
      <c r="C206" s="15" t="s">
        <v>19</v>
      </c>
      <c r="D206" s="17" t="s">
        <v>334</v>
      </c>
      <c r="E206" s="93">
        <v>236</v>
      </c>
      <c r="F206" s="15" t="s">
        <v>28</v>
      </c>
      <c r="G206" s="15" t="s">
        <v>5</v>
      </c>
      <c r="H206" s="17">
        <v>2506973</v>
      </c>
      <c r="I206" s="17">
        <v>0</v>
      </c>
    </row>
    <row r="207" spans="1:10" x14ac:dyDescent="0.25">
      <c r="A207" s="16">
        <v>273</v>
      </c>
      <c r="B207" s="15" t="s">
        <v>28</v>
      </c>
      <c r="C207" s="15" t="s">
        <v>19</v>
      </c>
      <c r="D207" s="17" t="s">
        <v>214</v>
      </c>
      <c r="E207" s="93">
        <v>244</v>
      </c>
      <c r="F207" s="15" t="s">
        <v>28</v>
      </c>
      <c r="G207" s="15" t="s">
        <v>5</v>
      </c>
      <c r="H207" s="17">
        <v>0</v>
      </c>
      <c r="I207" s="17">
        <v>24281</v>
      </c>
    </row>
    <row r="208" spans="1:10" x14ac:dyDescent="0.25">
      <c r="A208" s="16">
        <v>235</v>
      </c>
      <c r="B208" s="15" t="s">
        <v>28</v>
      </c>
      <c r="C208" s="15" t="s">
        <v>19</v>
      </c>
      <c r="D208" s="17" t="s">
        <v>335</v>
      </c>
      <c r="E208" s="93">
        <v>259</v>
      </c>
      <c r="F208" s="15" t="s">
        <v>36</v>
      </c>
      <c r="G208" s="15" t="s">
        <v>21</v>
      </c>
      <c r="H208" s="17">
        <v>14614</v>
      </c>
      <c r="I208" s="17">
        <v>31336</v>
      </c>
    </row>
    <row r="209" spans="1:9" x14ac:dyDescent="0.25">
      <c r="A209" s="16">
        <v>273</v>
      </c>
      <c r="B209" s="15" t="s">
        <v>28</v>
      </c>
      <c r="C209" s="15" t="s">
        <v>19</v>
      </c>
      <c r="D209" s="17" t="s">
        <v>336</v>
      </c>
      <c r="E209" s="93">
        <v>272</v>
      </c>
      <c r="F209" s="15" t="s">
        <v>33</v>
      </c>
      <c r="G209" s="15" t="s">
        <v>10</v>
      </c>
      <c r="H209" s="17">
        <v>0</v>
      </c>
      <c r="I209" s="17">
        <v>457661</v>
      </c>
    </row>
    <row r="210" spans="1:9" x14ac:dyDescent="0.25">
      <c r="A210" s="16">
        <v>273</v>
      </c>
      <c r="B210" s="15" t="s">
        <v>28</v>
      </c>
      <c r="C210" s="15" t="s">
        <v>19</v>
      </c>
      <c r="D210" s="17" t="s">
        <v>337</v>
      </c>
      <c r="E210" s="93">
        <v>228</v>
      </c>
      <c r="F210" s="15" t="s">
        <v>28</v>
      </c>
      <c r="G210" s="15" t="s">
        <v>12</v>
      </c>
      <c r="H210" s="17">
        <v>0</v>
      </c>
      <c r="I210" s="17">
        <v>511443</v>
      </c>
    </row>
    <row r="211" spans="1:9" x14ac:dyDescent="0.25">
      <c r="A211" s="16">
        <v>235</v>
      </c>
      <c r="B211" s="15" t="s">
        <v>28</v>
      </c>
      <c r="C211" s="15" t="s">
        <v>19</v>
      </c>
      <c r="D211" s="17" t="s">
        <v>338</v>
      </c>
      <c r="E211" s="93">
        <v>236</v>
      </c>
      <c r="F211" s="15" t="s">
        <v>28</v>
      </c>
      <c r="G211" s="15" t="s">
        <v>5</v>
      </c>
      <c r="H211" s="17">
        <v>0</v>
      </c>
      <c r="I211" s="17">
        <v>1089974</v>
      </c>
    </row>
    <row r="212" spans="1:9" x14ac:dyDescent="0.25">
      <c r="A212" s="16">
        <v>273</v>
      </c>
      <c r="B212" s="15" t="s">
        <v>28</v>
      </c>
      <c r="C212" s="15" t="s">
        <v>19</v>
      </c>
      <c r="D212" s="17" t="s">
        <v>339</v>
      </c>
      <c r="E212" s="93">
        <v>116</v>
      </c>
      <c r="F212" s="15" t="s">
        <v>28</v>
      </c>
      <c r="G212" s="15" t="s">
        <v>5</v>
      </c>
      <c r="H212" s="17">
        <v>0</v>
      </c>
      <c r="I212" s="17">
        <v>2180194</v>
      </c>
    </row>
    <row r="213" spans="1:9" x14ac:dyDescent="0.25">
      <c r="A213" s="16">
        <v>273</v>
      </c>
      <c r="B213" s="15" t="s">
        <v>28</v>
      </c>
      <c r="C213" s="15" t="s">
        <v>19</v>
      </c>
      <c r="D213" s="17" t="s">
        <v>340</v>
      </c>
      <c r="E213" s="93">
        <v>266</v>
      </c>
      <c r="F213" s="15" t="s">
        <v>28</v>
      </c>
      <c r="G213" s="15" t="s">
        <v>5</v>
      </c>
      <c r="H213" s="17">
        <v>0</v>
      </c>
      <c r="I213" s="17">
        <v>2541993</v>
      </c>
    </row>
    <row r="214" spans="1:9" x14ac:dyDescent="0.25">
      <c r="A214" s="16">
        <v>273</v>
      </c>
      <c r="B214" s="15" t="s">
        <v>28</v>
      </c>
      <c r="C214" s="15" t="s">
        <v>19</v>
      </c>
      <c r="D214" s="17" t="s">
        <v>341</v>
      </c>
      <c r="E214" s="93">
        <v>274</v>
      </c>
      <c r="F214" s="15" t="s">
        <v>28</v>
      </c>
      <c r="G214" s="15" t="s">
        <v>5</v>
      </c>
      <c r="H214" s="17">
        <v>0</v>
      </c>
      <c r="I214" s="17">
        <v>3798691</v>
      </c>
    </row>
    <row r="215" spans="1:9" x14ac:dyDescent="0.25">
      <c r="A215" s="16">
        <v>235</v>
      </c>
      <c r="B215" s="15" t="s">
        <v>28</v>
      </c>
      <c r="C215" s="15" t="s">
        <v>19</v>
      </c>
      <c r="D215" s="17" t="s">
        <v>342</v>
      </c>
      <c r="E215" s="93">
        <v>273</v>
      </c>
      <c r="F215" s="15" t="s">
        <v>28</v>
      </c>
      <c r="G215" s="15" t="s">
        <v>19</v>
      </c>
      <c r="H215" s="17">
        <v>9960086</v>
      </c>
      <c r="I215" s="17">
        <v>3856302</v>
      </c>
    </row>
    <row r="216" spans="1:9" x14ac:dyDescent="0.25">
      <c r="A216" s="16">
        <v>273</v>
      </c>
      <c r="B216" s="15" t="s">
        <v>28</v>
      </c>
      <c r="C216" s="15" t="s">
        <v>19</v>
      </c>
      <c r="D216" s="17" t="s">
        <v>343</v>
      </c>
      <c r="E216" s="93">
        <v>235</v>
      </c>
      <c r="F216" s="15" t="s">
        <v>28</v>
      </c>
      <c r="G216" s="15" t="s">
        <v>19</v>
      </c>
      <c r="H216" s="17">
        <v>0</v>
      </c>
      <c r="I216" s="17">
        <v>6465821</v>
      </c>
    </row>
  </sheetData>
  <mergeCells count="3">
    <mergeCell ref="A1:C1"/>
    <mergeCell ref="D1:G1"/>
    <mergeCell ref="H1:I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15"/>
  <sheetViews>
    <sheetView workbookViewId="0">
      <selection activeCell="H13" sqref="H13"/>
    </sheetView>
  </sheetViews>
  <sheetFormatPr defaultRowHeight="15" x14ac:dyDescent="0.25"/>
  <cols>
    <col min="1" max="1" width="14.7109375" bestFit="1" customWidth="1"/>
    <col min="2" max="2" width="14.28515625" customWidth="1"/>
    <col min="3" max="3" width="25" customWidth="1"/>
    <col min="4" max="4" width="26.85546875" customWidth="1"/>
    <col min="5" max="5" width="25.42578125" bestFit="1" customWidth="1"/>
    <col min="6" max="6" width="12.42578125" customWidth="1"/>
    <col min="7" max="7" width="13.28515625" customWidth="1"/>
    <col min="8" max="8" width="18.7109375" bestFit="1" customWidth="1"/>
    <col min="9" max="9"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321</v>
      </c>
      <c r="B3" s="12" t="s">
        <v>344</v>
      </c>
      <c r="C3" s="19" t="s">
        <v>345</v>
      </c>
      <c r="D3" s="12" t="s">
        <v>346</v>
      </c>
      <c r="E3" s="12"/>
      <c r="F3" s="12"/>
      <c r="G3" s="12"/>
      <c r="H3" s="12">
        <v>138329</v>
      </c>
      <c r="I3" s="12">
        <v>0</v>
      </c>
      <c r="J3" t="s">
        <v>486</v>
      </c>
    </row>
    <row r="4" spans="1:10" x14ac:dyDescent="0.25">
      <c r="A4" s="12">
        <v>321</v>
      </c>
      <c r="B4" s="12" t="s">
        <v>344</v>
      </c>
      <c r="C4" s="19" t="s">
        <v>345</v>
      </c>
      <c r="D4" s="12" t="s">
        <v>144</v>
      </c>
      <c r="E4" s="12"/>
      <c r="F4" s="12"/>
      <c r="G4" s="12"/>
      <c r="H4" s="12">
        <v>4308038</v>
      </c>
      <c r="I4" s="12">
        <v>38390</v>
      </c>
      <c r="J4" t="s">
        <v>486</v>
      </c>
    </row>
    <row r="5" spans="1:10" x14ac:dyDescent="0.25">
      <c r="A5" s="12">
        <v>321</v>
      </c>
      <c r="B5" s="12" t="s">
        <v>344</v>
      </c>
      <c r="C5" s="19" t="s">
        <v>345</v>
      </c>
      <c r="D5" s="12" t="s">
        <v>349</v>
      </c>
      <c r="E5" s="12"/>
      <c r="F5" s="12"/>
      <c r="G5" s="12"/>
      <c r="H5" s="12">
        <v>468226</v>
      </c>
      <c r="I5" s="12">
        <v>119709</v>
      </c>
      <c r="J5" t="s">
        <v>486</v>
      </c>
    </row>
    <row r="6" spans="1:10" x14ac:dyDescent="0.25">
      <c r="A6" s="12">
        <v>321</v>
      </c>
      <c r="B6" s="12" t="s">
        <v>344</v>
      </c>
      <c r="C6" s="19" t="s">
        <v>345</v>
      </c>
      <c r="D6" s="13" t="s">
        <v>351</v>
      </c>
      <c r="E6" s="13"/>
      <c r="F6" s="87"/>
      <c r="G6" s="87"/>
      <c r="H6" s="12">
        <v>7534199</v>
      </c>
      <c r="I6" s="12">
        <v>190265</v>
      </c>
    </row>
    <row r="7" spans="1:10" x14ac:dyDescent="0.25">
      <c r="A7" s="12">
        <v>321</v>
      </c>
      <c r="B7" s="12" t="s">
        <v>344</v>
      </c>
      <c r="C7" s="19" t="s">
        <v>345</v>
      </c>
      <c r="D7" s="12" t="s">
        <v>352</v>
      </c>
      <c r="E7" s="12"/>
      <c r="F7" s="12"/>
      <c r="G7" s="12"/>
      <c r="H7" s="12">
        <v>645766</v>
      </c>
      <c r="I7" s="12">
        <v>237484</v>
      </c>
      <c r="J7" t="s">
        <v>486</v>
      </c>
    </row>
    <row r="8" spans="1:10" x14ac:dyDescent="0.25">
      <c r="A8" s="12">
        <v>321</v>
      </c>
      <c r="B8" s="12" t="s">
        <v>344</v>
      </c>
      <c r="C8" s="19" t="s">
        <v>345</v>
      </c>
      <c r="D8" s="12" t="s">
        <v>354</v>
      </c>
      <c r="E8" s="12"/>
      <c r="F8" s="12"/>
      <c r="G8" s="12"/>
      <c r="H8" s="12">
        <v>473851</v>
      </c>
      <c r="I8" s="12">
        <v>575438</v>
      </c>
      <c r="J8" t="s">
        <v>486</v>
      </c>
    </row>
    <row r="9" spans="1:10" x14ac:dyDescent="0.25">
      <c r="A9" s="12">
        <v>321</v>
      </c>
      <c r="B9" s="12" t="s">
        <v>344</v>
      </c>
      <c r="C9" s="19" t="s">
        <v>345</v>
      </c>
      <c r="D9" s="12" t="s">
        <v>355</v>
      </c>
      <c r="E9" s="12"/>
      <c r="F9" s="12"/>
      <c r="G9" s="12"/>
      <c r="H9" s="12">
        <v>8876644</v>
      </c>
      <c r="I9" s="12">
        <v>633757</v>
      </c>
      <c r="J9" t="s">
        <v>486</v>
      </c>
    </row>
    <row r="11" spans="1:10" x14ac:dyDescent="0.25">
      <c r="B11" s="31"/>
      <c r="C11" s="31"/>
      <c r="D11" s="31"/>
    </row>
    <row r="12" spans="1:10" x14ac:dyDescent="0.25">
      <c r="A12">
        <v>321</v>
      </c>
      <c r="B12" s="31" t="s">
        <v>498</v>
      </c>
      <c r="C12" s="96" t="s">
        <v>499</v>
      </c>
      <c r="D12" s="31"/>
    </row>
    <row r="13" spans="1:10" x14ac:dyDescent="0.25">
      <c r="B13" s="31"/>
      <c r="C13" s="31"/>
      <c r="D13" s="31"/>
    </row>
    <row r="14" spans="1:10" x14ac:dyDescent="0.25">
      <c r="B14" s="31"/>
      <c r="C14" s="31"/>
      <c r="D14" s="31"/>
    </row>
    <row r="15" spans="1:10" x14ac:dyDescent="0.25">
      <c r="B15" s="31"/>
      <c r="C15" s="31"/>
      <c r="D15" s="31"/>
    </row>
  </sheetData>
  <mergeCells count="3">
    <mergeCell ref="A1:C1"/>
    <mergeCell ref="D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I24" sqref="I24"/>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0.96592897657566235</v>
      </c>
      <c r="F6">
        <v>3.4071023424337654E-2</v>
      </c>
      <c r="H6" t="s">
        <v>30</v>
      </c>
    </row>
    <row r="7" spans="1:42" x14ac:dyDescent="0.25">
      <c r="A7" t="s">
        <v>30</v>
      </c>
      <c r="B7" t="s">
        <v>431</v>
      </c>
      <c r="C7" t="s">
        <v>9</v>
      </c>
      <c r="D7" t="s">
        <v>410</v>
      </c>
      <c r="E7">
        <v>1</v>
      </c>
      <c r="F7">
        <v>0</v>
      </c>
      <c r="H7" t="s">
        <v>33</v>
      </c>
      <c r="K7">
        <v>8.5865357094436823E-2</v>
      </c>
      <c r="L7">
        <v>0.76826898452917158</v>
      </c>
      <c r="W7">
        <v>0.14586565837639154</v>
      </c>
    </row>
    <row r="8" spans="1:42" x14ac:dyDescent="0.25">
      <c r="A8" t="s">
        <v>30</v>
      </c>
      <c r="B8" t="s">
        <v>431</v>
      </c>
      <c r="C8" t="s">
        <v>31</v>
      </c>
      <c r="D8" t="s">
        <v>411</v>
      </c>
      <c r="E8">
        <v>1</v>
      </c>
      <c r="F8">
        <v>0</v>
      </c>
      <c r="H8" t="s">
        <v>35</v>
      </c>
      <c r="M8">
        <v>0.20315111005013126</v>
      </c>
      <c r="N8">
        <v>0.13607066125566961</v>
      </c>
      <c r="O8">
        <v>4.5356887085223195E-2</v>
      </c>
      <c r="X8">
        <v>0.61542134160897588</v>
      </c>
    </row>
    <row r="9" spans="1:42" x14ac:dyDescent="0.25">
      <c r="A9" t="s">
        <v>33</v>
      </c>
      <c r="B9" t="s">
        <v>432</v>
      </c>
      <c r="C9" t="s">
        <v>32</v>
      </c>
      <c r="D9" t="s">
        <v>412</v>
      </c>
      <c r="E9">
        <v>0.96847386627010246</v>
      </c>
      <c r="F9">
        <v>3.1526133729897543E-2</v>
      </c>
      <c r="H9" t="s">
        <v>34</v>
      </c>
      <c r="AB9">
        <v>0.60732193037919835</v>
      </c>
      <c r="AD9">
        <v>0.3926780696208016</v>
      </c>
    </row>
    <row r="10" spans="1:42" x14ac:dyDescent="0.25">
      <c r="A10" t="s">
        <v>33</v>
      </c>
      <c r="B10" t="s">
        <v>432</v>
      </c>
      <c r="C10" t="s">
        <v>10</v>
      </c>
      <c r="D10" t="s">
        <v>413</v>
      </c>
      <c r="E10">
        <v>0.96492250678672542</v>
      </c>
      <c r="F10">
        <v>3.507749321327458E-2</v>
      </c>
      <c r="H10" t="s">
        <v>37</v>
      </c>
      <c r="AF10">
        <v>8.9315403162659637E-2</v>
      </c>
      <c r="AG10">
        <v>0.3538297352107333</v>
      </c>
      <c r="AH10">
        <v>0.43082829122587646</v>
      </c>
      <c r="AI10">
        <v>0.12602657040073065</v>
      </c>
    </row>
    <row r="11" spans="1:42" x14ac:dyDescent="0.25">
      <c r="A11" t="s">
        <v>35</v>
      </c>
      <c r="B11" t="s">
        <v>433</v>
      </c>
      <c r="C11" t="s">
        <v>11</v>
      </c>
      <c r="D11" t="s">
        <v>414</v>
      </c>
      <c r="E11">
        <v>0.81065082642335184</v>
      </c>
      <c r="F11">
        <v>0.18934917357664816</v>
      </c>
      <c r="H11" t="s">
        <v>36</v>
      </c>
      <c r="AJ11">
        <v>0.21255760676678848</v>
      </c>
      <c r="AK11">
        <v>0.78744239323321152</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7.1643781915529989E-2</v>
      </c>
      <c r="J13">
        <v>6.8408065635987602E-3</v>
      </c>
      <c r="P13">
        <v>8.1225343592622439E-3</v>
      </c>
      <c r="AM13">
        <v>0.40769168913291703</v>
      </c>
      <c r="AN13">
        <v>8.0123124175672647E-2</v>
      </c>
      <c r="AO13">
        <v>0.34700798006680572</v>
      </c>
      <c r="AP13">
        <v>7.8570083786213565E-2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0.62545853657604178</v>
      </c>
      <c r="F15">
        <v>0.37454146342395822</v>
      </c>
    </row>
    <row r="16" spans="1:42" x14ac:dyDescent="0.25">
      <c r="A16" t="s">
        <v>34</v>
      </c>
      <c r="B16" t="s">
        <v>434</v>
      </c>
      <c r="C16" t="s">
        <v>17</v>
      </c>
      <c r="D16" t="s">
        <v>420</v>
      </c>
      <c r="E16">
        <v>1</v>
      </c>
      <c r="F16">
        <v>0</v>
      </c>
    </row>
    <row r="17" spans="1:6" x14ac:dyDescent="0.25">
      <c r="A17" t="s">
        <v>34</v>
      </c>
      <c r="B17" t="s">
        <v>434</v>
      </c>
      <c r="C17" t="s">
        <v>18</v>
      </c>
      <c r="D17" t="s">
        <v>421</v>
      </c>
      <c r="E17">
        <v>0.86598480623981999</v>
      </c>
      <c r="F17">
        <v>0.13401519376018001</v>
      </c>
    </row>
    <row r="18" spans="1:6" x14ac:dyDescent="0.25">
      <c r="A18" t="s">
        <v>37</v>
      </c>
      <c r="B18" t="s">
        <v>435</v>
      </c>
      <c r="C18" t="s">
        <v>22</v>
      </c>
      <c r="D18" t="s">
        <v>425</v>
      </c>
      <c r="E18">
        <v>1</v>
      </c>
      <c r="F18">
        <v>0</v>
      </c>
    </row>
    <row r="19" spans="1:6" x14ac:dyDescent="0.25">
      <c r="A19" t="s">
        <v>37</v>
      </c>
      <c r="B19" t="s">
        <v>435</v>
      </c>
      <c r="C19" t="s">
        <v>23</v>
      </c>
      <c r="D19" t="s">
        <v>426</v>
      </c>
      <c r="E19">
        <v>0.97508272660566975</v>
      </c>
      <c r="F19">
        <v>2.4917273394330253E-2</v>
      </c>
    </row>
    <row r="20" spans="1:6" x14ac:dyDescent="0.25">
      <c r="A20" t="s">
        <v>37</v>
      </c>
      <c r="B20" t="s">
        <v>435</v>
      </c>
      <c r="C20" t="s">
        <v>24</v>
      </c>
      <c r="D20" t="s">
        <v>427</v>
      </c>
      <c r="E20">
        <v>0.89617345903586043</v>
      </c>
      <c r="F20">
        <v>0.10382654096413957</v>
      </c>
    </row>
    <row r="21" spans="1:6" x14ac:dyDescent="0.25">
      <c r="A21" t="s">
        <v>37</v>
      </c>
      <c r="B21" t="s">
        <v>435</v>
      </c>
      <c r="C21" t="s">
        <v>25</v>
      </c>
      <c r="D21" t="s">
        <v>428</v>
      </c>
      <c r="E21">
        <v>0.89744915464454067</v>
      </c>
      <c r="F21">
        <v>0.10255084535545933</v>
      </c>
    </row>
    <row r="22" spans="1:6" x14ac:dyDescent="0.25">
      <c r="A22" t="s">
        <v>37</v>
      </c>
      <c r="B22" t="s">
        <v>435</v>
      </c>
      <c r="C22" t="s">
        <v>26</v>
      </c>
      <c r="D22" t="s">
        <v>429</v>
      </c>
      <c r="E22">
        <v>0.94885788948191241</v>
      </c>
      <c r="F22">
        <v>5.1142110518087591E-2</v>
      </c>
    </row>
    <row r="23" spans="1:6" x14ac:dyDescent="0.25">
      <c r="A23" t="s">
        <v>36</v>
      </c>
      <c r="B23" t="s">
        <v>436</v>
      </c>
      <c r="C23" t="s">
        <v>20</v>
      </c>
      <c r="D23" t="s">
        <v>423</v>
      </c>
      <c r="E23">
        <v>0.95533012640969894</v>
      </c>
      <c r="F23">
        <v>4.4669873590301057E-2</v>
      </c>
    </row>
    <row r="24" spans="1:6" x14ac:dyDescent="0.25">
      <c r="A24" t="s">
        <v>36</v>
      </c>
      <c r="B24" t="s">
        <v>436</v>
      </c>
      <c r="C24" t="s">
        <v>21</v>
      </c>
      <c r="D24" t="s">
        <v>424</v>
      </c>
      <c r="E24">
        <v>0.97434202659071101</v>
      </c>
      <c r="F24">
        <v>2.5657973409288992E-2</v>
      </c>
    </row>
    <row r="25" spans="1:6" x14ac:dyDescent="0.25">
      <c r="A25" t="s">
        <v>29</v>
      </c>
      <c r="B25" t="s">
        <v>437</v>
      </c>
      <c r="C25" t="s">
        <v>7</v>
      </c>
      <c r="D25" t="s">
        <v>408</v>
      </c>
      <c r="E25">
        <v>1</v>
      </c>
      <c r="F25">
        <v>0</v>
      </c>
    </row>
    <row r="26" spans="1:6" x14ac:dyDescent="0.25">
      <c r="A26" t="s">
        <v>28</v>
      </c>
      <c r="B26" t="s">
        <v>438</v>
      </c>
      <c r="C26" t="s">
        <v>5</v>
      </c>
      <c r="D26" t="s">
        <v>406</v>
      </c>
      <c r="E26">
        <v>0.71513495787020775</v>
      </c>
      <c r="F26">
        <v>0.28486504212979225</v>
      </c>
    </row>
    <row r="27" spans="1:6" x14ac:dyDescent="0.25">
      <c r="A27" t="s">
        <v>28</v>
      </c>
      <c r="B27" t="s">
        <v>438</v>
      </c>
      <c r="C27" t="s">
        <v>6</v>
      </c>
      <c r="D27" t="s">
        <v>407</v>
      </c>
      <c r="E27">
        <v>0.67347439436775514</v>
      </c>
      <c r="F27">
        <v>0.32652560563224486</v>
      </c>
    </row>
    <row r="28" spans="1:6" x14ac:dyDescent="0.25">
      <c r="A28" t="s">
        <v>28</v>
      </c>
      <c r="B28" t="s">
        <v>438</v>
      </c>
      <c r="C28" t="s">
        <v>12</v>
      </c>
      <c r="D28" t="s">
        <v>415</v>
      </c>
      <c r="E28">
        <v>0.986056039969748</v>
      </c>
      <c r="F28">
        <v>1.3943960030252001E-2</v>
      </c>
    </row>
    <row r="29" spans="1:6" x14ac:dyDescent="0.25">
      <c r="A29" t="s">
        <v>28</v>
      </c>
      <c r="B29" t="s">
        <v>438</v>
      </c>
      <c r="C29" t="s">
        <v>19</v>
      </c>
      <c r="D29" t="s">
        <v>422</v>
      </c>
      <c r="E29">
        <v>0.96768358233492824</v>
      </c>
      <c r="F29">
        <v>3.2316417665071762E-2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2"/>
  <sheetViews>
    <sheetView workbookViewId="0"/>
  </sheetViews>
  <sheetFormatPr defaultRowHeight="15" x14ac:dyDescent="0.25"/>
  <cols>
    <col min="1" max="1" width="12.7109375" bestFit="1" customWidth="1"/>
    <col min="2" max="2" width="8.42578125" bestFit="1" customWidth="1"/>
    <col min="3" max="3" width="71.42578125" bestFit="1" customWidth="1"/>
  </cols>
  <sheetData>
    <row r="1" spans="1:3" x14ac:dyDescent="0.25">
      <c r="A1" s="100" t="s">
        <v>56</v>
      </c>
      <c r="B1" s="100" t="s">
        <v>508</v>
      </c>
      <c r="C1" s="100" t="s">
        <v>509</v>
      </c>
    </row>
    <row r="2" spans="1:3" x14ac:dyDescent="0.25">
      <c r="A2" s="17">
        <v>101</v>
      </c>
      <c r="B2" s="17">
        <v>189</v>
      </c>
      <c r="C2" s="17" t="s">
        <v>510</v>
      </c>
    </row>
    <row r="3" spans="1:3" x14ac:dyDescent="0.25">
      <c r="A3" s="17">
        <v>102</v>
      </c>
      <c r="B3" s="17">
        <v>195</v>
      </c>
      <c r="C3" s="17" t="s">
        <v>511</v>
      </c>
    </row>
    <row r="4" spans="1:3" x14ac:dyDescent="0.25">
      <c r="A4" s="17">
        <v>103</v>
      </c>
      <c r="B4" s="17">
        <v>27721</v>
      </c>
      <c r="C4" s="17" t="s">
        <v>512</v>
      </c>
    </row>
    <row r="5" spans="1:3" x14ac:dyDescent="0.25">
      <c r="A5" s="17">
        <v>104</v>
      </c>
      <c r="B5" s="17">
        <v>12647</v>
      </c>
      <c r="C5" s="17" t="s">
        <v>513</v>
      </c>
    </row>
    <row r="6" spans="1:3" x14ac:dyDescent="0.25">
      <c r="A6" s="17">
        <v>105</v>
      </c>
      <c r="B6" s="17">
        <v>20856</v>
      </c>
      <c r="C6" s="17" t="s">
        <v>514</v>
      </c>
    </row>
    <row r="7" spans="1:3" x14ac:dyDescent="0.25">
      <c r="A7" s="17">
        <v>106</v>
      </c>
      <c r="B7" s="17">
        <v>9392</v>
      </c>
      <c r="C7" s="17" t="s">
        <v>515</v>
      </c>
    </row>
    <row r="8" spans="1:3" x14ac:dyDescent="0.25">
      <c r="A8" s="17">
        <v>107</v>
      </c>
      <c r="B8" s="17">
        <v>9208</v>
      </c>
      <c r="C8" s="17" t="s">
        <v>516</v>
      </c>
    </row>
    <row r="9" spans="1:3" x14ac:dyDescent="0.25">
      <c r="A9" s="17">
        <v>108</v>
      </c>
      <c r="B9" s="17">
        <v>19436</v>
      </c>
      <c r="C9" s="17" t="s">
        <v>517</v>
      </c>
    </row>
    <row r="10" spans="1:3" x14ac:dyDescent="0.25">
      <c r="A10" s="17">
        <v>109</v>
      </c>
      <c r="B10" s="17">
        <v>3252</v>
      </c>
      <c r="C10" s="17" t="s">
        <v>518</v>
      </c>
    </row>
    <row r="11" spans="1:3" x14ac:dyDescent="0.25">
      <c r="A11" s="17">
        <v>110</v>
      </c>
      <c r="B11" s="17">
        <v>829</v>
      </c>
      <c r="C11" s="17" t="s">
        <v>519</v>
      </c>
    </row>
    <row r="12" spans="1:3" x14ac:dyDescent="0.25">
      <c r="A12" s="17">
        <v>111</v>
      </c>
      <c r="B12" s="17">
        <v>40577</v>
      </c>
      <c r="C12" s="17" t="s">
        <v>520</v>
      </c>
    </row>
    <row r="13" spans="1:3" x14ac:dyDescent="0.25">
      <c r="A13" s="17">
        <v>112</v>
      </c>
      <c r="B13" s="17">
        <v>599</v>
      </c>
      <c r="C13" s="17" t="s">
        <v>521</v>
      </c>
    </row>
    <row r="14" spans="1:3" x14ac:dyDescent="0.25">
      <c r="A14" s="17">
        <v>113</v>
      </c>
      <c r="B14" s="17">
        <v>12698</v>
      </c>
      <c r="C14" s="17" t="s">
        <v>522</v>
      </c>
    </row>
    <row r="15" spans="1:3" x14ac:dyDescent="0.25">
      <c r="A15" s="17">
        <v>114</v>
      </c>
      <c r="B15" s="17">
        <v>3285</v>
      </c>
      <c r="C15" s="17" t="s">
        <v>523</v>
      </c>
    </row>
    <row r="16" spans="1:3" x14ac:dyDescent="0.25">
      <c r="A16" s="17">
        <v>115</v>
      </c>
      <c r="B16" s="17">
        <v>796</v>
      </c>
      <c r="C16" s="17" t="s">
        <v>524</v>
      </c>
    </row>
    <row r="17" spans="1:3" x14ac:dyDescent="0.25">
      <c r="A17" s="17">
        <v>116</v>
      </c>
      <c r="B17" s="17">
        <v>803</v>
      </c>
      <c r="C17" s="17" t="s">
        <v>525</v>
      </c>
    </row>
    <row r="18" spans="1:3" x14ac:dyDescent="0.25">
      <c r="A18" s="17">
        <v>118</v>
      </c>
      <c r="B18" s="17">
        <v>924</v>
      </c>
      <c r="C18" s="17" t="s">
        <v>526</v>
      </c>
    </row>
    <row r="19" spans="1:3" x14ac:dyDescent="0.25">
      <c r="A19" s="17">
        <v>119</v>
      </c>
      <c r="B19" s="17">
        <v>20169</v>
      </c>
      <c r="C19" s="17" t="s">
        <v>527</v>
      </c>
    </row>
    <row r="20" spans="1:3" x14ac:dyDescent="0.25">
      <c r="A20" s="17">
        <v>120</v>
      </c>
      <c r="B20" s="17">
        <v>1692</v>
      </c>
      <c r="C20" s="17" t="s">
        <v>528</v>
      </c>
    </row>
    <row r="21" spans="1:3" x14ac:dyDescent="0.25">
      <c r="A21" s="17">
        <v>121</v>
      </c>
      <c r="B21" s="17">
        <v>19545</v>
      </c>
      <c r="C21" s="17" t="s">
        <v>529</v>
      </c>
    </row>
    <row r="22" spans="1:3" x14ac:dyDescent="0.25">
      <c r="A22" s="17">
        <v>122</v>
      </c>
      <c r="B22" s="17">
        <v>1738</v>
      </c>
      <c r="C22" s="17" t="s">
        <v>530</v>
      </c>
    </row>
    <row r="23" spans="1:3" x14ac:dyDescent="0.25">
      <c r="A23" s="17">
        <v>123</v>
      </c>
      <c r="B23" s="17">
        <v>1998</v>
      </c>
      <c r="C23" s="17" t="s">
        <v>531</v>
      </c>
    </row>
    <row r="24" spans="1:3" x14ac:dyDescent="0.25">
      <c r="A24" s="17">
        <v>124</v>
      </c>
      <c r="B24" s="17">
        <v>7004</v>
      </c>
      <c r="C24" s="17" t="s">
        <v>532</v>
      </c>
    </row>
    <row r="25" spans="1:3" x14ac:dyDescent="0.25">
      <c r="A25" s="17">
        <v>125</v>
      </c>
      <c r="B25" s="17">
        <v>229</v>
      </c>
      <c r="C25" s="17" t="s">
        <v>533</v>
      </c>
    </row>
    <row r="26" spans="1:3" x14ac:dyDescent="0.25">
      <c r="A26" s="17">
        <v>126</v>
      </c>
      <c r="B26" s="17">
        <v>2886</v>
      </c>
      <c r="C26" s="17" t="s">
        <v>534</v>
      </c>
    </row>
    <row r="27" spans="1:3" x14ac:dyDescent="0.25">
      <c r="A27" s="17">
        <v>128</v>
      </c>
      <c r="B27" s="17">
        <v>40218</v>
      </c>
      <c r="C27" s="17" t="s">
        <v>535</v>
      </c>
    </row>
    <row r="28" spans="1:3" x14ac:dyDescent="0.25">
      <c r="A28" s="17">
        <v>133</v>
      </c>
      <c r="B28" s="17">
        <v>3522</v>
      </c>
      <c r="C28" s="17" t="s">
        <v>536</v>
      </c>
    </row>
    <row r="29" spans="1:3" x14ac:dyDescent="0.25">
      <c r="A29" s="17">
        <v>134</v>
      </c>
      <c r="B29" s="17">
        <v>3260</v>
      </c>
      <c r="C29" s="17" t="s">
        <v>537</v>
      </c>
    </row>
    <row r="30" spans="1:3" x14ac:dyDescent="0.25">
      <c r="A30" s="17">
        <v>135</v>
      </c>
      <c r="B30" s="17">
        <v>2507</v>
      </c>
      <c r="C30" s="17" t="s">
        <v>538</v>
      </c>
    </row>
    <row r="31" spans="1:3" x14ac:dyDescent="0.25">
      <c r="A31" s="17">
        <v>136</v>
      </c>
      <c r="B31" s="17">
        <v>8795</v>
      </c>
      <c r="C31" s="17" t="s">
        <v>539</v>
      </c>
    </row>
    <row r="32" spans="1:3" x14ac:dyDescent="0.25">
      <c r="A32" s="17">
        <v>137</v>
      </c>
      <c r="B32" s="17">
        <v>9231</v>
      </c>
      <c r="C32" s="17" t="s">
        <v>540</v>
      </c>
    </row>
    <row r="33" spans="1:3" x14ac:dyDescent="0.25">
      <c r="A33" s="17">
        <v>138</v>
      </c>
      <c r="B33" s="17">
        <v>9096</v>
      </c>
      <c r="C33" s="17" t="s">
        <v>541</v>
      </c>
    </row>
    <row r="34" spans="1:3" x14ac:dyDescent="0.25">
      <c r="A34" s="17">
        <v>139</v>
      </c>
      <c r="B34" s="17">
        <v>18429</v>
      </c>
      <c r="C34" s="17" t="s">
        <v>542</v>
      </c>
    </row>
    <row r="35" spans="1:3" x14ac:dyDescent="0.25">
      <c r="A35" s="17">
        <v>140</v>
      </c>
      <c r="B35" s="17">
        <v>18445</v>
      </c>
      <c r="C35" s="17" t="s">
        <v>543</v>
      </c>
    </row>
    <row r="36" spans="1:3" x14ac:dyDescent="0.25">
      <c r="A36" s="17">
        <v>141</v>
      </c>
      <c r="B36" s="17">
        <v>17833</v>
      </c>
      <c r="C36" s="17" t="s">
        <v>544</v>
      </c>
    </row>
    <row r="37" spans="1:3" x14ac:dyDescent="0.25">
      <c r="A37" s="17">
        <v>142</v>
      </c>
      <c r="B37" s="17">
        <v>3265</v>
      </c>
      <c r="C37" s="17" t="s">
        <v>545</v>
      </c>
    </row>
    <row r="38" spans="1:3" x14ac:dyDescent="0.25">
      <c r="A38" s="17">
        <v>143</v>
      </c>
      <c r="B38" s="17">
        <v>3989</v>
      </c>
      <c r="C38" s="17" t="s">
        <v>546</v>
      </c>
    </row>
    <row r="39" spans="1:3" x14ac:dyDescent="0.25">
      <c r="A39" s="17">
        <v>144</v>
      </c>
      <c r="B39" s="17">
        <v>4045</v>
      </c>
      <c r="C39" s="17" t="s">
        <v>547</v>
      </c>
    </row>
    <row r="40" spans="1:3" x14ac:dyDescent="0.25">
      <c r="A40" s="17">
        <v>145</v>
      </c>
      <c r="B40" s="17">
        <v>4089</v>
      </c>
      <c r="C40" s="17" t="s">
        <v>548</v>
      </c>
    </row>
    <row r="41" spans="1:3" x14ac:dyDescent="0.25">
      <c r="A41" s="17">
        <v>146</v>
      </c>
      <c r="B41" s="17">
        <v>4226</v>
      </c>
      <c r="C41" s="17" t="s">
        <v>549</v>
      </c>
    </row>
    <row r="42" spans="1:3" x14ac:dyDescent="0.25">
      <c r="A42" s="17">
        <v>147</v>
      </c>
      <c r="B42" s="17">
        <v>4254</v>
      </c>
      <c r="C42" s="17" t="s">
        <v>550</v>
      </c>
    </row>
    <row r="43" spans="1:3" x14ac:dyDescent="0.25">
      <c r="A43" s="17">
        <v>148</v>
      </c>
      <c r="B43" s="17">
        <v>4363</v>
      </c>
      <c r="C43" s="17" t="s">
        <v>551</v>
      </c>
    </row>
    <row r="44" spans="1:3" x14ac:dyDescent="0.25">
      <c r="A44" s="17">
        <v>149</v>
      </c>
      <c r="B44" s="17">
        <v>4716</v>
      </c>
      <c r="C44" s="17" t="s">
        <v>552</v>
      </c>
    </row>
    <row r="45" spans="1:3" x14ac:dyDescent="0.25">
      <c r="A45" s="17">
        <v>150</v>
      </c>
      <c r="B45" s="17">
        <v>4922</v>
      </c>
      <c r="C45" s="17" t="s">
        <v>553</v>
      </c>
    </row>
    <row r="46" spans="1:3" x14ac:dyDescent="0.25">
      <c r="A46" s="17">
        <v>151</v>
      </c>
      <c r="B46" s="17">
        <v>4958</v>
      </c>
      <c r="C46" s="17" t="s">
        <v>554</v>
      </c>
    </row>
    <row r="47" spans="1:3" x14ac:dyDescent="0.25">
      <c r="A47" s="17">
        <v>152</v>
      </c>
      <c r="B47" s="17">
        <v>5109</v>
      </c>
      <c r="C47" s="17" t="s">
        <v>555</v>
      </c>
    </row>
    <row r="48" spans="1:3" x14ac:dyDescent="0.25">
      <c r="A48" s="17">
        <v>153</v>
      </c>
      <c r="B48" s="17">
        <v>973</v>
      </c>
      <c r="C48" s="17" t="s">
        <v>556</v>
      </c>
    </row>
    <row r="49" spans="1:3" x14ac:dyDescent="0.25">
      <c r="A49" s="17">
        <v>154</v>
      </c>
      <c r="B49" s="17">
        <v>55306</v>
      </c>
      <c r="C49" s="17" t="s">
        <v>557</v>
      </c>
    </row>
    <row r="50" spans="1:3" x14ac:dyDescent="0.25">
      <c r="A50" s="17">
        <v>155</v>
      </c>
      <c r="B50" s="17">
        <v>55111</v>
      </c>
      <c r="C50" s="17" t="s">
        <v>558</v>
      </c>
    </row>
    <row r="51" spans="1:3" x14ac:dyDescent="0.25">
      <c r="A51" s="17">
        <v>156</v>
      </c>
      <c r="B51" s="17">
        <v>13718</v>
      </c>
      <c r="C51" s="17" t="s">
        <v>559</v>
      </c>
    </row>
    <row r="52" spans="1:3" x14ac:dyDescent="0.25">
      <c r="A52" s="17">
        <v>157</v>
      </c>
      <c r="B52" s="17">
        <v>5416</v>
      </c>
      <c r="C52" s="17" t="s">
        <v>560</v>
      </c>
    </row>
    <row r="53" spans="1:3" x14ac:dyDescent="0.25">
      <c r="A53" s="17">
        <v>159</v>
      </c>
      <c r="B53" s="17">
        <v>5580</v>
      </c>
      <c r="C53" s="17" t="s">
        <v>561</v>
      </c>
    </row>
    <row r="54" spans="1:3" x14ac:dyDescent="0.25">
      <c r="A54" s="17">
        <v>160</v>
      </c>
      <c r="B54" s="17">
        <v>5701</v>
      </c>
      <c r="C54" s="17" t="s">
        <v>562</v>
      </c>
    </row>
    <row r="55" spans="1:3" x14ac:dyDescent="0.25">
      <c r="A55" s="17">
        <v>161</v>
      </c>
      <c r="B55" s="17">
        <v>5748</v>
      </c>
      <c r="C55" s="17" t="s">
        <v>563</v>
      </c>
    </row>
    <row r="56" spans="1:3" x14ac:dyDescent="0.25">
      <c r="A56" s="17">
        <v>162</v>
      </c>
      <c r="B56" s="17">
        <v>3408</v>
      </c>
      <c r="C56" s="17" t="s">
        <v>564</v>
      </c>
    </row>
    <row r="57" spans="1:3" x14ac:dyDescent="0.25">
      <c r="A57" s="17">
        <v>163</v>
      </c>
      <c r="B57" s="17">
        <v>5860</v>
      </c>
      <c r="C57" s="17" t="s">
        <v>565</v>
      </c>
    </row>
    <row r="58" spans="1:3" x14ac:dyDescent="0.25">
      <c r="A58" s="17">
        <v>164</v>
      </c>
      <c r="B58" s="17">
        <v>12506</v>
      </c>
      <c r="C58" s="17" t="s">
        <v>566</v>
      </c>
    </row>
    <row r="59" spans="1:3" x14ac:dyDescent="0.25">
      <c r="A59" s="17">
        <v>165</v>
      </c>
      <c r="B59" s="17">
        <v>5723</v>
      </c>
      <c r="C59" s="17" t="s">
        <v>567</v>
      </c>
    </row>
    <row r="60" spans="1:3" x14ac:dyDescent="0.25">
      <c r="A60" s="17">
        <v>166</v>
      </c>
      <c r="B60" s="17">
        <v>6022</v>
      </c>
      <c r="C60" s="17" t="s">
        <v>568</v>
      </c>
    </row>
    <row r="61" spans="1:3" x14ac:dyDescent="0.25">
      <c r="A61" s="17">
        <v>167</v>
      </c>
      <c r="B61" s="17">
        <v>32208</v>
      </c>
      <c r="C61" s="17" t="s">
        <v>569</v>
      </c>
    </row>
    <row r="62" spans="1:3" x14ac:dyDescent="0.25">
      <c r="A62" s="17">
        <v>169</v>
      </c>
      <c r="B62" s="17">
        <v>6567</v>
      </c>
      <c r="C62" s="17" t="s">
        <v>570</v>
      </c>
    </row>
    <row r="63" spans="1:3" x14ac:dyDescent="0.25">
      <c r="A63" s="17">
        <v>170</v>
      </c>
      <c r="B63" s="17">
        <v>14610</v>
      </c>
      <c r="C63" s="17" t="s">
        <v>571</v>
      </c>
    </row>
    <row r="64" spans="1:3" x14ac:dyDescent="0.25">
      <c r="A64" s="17">
        <v>171</v>
      </c>
      <c r="B64" s="17">
        <v>6452</v>
      </c>
      <c r="C64" s="17" t="s">
        <v>572</v>
      </c>
    </row>
    <row r="65" spans="1:3" x14ac:dyDescent="0.25">
      <c r="A65" s="17">
        <v>172</v>
      </c>
      <c r="B65" s="17">
        <v>6909</v>
      </c>
      <c r="C65" s="17" t="s">
        <v>573</v>
      </c>
    </row>
    <row r="66" spans="1:3" x14ac:dyDescent="0.25">
      <c r="A66" s="17">
        <v>173</v>
      </c>
      <c r="B66" s="17">
        <v>7349</v>
      </c>
      <c r="C66" s="17" t="s">
        <v>574</v>
      </c>
    </row>
    <row r="67" spans="1:3" x14ac:dyDescent="0.25">
      <c r="A67" s="17">
        <v>174</v>
      </c>
      <c r="B67" s="17">
        <v>7490</v>
      </c>
      <c r="C67" s="17" t="s">
        <v>575</v>
      </c>
    </row>
    <row r="68" spans="1:3" x14ac:dyDescent="0.25">
      <c r="A68" s="17">
        <v>175</v>
      </c>
      <c r="B68" s="17">
        <v>19514</v>
      </c>
      <c r="C68" s="17" t="s">
        <v>576</v>
      </c>
    </row>
    <row r="69" spans="1:3" x14ac:dyDescent="0.25">
      <c r="A69" s="17">
        <v>176</v>
      </c>
      <c r="B69" s="17">
        <v>7601</v>
      </c>
      <c r="C69" s="17" t="s">
        <v>577</v>
      </c>
    </row>
    <row r="70" spans="1:3" x14ac:dyDescent="0.25">
      <c r="A70" s="17">
        <v>177</v>
      </c>
      <c r="B70" s="17">
        <v>7639</v>
      </c>
      <c r="C70" s="17" t="s">
        <v>578</v>
      </c>
    </row>
    <row r="71" spans="1:3" x14ac:dyDescent="0.25">
      <c r="A71" s="17">
        <v>178</v>
      </c>
      <c r="B71" s="17">
        <v>19547</v>
      </c>
      <c r="C71" s="17" t="s">
        <v>579</v>
      </c>
    </row>
    <row r="72" spans="1:3" x14ac:dyDescent="0.25">
      <c r="A72" s="17">
        <v>179</v>
      </c>
      <c r="B72" s="17">
        <v>9267</v>
      </c>
      <c r="C72" s="17" t="s">
        <v>580</v>
      </c>
    </row>
    <row r="73" spans="1:3" x14ac:dyDescent="0.25">
      <c r="A73" s="17">
        <v>180</v>
      </c>
      <c r="B73" s="17">
        <v>9191</v>
      </c>
      <c r="C73" s="17" t="s">
        <v>581</v>
      </c>
    </row>
    <row r="74" spans="1:3" x14ac:dyDescent="0.25">
      <c r="A74" s="17">
        <v>182</v>
      </c>
      <c r="B74" s="17">
        <v>9216</v>
      </c>
      <c r="C74" s="17" t="s">
        <v>582</v>
      </c>
    </row>
    <row r="75" spans="1:3" x14ac:dyDescent="0.25">
      <c r="A75" s="17">
        <v>183</v>
      </c>
      <c r="B75" s="17">
        <v>9234</v>
      </c>
      <c r="C75" s="17" t="s">
        <v>583</v>
      </c>
    </row>
    <row r="76" spans="1:3" x14ac:dyDescent="0.25">
      <c r="A76" s="17">
        <v>184</v>
      </c>
      <c r="B76" s="17">
        <v>9273</v>
      </c>
      <c r="C76" s="17" t="s">
        <v>584</v>
      </c>
    </row>
    <row r="77" spans="1:3" x14ac:dyDescent="0.25">
      <c r="A77" s="17">
        <v>185</v>
      </c>
      <c r="B77" s="17">
        <v>13434</v>
      </c>
      <c r="C77" s="17" t="s">
        <v>585</v>
      </c>
    </row>
    <row r="78" spans="1:3" x14ac:dyDescent="0.25">
      <c r="A78" s="17">
        <v>186</v>
      </c>
      <c r="B78" s="17">
        <v>9617</v>
      </c>
      <c r="C78" s="17" t="s">
        <v>586</v>
      </c>
    </row>
    <row r="79" spans="1:3" x14ac:dyDescent="0.25">
      <c r="A79" s="17">
        <v>187</v>
      </c>
      <c r="B79" s="17">
        <v>9996</v>
      </c>
      <c r="C79" s="17" t="s">
        <v>587</v>
      </c>
    </row>
    <row r="80" spans="1:3" x14ac:dyDescent="0.25">
      <c r="A80" s="17">
        <v>188</v>
      </c>
      <c r="B80" s="17">
        <v>10000</v>
      </c>
      <c r="C80" s="17" t="s">
        <v>588</v>
      </c>
    </row>
    <row r="81" spans="1:3" x14ac:dyDescent="0.25">
      <c r="A81" s="17">
        <v>189</v>
      </c>
      <c r="B81" s="17">
        <v>10005</v>
      </c>
      <c r="C81" s="17" t="s">
        <v>589</v>
      </c>
    </row>
    <row r="82" spans="1:3" x14ac:dyDescent="0.25">
      <c r="A82" s="17">
        <v>190</v>
      </c>
      <c r="B82" s="17">
        <v>10015</v>
      </c>
      <c r="C82" s="17" t="s">
        <v>590</v>
      </c>
    </row>
    <row r="83" spans="1:3" x14ac:dyDescent="0.25">
      <c r="A83" s="17">
        <v>191</v>
      </c>
      <c r="B83" s="17">
        <v>10623</v>
      </c>
      <c r="C83" s="17" t="s">
        <v>591</v>
      </c>
    </row>
    <row r="84" spans="1:3" x14ac:dyDescent="0.25">
      <c r="A84" s="17">
        <v>193</v>
      </c>
      <c r="B84" s="17">
        <v>11018</v>
      </c>
      <c r="C84" s="17" t="s">
        <v>592</v>
      </c>
    </row>
    <row r="85" spans="1:3" x14ac:dyDescent="0.25">
      <c r="A85" s="17">
        <v>194</v>
      </c>
      <c r="B85" s="17">
        <v>11208</v>
      </c>
      <c r="C85" s="17" t="s">
        <v>593</v>
      </c>
    </row>
    <row r="86" spans="1:3" x14ac:dyDescent="0.25">
      <c r="A86" s="17">
        <v>195</v>
      </c>
      <c r="B86" s="17">
        <v>26253</v>
      </c>
      <c r="C86" s="17" t="s">
        <v>594</v>
      </c>
    </row>
    <row r="87" spans="1:3" x14ac:dyDescent="0.25">
      <c r="A87" s="17">
        <v>196</v>
      </c>
      <c r="B87" s="17">
        <v>11252</v>
      </c>
      <c r="C87" s="17" t="s">
        <v>595</v>
      </c>
    </row>
    <row r="88" spans="1:3" x14ac:dyDescent="0.25">
      <c r="A88" s="17">
        <v>197</v>
      </c>
      <c r="B88" s="17">
        <v>11249</v>
      </c>
      <c r="C88" s="17" t="s">
        <v>596</v>
      </c>
    </row>
    <row r="89" spans="1:3" x14ac:dyDescent="0.25">
      <c r="A89" s="17">
        <v>198</v>
      </c>
      <c r="B89" s="17">
        <v>11479</v>
      </c>
      <c r="C89" s="17" t="s">
        <v>597</v>
      </c>
    </row>
    <row r="90" spans="1:3" x14ac:dyDescent="0.25">
      <c r="A90" s="17">
        <v>199</v>
      </c>
      <c r="B90" s="17">
        <v>11806</v>
      </c>
      <c r="C90" s="17" t="s">
        <v>598</v>
      </c>
    </row>
    <row r="91" spans="1:3" x14ac:dyDescent="0.25">
      <c r="A91" s="17">
        <v>200</v>
      </c>
      <c r="B91" s="17">
        <v>12293</v>
      </c>
      <c r="C91" s="17" t="s">
        <v>599</v>
      </c>
    </row>
    <row r="92" spans="1:3" x14ac:dyDescent="0.25">
      <c r="A92" s="17">
        <v>201</v>
      </c>
      <c r="B92" s="17">
        <v>12397</v>
      </c>
      <c r="C92" s="17" t="s">
        <v>600</v>
      </c>
    </row>
    <row r="93" spans="1:3" x14ac:dyDescent="0.25">
      <c r="A93" s="17">
        <v>202</v>
      </c>
      <c r="B93" s="17">
        <v>12427</v>
      </c>
      <c r="C93" s="17" t="s">
        <v>601</v>
      </c>
    </row>
    <row r="94" spans="1:3" x14ac:dyDescent="0.25">
      <c r="A94" s="17">
        <v>203</v>
      </c>
      <c r="B94" s="17">
        <v>12431</v>
      </c>
      <c r="C94" s="17" t="s">
        <v>602</v>
      </c>
    </row>
    <row r="95" spans="1:3" x14ac:dyDescent="0.25">
      <c r="A95" s="17">
        <v>204</v>
      </c>
      <c r="B95" s="17">
        <v>11625</v>
      </c>
      <c r="C95" s="17" t="s">
        <v>603</v>
      </c>
    </row>
    <row r="96" spans="1:3" x14ac:dyDescent="0.25">
      <c r="A96" s="17">
        <v>206</v>
      </c>
      <c r="B96" s="17">
        <v>12745</v>
      </c>
      <c r="C96" s="17" t="s">
        <v>604</v>
      </c>
    </row>
    <row r="97" spans="1:3" x14ac:dyDescent="0.25">
      <c r="A97" s="17">
        <v>207</v>
      </c>
      <c r="B97" s="17">
        <v>12819</v>
      </c>
      <c r="C97" s="17" t="s">
        <v>605</v>
      </c>
    </row>
    <row r="98" spans="1:3" x14ac:dyDescent="0.25">
      <c r="A98" s="17">
        <v>208</v>
      </c>
      <c r="B98" s="17">
        <v>13143</v>
      </c>
      <c r="C98" s="17" t="s">
        <v>606</v>
      </c>
    </row>
    <row r="99" spans="1:3" x14ac:dyDescent="0.25">
      <c r="A99" s="17">
        <v>209</v>
      </c>
      <c r="B99" s="17">
        <v>13337</v>
      </c>
      <c r="C99" s="17" t="s">
        <v>607</v>
      </c>
    </row>
    <row r="100" spans="1:3" x14ac:dyDescent="0.25">
      <c r="A100" s="17">
        <v>210</v>
      </c>
      <c r="B100" s="17">
        <v>13407</v>
      </c>
      <c r="C100" s="17" t="s">
        <v>608</v>
      </c>
    </row>
    <row r="101" spans="1:3" x14ac:dyDescent="0.25">
      <c r="A101" s="17">
        <v>211</v>
      </c>
      <c r="B101" s="17">
        <v>13501</v>
      </c>
      <c r="C101" s="17" t="s">
        <v>609</v>
      </c>
    </row>
    <row r="102" spans="1:3" x14ac:dyDescent="0.25">
      <c r="A102" s="17">
        <v>212</v>
      </c>
      <c r="B102" s="17">
        <v>13511</v>
      </c>
      <c r="C102" s="17" t="s">
        <v>610</v>
      </c>
    </row>
    <row r="103" spans="1:3" x14ac:dyDescent="0.25">
      <c r="A103" s="17">
        <v>213</v>
      </c>
      <c r="B103" s="17">
        <v>13670</v>
      </c>
      <c r="C103" s="17" t="s">
        <v>611</v>
      </c>
    </row>
    <row r="104" spans="1:3" x14ac:dyDescent="0.25">
      <c r="A104" s="17">
        <v>214</v>
      </c>
      <c r="B104" s="17">
        <v>13356</v>
      </c>
      <c r="C104" s="17" t="s">
        <v>612</v>
      </c>
    </row>
    <row r="105" spans="1:3" x14ac:dyDescent="0.25">
      <c r="A105" s="17">
        <v>215</v>
      </c>
      <c r="B105" s="17">
        <v>13756</v>
      </c>
      <c r="C105" s="17" t="s">
        <v>613</v>
      </c>
    </row>
    <row r="106" spans="1:3" x14ac:dyDescent="0.25">
      <c r="A106" s="17">
        <v>216</v>
      </c>
      <c r="B106" s="17">
        <v>13781</v>
      </c>
      <c r="C106" s="17" t="s">
        <v>614</v>
      </c>
    </row>
    <row r="107" spans="1:3" x14ac:dyDescent="0.25">
      <c r="A107" s="17">
        <v>217</v>
      </c>
      <c r="B107" s="17">
        <v>12825</v>
      </c>
      <c r="C107" s="17" t="s">
        <v>615</v>
      </c>
    </row>
    <row r="108" spans="1:3" x14ac:dyDescent="0.25">
      <c r="A108" s="17">
        <v>218</v>
      </c>
      <c r="B108" s="17">
        <v>13994</v>
      </c>
      <c r="C108" s="17" t="s">
        <v>616</v>
      </c>
    </row>
    <row r="109" spans="1:3" x14ac:dyDescent="0.25">
      <c r="A109" s="17">
        <v>219</v>
      </c>
      <c r="B109" s="17">
        <v>14015</v>
      </c>
      <c r="C109" s="17" t="s">
        <v>617</v>
      </c>
    </row>
    <row r="110" spans="1:3" x14ac:dyDescent="0.25">
      <c r="A110" s="17">
        <v>220</v>
      </c>
      <c r="B110" s="17">
        <v>14063</v>
      </c>
      <c r="C110" s="17" t="s">
        <v>618</v>
      </c>
    </row>
    <row r="111" spans="1:3" x14ac:dyDescent="0.25">
      <c r="A111" s="17">
        <v>221</v>
      </c>
      <c r="B111" s="17">
        <v>14077</v>
      </c>
      <c r="C111" s="17" t="s">
        <v>619</v>
      </c>
    </row>
    <row r="112" spans="1:3" x14ac:dyDescent="0.25">
      <c r="A112" s="17">
        <v>222</v>
      </c>
      <c r="B112" s="17">
        <v>40229</v>
      </c>
      <c r="C112" s="17" t="s">
        <v>620</v>
      </c>
    </row>
    <row r="113" spans="1:3" x14ac:dyDescent="0.25">
      <c r="A113" s="17">
        <v>223</v>
      </c>
      <c r="B113" s="17">
        <v>14127</v>
      </c>
      <c r="C113" s="17" t="s">
        <v>621</v>
      </c>
    </row>
    <row r="114" spans="1:3" x14ac:dyDescent="0.25">
      <c r="A114" s="17">
        <v>224</v>
      </c>
      <c r="B114" s="17">
        <v>14154</v>
      </c>
      <c r="C114" s="17" t="s">
        <v>622</v>
      </c>
    </row>
    <row r="115" spans="1:3" x14ac:dyDescent="0.25">
      <c r="A115" s="17">
        <v>225</v>
      </c>
      <c r="B115" s="17">
        <v>14610</v>
      </c>
      <c r="C115" s="17" t="s">
        <v>623</v>
      </c>
    </row>
    <row r="116" spans="1:3" x14ac:dyDescent="0.25">
      <c r="A116" s="17">
        <v>226</v>
      </c>
      <c r="B116" s="17">
        <v>14232</v>
      </c>
      <c r="C116" s="17" t="s">
        <v>624</v>
      </c>
    </row>
    <row r="117" spans="1:3" x14ac:dyDescent="0.25">
      <c r="A117" s="17">
        <v>227</v>
      </c>
      <c r="B117" s="17">
        <v>14328</v>
      </c>
      <c r="C117" s="17" t="s">
        <v>625</v>
      </c>
    </row>
    <row r="118" spans="1:3" x14ac:dyDescent="0.25">
      <c r="A118" s="17">
        <v>228</v>
      </c>
      <c r="B118" s="17">
        <v>14354</v>
      </c>
      <c r="C118" s="17" t="s">
        <v>626</v>
      </c>
    </row>
    <row r="119" spans="1:3" x14ac:dyDescent="0.25">
      <c r="A119" s="17">
        <v>229</v>
      </c>
      <c r="B119" s="17">
        <v>14355</v>
      </c>
      <c r="C119" s="17" t="s">
        <v>627</v>
      </c>
    </row>
    <row r="120" spans="1:3" x14ac:dyDescent="0.25">
      <c r="A120" s="17">
        <v>230</v>
      </c>
      <c r="B120" s="17">
        <v>14725</v>
      </c>
      <c r="C120" s="17" t="s">
        <v>628</v>
      </c>
    </row>
    <row r="121" spans="1:3" x14ac:dyDescent="0.25">
      <c r="A121" s="17">
        <v>231</v>
      </c>
      <c r="B121" s="17">
        <v>15143</v>
      </c>
      <c r="C121" s="17" t="s">
        <v>629</v>
      </c>
    </row>
    <row r="122" spans="1:3" x14ac:dyDescent="0.25">
      <c r="A122" s="17">
        <v>232</v>
      </c>
      <c r="B122" s="17">
        <v>15248</v>
      </c>
      <c r="C122" s="17" t="s">
        <v>630</v>
      </c>
    </row>
    <row r="123" spans="1:3" x14ac:dyDescent="0.25">
      <c r="A123" s="17">
        <v>233</v>
      </c>
      <c r="B123" s="17">
        <v>3046</v>
      </c>
      <c r="C123" s="17" t="s">
        <v>631</v>
      </c>
    </row>
    <row r="124" spans="1:3" x14ac:dyDescent="0.25">
      <c r="A124" s="17">
        <v>234</v>
      </c>
      <c r="B124" s="17">
        <v>6455</v>
      </c>
      <c r="C124" s="17" t="s">
        <v>632</v>
      </c>
    </row>
    <row r="125" spans="1:3" x14ac:dyDescent="0.25">
      <c r="A125" s="17">
        <v>235</v>
      </c>
      <c r="B125" s="17">
        <v>15466</v>
      </c>
      <c r="C125" s="17" t="s">
        <v>633</v>
      </c>
    </row>
    <row r="126" spans="1:3" x14ac:dyDescent="0.25">
      <c r="A126" s="17">
        <v>236</v>
      </c>
      <c r="B126" s="17">
        <v>15473</v>
      </c>
      <c r="C126" s="17" t="s">
        <v>634</v>
      </c>
    </row>
    <row r="127" spans="1:3" x14ac:dyDescent="0.25">
      <c r="A127" s="17">
        <v>237</v>
      </c>
      <c r="B127" s="17">
        <v>3413</v>
      </c>
      <c r="C127" s="17" t="s">
        <v>635</v>
      </c>
    </row>
    <row r="128" spans="1:3" x14ac:dyDescent="0.25">
      <c r="A128" s="17">
        <v>238</v>
      </c>
      <c r="B128" s="17">
        <v>5326</v>
      </c>
      <c r="C128" s="17" t="s">
        <v>636</v>
      </c>
    </row>
    <row r="129" spans="1:3" x14ac:dyDescent="0.25">
      <c r="A129" s="17">
        <v>239</v>
      </c>
      <c r="B129" s="17">
        <v>14624</v>
      </c>
      <c r="C129" s="17" t="s">
        <v>637</v>
      </c>
    </row>
    <row r="130" spans="1:3" x14ac:dyDescent="0.25">
      <c r="A130" s="17">
        <v>240</v>
      </c>
      <c r="B130" s="17">
        <v>15500</v>
      </c>
      <c r="C130" s="17" t="s">
        <v>638</v>
      </c>
    </row>
    <row r="131" spans="1:3" x14ac:dyDescent="0.25">
      <c r="A131" s="17">
        <v>241</v>
      </c>
      <c r="B131" s="17">
        <v>16183</v>
      </c>
      <c r="C131" s="17" t="s">
        <v>639</v>
      </c>
    </row>
    <row r="132" spans="1:3" x14ac:dyDescent="0.25">
      <c r="A132" s="17">
        <v>242</v>
      </c>
      <c r="B132" s="17">
        <v>54849</v>
      </c>
      <c r="C132" s="17" t="s">
        <v>640</v>
      </c>
    </row>
    <row r="133" spans="1:3" x14ac:dyDescent="0.25">
      <c r="A133" s="17">
        <v>243</v>
      </c>
      <c r="B133" s="17">
        <v>16534</v>
      </c>
      <c r="C133" s="17" t="s">
        <v>641</v>
      </c>
    </row>
    <row r="134" spans="1:3" x14ac:dyDescent="0.25">
      <c r="A134" s="17">
        <v>244</v>
      </c>
      <c r="B134" s="17">
        <v>16572</v>
      </c>
      <c r="C134" s="17" t="s">
        <v>642</v>
      </c>
    </row>
    <row r="135" spans="1:3" x14ac:dyDescent="0.25">
      <c r="A135" s="17">
        <v>245</v>
      </c>
      <c r="B135" s="17">
        <v>40233</v>
      </c>
      <c r="C135" s="17" t="s">
        <v>643</v>
      </c>
    </row>
    <row r="136" spans="1:3" x14ac:dyDescent="0.25">
      <c r="A136" s="17">
        <v>246</v>
      </c>
      <c r="B136" s="17">
        <v>16609</v>
      </c>
      <c r="C136" s="17" t="s">
        <v>644</v>
      </c>
    </row>
    <row r="137" spans="1:3" x14ac:dyDescent="0.25">
      <c r="A137" s="17">
        <v>247</v>
      </c>
      <c r="B137" s="17">
        <v>16868</v>
      </c>
      <c r="C137" s="17" t="s">
        <v>645</v>
      </c>
    </row>
    <row r="138" spans="1:3" x14ac:dyDescent="0.25">
      <c r="A138" s="17">
        <v>248</v>
      </c>
      <c r="B138" s="17">
        <v>21554</v>
      </c>
      <c r="C138" s="17" t="s">
        <v>646</v>
      </c>
    </row>
    <row r="139" spans="1:3" x14ac:dyDescent="0.25">
      <c r="A139" s="17">
        <v>249</v>
      </c>
      <c r="B139" s="17">
        <v>17166</v>
      </c>
      <c r="C139" s="17" t="s">
        <v>647</v>
      </c>
    </row>
    <row r="140" spans="1:3" x14ac:dyDescent="0.25">
      <c r="A140" s="17">
        <v>250</v>
      </c>
      <c r="B140" s="17">
        <v>17539</v>
      </c>
      <c r="C140" s="17" t="s">
        <v>648</v>
      </c>
    </row>
    <row r="141" spans="1:3" x14ac:dyDescent="0.25">
      <c r="A141" s="17">
        <v>251</v>
      </c>
      <c r="B141" s="17">
        <v>17543</v>
      </c>
      <c r="C141" s="17" t="s">
        <v>649</v>
      </c>
    </row>
    <row r="142" spans="1:3" x14ac:dyDescent="0.25">
      <c r="A142" s="17">
        <v>252</v>
      </c>
      <c r="B142" s="17">
        <v>17568</v>
      </c>
      <c r="C142" s="17" t="s">
        <v>650</v>
      </c>
    </row>
    <row r="143" spans="1:3" x14ac:dyDescent="0.25">
      <c r="A143" s="17">
        <v>253</v>
      </c>
      <c r="B143" s="17">
        <v>18195</v>
      </c>
      <c r="C143" s="17" t="s">
        <v>651</v>
      </c>
    </row>
    <row r="144" spans="1:3" x14ac:dyDescent="0.25">
      <c r="A144" s="17">
        <v>254</v>
      </c>
      <c r="B144" s="17">
        <v>17632</v>
      </c>
      <c r="C144" s="17" t="s">
        <v>652</v>
      </c>
    </row>
    <row r="145" spans="1:3" x14ac:dyDescent="0.25">
      <c r="A145" s="17">
        <v>255</v>
      </c>
      <c r="B145" s="17">
        <v>17633</v>
      </c>
      <c r="C145" s="17" t="s">
        <v>653</v>
      </c>
    </row>
    <row r="146" spans="1:3" x14ac:dyDescent="0.25">
      <c r="A146" s="17">
        <v>256</v>
      </c>
      <c r="B146" s="17">
        <v>40580</v>
      </c>
      <c r="C146" s="17" t="s">
        <v>654</v>
      </c>
    </row>
    <row r="147" spans="1:3" x14ac:dyDescent="0.25">
      <c r="A147" s="17">
        <v>257</v>
      </c>
      <c r="B147" s="17">
        <v>17690</v>
      </c>
      <c r="C147" s="17" t="s">
        <v>655</v>
      </c>
    </row>
    <row r="148" spans="1:3" x14ac:dyDescent="0.25">
      <c r="A148" s="17">
        <v>258</v>
      </c>
      <c r="B148" s="17">
        <v>17716</v>
      </c>
      <c r="C148" s="17" t="s">
        <v>656</v>
      </c>
    </row>
    <row r="149" spans="1:3" x14ac:dyDescent="0.25">
      <c r="A149" s="17">
        <v>259</v>
      </c>
      <c r="B149" s="17">
        <v>17718</v>
      </c>
      <c r="C149" s="17" t="s">
        <v>657</v>
      </c>
    </row>
    <row r="150" spans="1:3" x14ac:dyDescent="0.25">
      <c r="A150" s="17">
        <v>260</v>
      </c>
      <c r="B150" s="17">
        <v>17858</v>
      </c>
      <c r="C150" s="17" t="s">
        <v>658</v>
      </c>
    </row>
    <row r="151" spans="1:3" x14ac:dyDescent="0.25">
      <c r="A151" s="17">
        <v>261</v>
      </c>
      <c r="B151" s="17">
        <v>18315</v>
      </c>
      <c r="C151" s="17" t="s">
        <v>659</v>
      </c>
    </row>
    <row r="152" spans="1:3" x14ac:dyDescent="0.25">
      <c r="A152" s="17">
        <v>262</v>
      </c>
      <c r="B152" s="17">
        <v>18454</v>
      </c>
      <c r="C152" s="17" t="s">
        <v>660</v>
      </c>
    </row>
    <row r="153" spans="1:3" x14ac:dyDescent="0.25">
      <c r="A153" s="17">
        <v>263</v>
      </c>
      <c r="B153" s="17">
        <v>18642</v>
      </c>
      <c r="C153" s="17" t="s">
        <v>661</v>
      </c>
    </row>
    <row r="154" spans="1:3" x14ac:dyDescent="0.25">
      <c r="A154" s="17">
        <v>264</v>
      </c>
      <c r="B154" s="17">
        <v>18679</v>
      </c>
      <c r="C154" s="17" t="s">
        <v>662</v>
      </c>
    </row>
    <row r="155" spans="1:3" x14ac:dyDescent="0.25">
      <c r="A155" s="17">
        <v>265</v>
      </c>
      <c r="B155" s="17">
        <v>30151</v>
      </c>
      <c r="C155" s="17" t="s">
        <v>663</v>
      </c>
    </row>
    <row r="156" spans="1:3" x14ac:dyDescent="0.25">
      <c r="A156" s="17">
        <v>266</v>
      </c>
      <c r="B156" s="17">
        <v>24211</v>
      </c>
      <c r="C156" s="17" t="s">
        <v>664</v>
      </c>
    </row>
    <row r="157" spans="1:3" x14ac:dyDescent="0.25">
      <c r="A157" s="17">
        <v>267</v>
      </c>
      <c r="B157" s="17">
        <v>19281</v>
      </c>
      <c r="C157" s="17" t="s">
        <v>665</v>
      </c>
    </row>
    <row r="158" spans="1:3" x14ac:dyDescent="0.25">
      <c r="A158" s="17">
        <v>268</v>
      </c>
      <c r="B158" s="17">
        <v>19497</v>
      </c>
      <c r="C158" s="17" t="s">
        <v>666</v>
      </c>
    </row>
    <row r="159" spans="1:3" x14ac:dyDescent="0.25">
      <c r="A159" s="17">
        <v>269</v>
      </c>
      <c r="B159" s="17">
        <v>19578</v>
      </c>
      <c r="C159" s="17" t="s">
        <v>667</v>
      </c>
    </row>
    <row r="160" spans="1:3" x14ac:dyDescent="0.25">
      <c r="A160" s="17">
        <v>271</v>
      </c>
      <c r="B160" s="17">
        <v>40211</v>
      </c>
      <c r="C160" s="17" t="s">
        <v>668</v>
      </c>
    </row>
    <row r="161" spans="1:3" x14ac:dyDescent="0.25">
      <c r="A161" s="17">
        <v>272</v>
      </c>
      <c r="B161" s="17">
        <v>28502</v>
      </c>
      <c r="C161" s="17" t="s">
        <v>669</v>
      </c>
    </row>
    <row r="162" spans="1:3" x14ac:dyDescent="0.25">
      <c r="A162" s="17">
        <v>273</v>
      </c>
      <c r="B162" s="17">
        <v>28503</v>
      </c>
      <c r="C162" s="17" t="s">
        <v>670</v>
      </c>
    </row>
    <row r="163" spans="1:3" x14ac:dyDescent="0.25">
      <c r="A163" s="17">
        <v>274</v>
      </c>
      <c r="B163" s="17">
        <v>19610</v>
      </c>
      <c r="C163" s="17" t="s">
        <v>671</v>
      </c>
    </row>
    <row r="164" spans="1:3" x14ac:dyDescent="0.25">
      <c r="A164" s="17">
        <v>275</v>
      </c>
      <c r="B164" s="17">
        <v>25471</v>
      </c>
      <c r="C164" s="17" t="s">
        <v>672</v>
      </c>
    </row>
    <row r="165" spans="1:3" x14ac:dyDescent="0.25">
      <c r="A165" s="17">
        <v>277</v>
      </c>
      <c r="B165" s="17">
        <v>20447</v>
      </c>
      <c r="C165" s="17" t="s">
        <v>673</v>
      </c>
    </row>
    <row r="166" spans="1:3" x14ac:dyDescent="0.25">
      <c r="A166" s="17">
        <v>278</v>
      </c>
      <c r="B166" s="17">
        <v>20847</v>
      </c>
      <c r="C166" s="17" t="s">
        <v>674</v>
      </c>
    </row>
    <row r="167" spans="1:3" x14ac:dyDescent="0.25">
      <c r="A167" s="17">
        <v>279</v>
      </c>
      <c r="B167" s="17">
        <v>20860</v>
      </c>
      <c r="C167" s="17" t="s">
        <v>675</v>
      </c>
    </row>
    <row r="168" spans="1:3" x14ac:dyDescent="0.25">
      <c r="A168" s="17">
        <v>280</v>
      </c>
      <c r="B168" s="17">
        <v>20910</v>
      </c>
      <c r="C168" s="17" t="s">
        <v>676</v>
      </c>
    </row>
    <row r="169" spans="1:3" x14ac:dyDescent="0.25">
      <c r="A169" s="17">
        <v>281</v>
      </c>
      <c r="B169" s="17">
        <v>17828</v>
      </c>
      <c r="C169" s="17" t="s">
        <v>677</v>
      </c>
    </row>
    <row r="170" spans="1:3" x14ac:dyDescent="0.25">
      <c r="A170" s="17">
        <v>282</v>
      </c>
      <c r="B170" s="17">
        <v>20858</v>
      </c>
      <c r="C170" s="17" t="s">
        <v>678</v>
      </c>
    </row>
    <row r="171" spans="1:3" x14ac:dyDescent="0.25">
      <c r="A171" s="17">
        <v>283</v>
      </c>
      <c r="B171" s="17">
        <v>12667</v>
      </c>
      <c r="C171" s="17" t="s">
        <v>679</v>
      </c>
    </row>
    <row r="172" spans="1:3" x14ac:dyDescent="0.25">
      <c r="A172" s="17">
        <v>284</v>
      </c>
      <c r="B172" s="17">
        <v>12710</v>
      </c>
      <c r="C172" s="17" t="s">
        <v>680</v>
      </c>
    </row>
    <row r="173" spans="1:3" x14ac:dyDescent="0.25">
      <c r="A173" s="17">
        <v>285</v>
      </c>
      <c r="B173" s="17">
        <v>12658</v>
      </c>
      <c r="C173" s="17" t="s">
        <v>681</v>
      </c>
    </row>
    <row r="174" spans="1:3" x14ac:dyDescent="0.25">
      <c r="A174" s="17">
        <v>286</v>
      </c>
      <c r="B174" s="17">
        <v>21584</v>
      </c>
      <c r="C174" s="17" t="s">
        <v>682</v>
      </c>
    </row>
    <row r="175" spans="1:3" x14ac:dyDescent="0.25">
      <c r="A175" s="17">
        <v>287</v>
      </c>
      <c r="B175" s="17">
        <v>1307</v>
      </c>
      <c r="C175" s="17" t="s">
        <v>683</v>
      </c>
    </row>
    <row r="176" spans="1:3" x14ac:dyDescent="0.25">
      <c r="A176" s="17">
        <v>288</v>
      </c>
      <c r="B176" s="17">
        <v>9543</v>
      </c>
      <c r="C176" s="17" t="s">
        <v>684</v>
      </c>
    </row>
    <row r="177" spans="1:3" x14ac:dyDescent="0.25">
      <c r="A177" s="17">
        <v>289</v>
      </c>
      <c r="B177" s="17">
        <v>4280</v>
      </c>
      <c r="C177" s="17" t="s">
        <v>685</v>
      </c>
    </row>
    <row r="178" spans="1:3" x14ac:dyDescent="0.25">
      <c r="A178" s="17">
        <v>290</v>
      </c>
      <c r="B178" s="17">
        <v>16463</v>
      </c>
      <c r="C178" s="17" t="s">
        <v>686</v>
      </c>
    </row>
    <row r="179" spans="1:3" x14ac:dyDescent="0.25">
      <c r="A179" s="17">
        <v>291</v>
      </c>
      <c r="B179" s="17">
        <v>55380</v>
      </c>
      <c r="C179" s="17" t="s">
        <v>687</v>
      </c>
    </row>
    <row r="180" spans="1:3" x14ac:dyDescent="0.25">
      <c r="A180" s="17">
        <v>292</v>
      </c>
      <c r="B180" s="17">
        <v>20383</v>
      </c>
      <c r="C180" s="17" t="s">
        <v>688</v>
      </c>
    </row>
    <row r="181" spans="1:3" x14ac:dyDescent="0.25">
      <c r="A181" s="17">
        <v>293</v>
      </c>
      <c r="B181" s="17">
        <v>55372</v>
      </c>
      <c r="C181" s="17" t="s">
        <v>689</v>
      </c>
    </row>
    <row r="182" spans="1:3" x14ac:dyDescent="0.25">
      <c r="A182" s="17">
        <v>294</v>
      </c>
      <c r="B182" s="17">
        <v>1581</v>
      </c>
      <c r="C182" s="17" t="s">
        <v>690</v>
      </c>
    </row>
    <row r="183" spans="1:3" x14ac:dyDescent="0.25">
      <c r="A183" s="17">
        <v>295</v>
      </c>
      <c r="B183" s="17"/>
      <c r="C183" s="17" t="s">
        <v>691</v>
      </c>
    </row>
    <row r="184" spans="1:3" x14ac:dyDescent="0.25">
      <c r="A184" s="17">
        <v>296</v>
      </c>
      <c r="B184" s="17">
        <v>7140</v>
      </c>
      <c r="C184" s="17" t="s">
        <v>692</v>
      </c>
    </row>
    <row r="185" spans="1:3" x14ac:dyDescent="0.25">
      <c r="A185" s="17">
        <v>297</v>
      </c>
      <c r="B185" s="17">
        <v>12686</v>
      </c>
      <c r="C185" s="17" t="s">
        <v>693</v>
      </c>
    </row>
    <row r="186" spans="1:3" x14ac:dyDescent="0.25">
      <c r="A186" s="17">
        <v>298</v>
      </c>
      <c r="B186" s="17">
        <v>7801</v>
      </c>
      <c r="C186" s="17" t="s">
        <v>694</v>
      </c>
    </row>
    <row r="187" spans="1:3" x14ac:dyDescent="0.25">
      <c r="A187" s="17">
        <v>299</v>
      </c>
      <c r="B187" s="17">
        <v>16687</v>
      </c>
      <c r="C187" s="17" t="s">
        <v>695</v>
      </c>
    </row>
    <row r="188" spans="1:3" x14ac:dyDescent="0.25">
      <c r="A188" s="17">
        <v>300</v>
      </c>
      <c r="B188" s="17">
        <v>13809</v>
      </c>
      <c r="C188" s="17" t="s">
        <v>696</v>
      </c>
    </row>
    <row r="189" spans="1:3" x14ac:dyDescent="0.25">
      <c r="A189" s="17">
        <v>301</v>
      </c>
      <c r="B189" s="17"/>
      <c r="C189" s="17" t="s">
        <v>697</v>
      </c>
    </row>
    <row r="190" spans="1:3" x14ac:dyDescent="0.25">
      <c r="A190" s="17">
        <v>302</v>
      </c>
      <c r="B190" s="17"/>
      <c r="C190" s="17" t="s">
        <v>698</v>
      </c>
    </row>
    <row r="191" spans="1:3" x14ac:dyDescent="0.25">
      <c r="A191" s="17">
        <v>303</v>
      </c>
      <c r="B191" s="17"/>
      <c r="C191" s="17" t="s">
        <v>699</v>
      </c>
    </row>
    <row r="192" spans="1:3" x14ac:dyDescent="0.25">
      <c r="A192" s="17">
        <v>304</v>
      </c>
      <c r="B192" s="17"/>
      <c r="C192" s="17" t="s">
        <v>700</v>
      </c>
    </row>
    <row r="193" spans="1:3" x14ac:dyDescent="0.25">
      <c r="A193" s="17">
        <v>305</v>
      </c>
      <c r="B193" s="17"/>
      <c r="C193" s="17" t="s">
        <v>701</v>
      </c>
    </row>
    <row r="194" spans="1:3" x14ac:dyDescent="0.25">
      <c r="A194" s="17">
        <v>306</v>
      </c>
      <c r="B194" s="17"/>
      <c r="C194" s="17" t="s">
        <v>702</v>
      </c>
    </row>
    <row r="195" spans="1:3" x14ac:dyDescent="0.25">
      <c r="A195" s="17">
        <v>307</v>
      </c>
      <c r="B195" s="17"/>
      <c r="C195" s="17" t="s">
        <v>703</v>
      </c>
    </row>
    <row r="196" spans="1:3" x14ac:dyDescent="0.25">
      <c r="A196" s="17">
        <v>308</v>
      </c>
      <c r="B196" s="17">
        <v>17867</v>
      </c>
      <c r="C196" s="17" t="s">
        <v>704</v>
      </c>
    </row>
    <row r="197" spans="1:3" x14ac:dyDescent="0.25">
      <c r="A197" s="17">
        <v>309</v>
      </c>
      <c r="B197" s="17"/>
      <c r="C197" s="17" t="s">
        <v>705</v>
      </c>
    </row>
    <row r="198" spans="1:3" x14ac:dyDescent="0.25">
      <c r="A198" s="17">
        <v>310</v>
      </c>
      <c r="B198" s="17">
        <v>17609</v>
      </c>
      <c r="C198" s="17" t="s">
        <v>706</v>
      </c>
    </row>
    <row r="199" spans="1:3" x14ac:dyDescent="0.25">
      <c r="A199" s="17">
        <v>311</v>
      </c>
      <c r="B199" s="17">
        <v>807</v>
      </c>
      <c r="C199" s="17" t="s">
        <v>707</v>
      </c>
    </row>
    <row r="200" spans="1:3" x14ac:dyDescent="0.25">
      <c r="A200" s="17">
        <v>312</v>
      </c>
      <c r="B200" s="17"/>
      <c r="C200" s="17" t="s">
        <v>708</v>
      </c>
    </row>
    <row r="201" spans="1:3" x14ac:dyDescent="0.25">
      <c r="A201" s="17">
        <v>313</v>
      </c>
      <c r="B201" s="17">
        <v>56456</v>
      </c>
      <c r="C201" s="17" t="s">
        <v>709</v>
      </c>
    </row>
    <row r="202" spans="1:3" x14ac:dyDescent="0.25">
      <c r="A202" s="17">
        <v>315</v>
      </c>
      <c r="B202" s="17">
        <v>55124</v>
      </c>
      <c r="C202" s="17" t="s">
        <v>710</v>
      </c>
    </row>
    <row r="203" spans="1:3" x14ac:dyDescent="0.25">
      <c r="A203" s="17">
        <v>319</v>
      </c>
      <c r="B203" s="17"/>
      <c r="C203" s="17" t="s">
        <v>711</v>
      </c>
    </row>
    <row r="204" spans="1:3" x14ac:dyDescent="0.25">
      <c r="A204" s="17">
        <v>320</v>
      </c>
      <c r="B204" s="17">
        <v>14216</v>
      </c>
      <c r="C204" s="17" t="s">
        <v>712</v>
      </c>
    </row>
    <row r="205" spans="1:3" x14ac:dyDescent="0.25">
      <c r="A205" s="17">
        <v>321</v>
      </c>
      <c r="B205" s="17">
        <v>56669</v>
      </c>
      <c r="C205" s="17" t="s">
        <v>713</v>
      </c>
    </row>
    <row r="206" spans="1:3" x14ac:dyDescent="0.25">
      <c r="A206" s="17">
        <v>322</v>
      </c>
      <c r="B206" s="17">
        <v>2172</v>
      </c>
      <c r="C206" s="17" t="s">
        <v>714</v>
      </c>
    </row>
    <row r="207" spans="1:3" x14ac:dyDescent="0.25">
      <c r="A207" s="17">
        <v>323</v>
      </c>
      <c r="B207" s="17"/>
      <c r="C207" s="17" t="s">
        <v>715</v>
      </c>
    </row>
    <row r="208" spans="1:3" x14ac:dyDescent="0.25">
      <c r="A208" s="17">
        <v>324</v>
      </c>
      <c r="B208" s="17">
        <v>57995</v>
      </c>
      <c r="C208" s="17" t="s">
        <v>716</v>
      </c>
    </row>
    <row r="209" spans="1:3" x14ac:dyDescent="0.25">
      <c r="A209" s="17">
        <v>325</v>
      </c>
      <c r="B209" s="17">
        <v>56152</v>
      </c>
      <c r="C209" s="17" t="s">
        <v>717</v>
      </c>
    </row>
    <row r="210" spans="1:3" x14ac:dyDescent="0.25">
      <c r="A210" s="17">
        <v>326</v>
      </c>
      <c r="B210" s="17">
        <v>10620</v>
      </c>
      <c r="C210" s="17" t="s">
        <v>718</v>
      </c>
    </row>
    <row r="211" spans="1:3" x14ac:dyDescent="0.25">
      <c r="A211" s="17">
        <v>327</v>
      </c>
      <c r="B211" s="17">
        <v>19804</v>
      </c>
      <c r="C211" s="17" t="s">
        <v>719</v>
      </c>
    </row>
    <row r="212" spans="1:3" x14ac:dyDescent="0.25">
      <c r="A212" s="17">
        <v>328</v>
      </c>
      <c r="B212" s="17">
        <v>13100</v>
      </c>
      <c r="C212" s="17" t="s">
        <v>720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6"/>
  <sheetViews>
    <sheetView workbookViewId="0">
      <selection sqref="A1:B1"/>
    </sheetView>
  </sheetViews>
  <sheetFormatPr defaultRowHeight="15" x14ac:dyDescent="0.25"/>
  <cols>
    <col min="1" max="1" width="6" customWidth="1"/>
    <col min="2" max="2" width="29.5703125" customWidth="1"/>
    <col min="3" max="3" width="33.5703125" customWidth="1"/>
    <col min="4" max="4" width="8.42578125"/>
    <col min="5" max="5" width="38.28515625" customWidth="1"/>
    <col min="6" max="6" width="44.5703125" customWidth="1"/>
  </cols>
  <sheetData>
    <row r="1" spans="1:7" ht="28.5" x14ac:dyDescent="0.25">
      <c r="A1" s="143" t="s">
        <v>460</v>
      </c>
      <c r="B1" s="143"/>
      <c r="C1" s="111"/>
      <c r="D1" s="111"/>
      <c r="E1" s="111"/>
      <c r="F1" s="111"/>
      <c r="G1" s="111"/>
    </row>
    <row r="2" spans="1:7" x14ac:dyDescent="0.25">
      <c r="A2" s="112"/>
      <c r="B2" s="113" t="s">
        <v>450</v>
      </c>
      <c r="C2" s="113"/>
      <c r="D2" s="113"/>
      <c r="E2" s="113" t="s">
        <v>739</v>
      </c>
      <c r="F2" s="113"/>
      <c r="G2" s="113"/>
    </row>
    <row r="3" spans="1:7" x14ac:dyDescent="0.25">
      <c r="A3" s="114" t="s">
        <v>740</v>
      </c>
      <c r="B3" s="114" t="s">
        <v>741</v>
      </c>
      <c r="C3" s="114" t="s">
        <v>452</v>
      </c>
      <c r="D3" s="114" t="s">
        <v>742</v>
      </c>
      <c r="E3" s="114" t="s">
        <v>745</v>
      </c>
      <c r="F3" s="114" t="s">
        <v>743</v>
      </c>
      <c r="G3" s="114" t="s">
        <v>744</v>
      </c>
    </row>
    <row r="4" spans="1:7" ht="77.25" x14ac:dyDescent="0.25">
      <c r="A4" s="115">
        <v>1</v>
      </c>
      <c r="B4" s="115" t="s">
        <v>747</v>
      </c>
      <c r="C4" s="117" t="s">
        <v>748</v>
      </c>
      <c r="D4" s="115"/>
      <c r="E4" s="116" t="s">
        <v>746</v>
      </c>
      <c r="F4" s="117" t="s">
        <v>753</v>
      </c>
      <c r="G4" s="115">
        <v>2015</v>
      </c>
    </row>
    <row r="5" spans="1:7" ht="90" x14ac:dyDescent="0.25">
      <c r="A5" s="115">
        <v>2</v>
      </c>
      <c r="B5" s="117" t="s">
        <v>760</v>
      </c>
      <c r="C5" s="117"/>
      <c r="D5" s="115"/>
      <c r="E5" s="116" t="s">
        <v>759</v>
      </c>
      <c r="F5" s="117"/>
      <c r="G5" s="115">
        <v>2016</v>
      </c>
    </row>
    <row r="6" spans="1:7" ht="31.5" x14ac:dyDescent="0.25">
      <c r="A6" s="115">
        <v>3</v>
      </c>
      <c r="B6" s="115" t="s">
        <v>749</v>
      </c>
      <c r="C6" s="117" t="s">
        <v>751</v>
      </c>
      <c r="D6" s="115"/>
      <c r="E6" s="118" t="s">
        <v>750</v>
      </c>
      <c r="F6" s="117" t="s">
        <v>752</v>
      </c>
      <c r="G6" s="115">
        <v>2014</v>
      </c>
    </row>
  </sheetData>
  <mergeCells count="1">
    <mergeCell ref="A1:B1"/>
  </mergeCells>
  <hyperlinks>
    <hyperlink ref="E4" r:id="rId1"/>
    <hyperlink ref="E6" r:id="rId2" display="https://www.nrcan.gc.ca/sites/www.nrcan.gc.ca/files/www/pdf/publications/emmc/15-0137%20EMMC-After%20the%20Blackout-e.pdf"/>
    <hyperlink ref="E5"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showGridLines="0" tabSelected="1" zoomScaleNormal="100" zoomScalePageLayoutView="80" workbookViewId="0">
      <selection activeCell="C10" sqref="C10:C13"/>
    </sheetView>
  </sheetViews>
  <sheetFormatPr defaultColWidth="8.42578125" defaultRowHeight="15" x14ac:dyDescent="0.25"/>
  <cols>
    <col min="1" max="1" width="9.42578125" style="33" customWidth="1"/>
    <col min="2" max="2" width="20.5703125" style="34" customWidth="1"/>
    <col min="3" max="3" width="78.85546875" style="34" customWidth="1"/>
    <col min="4" max="4" width="8.42578125" customWidth="1"/>
    <col min="5" max="5" width="8.42578125" style="35"/>
    <col min="6" max="7" width="8.42578125" style="35" customWidth="1"/>
    <col min="8" max="16384" width="8.42578125" style="35"/>
  </cols>
  <sheetData>
    <row r="2" spans="1:10" ht="28.5" x14ac:dyDescent="0.25">
      <c r="B2" s="132" t="s">
        <v>450</v>
      </c>
      <c r="C2" s="132"/>
    </row>
    <row r="3" spans="1:10" ht="15.75" x14ac:dyDescent="0.25">
      <c r="A3" s="36"/>
      <c r="B3" s="37" t="s">
        <v>451</v>
      </c>
      <c r="C3" s="38" t="str">
        <f>Contents!B2</f>
        <v>2014 eGRID Consumption Mix Data</v>
      </c>
      <c r="E3" s="38"/>
      <c r="F3" s="38"/>
      <c r="G3" s="38"/>
      <c r="H3" s="38"/>
      <c r="I3" s="38"/>
      <c r="J3" s="38"/>
    </row>
    <row r="4" spans="1:10" ht="157.5" x14ac:dyDescent="0.25">
      <c r="A4" s="36"/>
      <c r="B4" s="37" t="s">
        <v>452</v>
      </c>
      <c r="C4" s="120" t="s">
        <v>758</v>
      </c>
    </row>
    <row r="5" spans="1:10" ht="47.25" x14ac:dyDescent="0.25">
      <c r="A5" s="36"/>
      <c r="B5" s="37" t="s">
        <v>453</v>
      </c>
      <c r="C5" s="119" t="s">
        <v>756</v>
      </c>
    </row>
    <row r="6" spans="1:10" ht="141.75" x14ac:dyDescent="0.25">
      <c r="A6" s="39"/>
      <c r="B6" s="37" t="s">
        <v>454</v>
      </c>
      <c r="C6" s="40" t="s">
        <v>757</v>
      </c>
    </row>
    <row r="7" spans="1:10" ht="299.25" x14ac:dyDescent="0.25">
      <c r="A7" s="39"/>
      <c r="B7" s="37" t="s">
        <v>769</v>
      </c>
      <c r="C7" s="40" t="s">
        <v>770</v>
      </c>
    </row>
    <row r="8" spans="1:10" ht="15.75" x14ac:dyDescent="0.25">
      <c r="A8" s="39"/>
      <c r="B8" s="37"/>
      <c r="C8" s="40"/>
    </row>
    <row r="9" spans="1:10" ht="31.5" x14ac:dyDescent="0.25">
      <c r="A9" s="41"/>
      <c r="B9" s="37" t="s">
        <v>455</v>
      </c>
      <c r="C9" s="38" t="s">
        <v>754</v>
      </c>
    </row>
    <row r="10" spans="1:10" ht="15.75" x14ac:dyDescent="0.25">
      <c r="A10" s="39"/>
      <c r="B10" s="37" t="s">
        <v>456</v>
      </c>
      <c r="C10" s="38" t="s">
        <v>483</v>
      </c>
    </row>
    <row r="11" spans="1:10" ht="15.75" x14ac:dyDescent="0.25">
      <c r="A11" s="39"/>
      <c r="B11" s="42" t="s">
        <v>457</v>
      </c>
      <c r="C11" s="43"/>
    </row>
    <row r="12" spans="1:10" ht="15.75" x14ac:dyDescent="0.25">
      <c r="A12" s="39"/>
      <c r="B12" s="37"/>
      <c r="C12" s="38"/>
    </row>
    <row r="13" spans="1:10" x14ac:dyDescent="0.25">
      <c r="A13" s="44"/>
      <c r="B13" s="45"/>
    </row>
    <row r="14" spans="1:10" x14ac:dyDescent="0.25">
      <c r="A14" s="44"/>
      <c r="B14" s="45"/>
    </row>
  </sheetData>
  <mergeCells count="1">
    <mergeCell ref="B2:C2"/>
  </mergeCells>
  <dataValidations count="1">
    <dataValidation type="textLength" operator="lessThanOrEqual" allowBlank="1" showInputMessage="1" showErrorMessage="1" sqref="C10:C12">
      <formula1>255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zoomScaleNormal="100" workbookViewId="0">
      <selection activeCell="C11" sqref="C11"/>
    </sheetView>
  </sheetViews>
  <sheetFormatPr defaultColWidth="9.85546875" defaultRowHeight="12.75" x14ac:dyDescent="0.2"/>
  <cols>
    <col min="1" max="1" width="9.85546875" style="46"/>
    <col min="2" max="2" width="22.7109375" style="46" customWidth="1"/>
    <col min="3" max="3" width="100.42578125" style="46" customWidth="1"/>
    <col min="4" max="16384" width="9.85546875" style="46"/>
  </cols>
  <sheetData>
    <row r="2" spans="2:4" ht="33.75" x14ac:dyDescent="0.5">
      <c r="B2" s="133" t="s">
        <v>755</v>
      </c>
      <c r="C2" s="133"/>
    </row>
    <row r="3" spans="2:4" ht="21" customHeight="1" x14ac:dyDescent="0.2">
      <c r="B3" s="47" t="s">
        <v>458</v>
      </c>
    </row>
    <row r="4" spans="2:4" ht="15" x14ac:dyDescent="0.25">
      <c r="B4" s="48" t="s">
        <v>500</v>
      </c>
      <c r="C4" s="49"/>
    </row>
    <row r="5" spans="2:4" ht="80.25" customHeight="1" x14ac:dyDescent="0.2">
      <c r="B5" s="97" t="s">
        <v>503</v>
      </c>
      <c r="C5" s="50" t="s">
        <v>761</v>
      </c>
    </row>
    <row r="6" spans="2:4" ht="15" x14ac:dyDescent="0.25">
      <c r="B6" s="48" t="s">
        <v>501</v>
      </c>
      <c r="C6" s="49"/>
    </row>
    <row r="7" spans="2:4" ht="29.25" customHeight="1" x14ac:dyDescent="0.2">
      <c r="B7" s="51" t="s">
        <v>504</v>
      </c>
      <c r="C7" s="52" t="s">
        <v>762</v>
      </c>
    </row>
    <row r="8" spans="2:4" ht="75" x14ac:dyDescent="0.2">
      <c r="B8" s="51" t="s">
        <v>505</v>
      </c>
      <c r="C8" s="52" t="s">
        <v>763</v>
      </c>
    </row>
    <row r="9" spans="2:4" ht="15" x14ac:dyDescent="0.2">
      <c r="B9" s="51" t="s">
        <v>506</v>
      </c>
      <c r="C9" s="52" t="s">
        <v>764</v>
      </c>
    </row>
    <row r="10" spans="2:4" ht="15" x14ac:dyDescent="0.2">
      <c r="B10" s="51"/>
      <c r="C10" s="52"/>
    </row>
    <row r="11" spans="2:4" ht="14.45" customHeight="1" x14ac:dyDescent="0.2">
      <c r="B11" s="108" t="s">
        <v>502</v>
      </c>
      <c r="C11" s="108"/>
      <c r="D11" s="109"/>
    </row>
    <row r="12" spans="2:4" ht="30" x14ac:dyDescent="0.2">
      <c r="B12" s="51" t="s">
        <v>27</v>
      </c>
      <c r="C12" s="52" t="s">
        <v>727</v>
      </c>
      <c r="D12" s="110"/>
    </row>
    <row r="13" spans="2:4" ht="30" x14ac:dyDescent="0.2">
      <c r="B13" s="51" t="s">
        <v>8</v>
      </c>
      <c r="C13" s="52" t="s">
        <v>728</v>
      </c>
      <c r="D13" s="54"/>
    </row>
    <row r="14" spans="2:4" ht="15" x14ac:dyDescent="0.2">
      <c r="B14" s="51" t="s">
        <v>30</v>
      </c>
      <c r="C14" s="52" t="s">
        <v>729</v>
      </c>
      <c r="D14" s="54"/>
    </row>
    <row r="15" spans="2:4" ht="30" x14ac:dyDescent="0.2">
      <c r="B15" s="51" t="s">
        <v>33</v>
      </c>
      <c r="C15" s="52" t="s">
        <v>730</v>
      </c>
      <c r="D15" s="54"/>
    </row>
    <row r="16" spans="2:4" ht="30" x14ac:dyDescent="0.2">
      <c r="B16" s="51" t="s">
        <v>35</v>
      </c>
      <c r="C16" s="52" t="s">
        <v>731</v>
      </c>
      <c r="D16" s="54"/>
    </row>
    <row r="17" spans="2:4" ht="30" x14ac:dyDescent="0.2">
      <c r="B17" s="51" t="s">
        <v>34</v>
      </c>
      <c r="C17" s="52" t="s">
        <v>732</v>
      </c>
      <c r="D17" s="54"/>
    </row>
    <row r="18" spans="2:4" ht="30" x14ac:dyDescent="0.2">
      <c r="B18" s="51" t="s">
        <v>37</v>
      </c>
      <c r="C18" s="52" t="s">
        <v>733</v>
      </c>
      <c r="D18" s="54"/>
    </row>
    <row r="19" spans="2:4" ht="30" x14ac:dyDescent="0.2">
      <c r="B19" s="51" t="s">
        <v>36</v>
      </c>
      <c r="C19" s="52" t="s">
        <v>734</v>
      </c>
      <c r="D19" s="54"/>
    </row>
    <row r="20" spans="2:4" ht="30" x14ac:dyDescent="0.2">
      <c r="B20" s="51" t="s">
        <v>29</v>
      </c>
      <c r="C20" s="52" t="s">
        <v>735</v>
      </c>
      <c r="D20" s="54"/>
    </row>
    <row r="21" spans="2:4" ht="17.25" customHeight="1" x14ac:dyDescent="0.2">
      <c r="B21" s="51" t="s">
        <v>28</v>
      </c>
      <c r="C21" s="52" t="s">
        <v>736</v>
      </c>
    </row>
    <row r="22" spans="2:4" ht="30" x14ac:dyDescent="0.2">
      <c r="B22" s="51" t="s">
        <v>737</v>
      </c>
      <c r="C22" s="52" t="s">
        <v>738</v>
      </c>
    </row>
    <row r="23" spans="2:4" ht="15" x14ac:dyDescent="0.2">
      <c r="B23" s="51"/>
    </row>
    <row r="24" spans="2:4" ht="15" x14ac:dyDescent="0.25">
      <c r="B24" s="48" t="s">
        <v>459</v>
      </c>
      <c r="C24" s="53"/>
      <c r="D24" s="98"/>
    </row>
    <row r="25" spans="2:4" ht="15" x14ac:dyDescent="0.25">
      <c r="B25" s="99" t="s">
        <v>507</v>
      </c>
      <c r="C25" s="52" t="s">
        <v>721</v>
      </c>
      <c r="D25" s="98"/>
    </row>
    <row r="26" spans="2:4" ht="15" x14ac:dyDescent="0.2">
      <c r="B26" s="51" t="s">
        <v>460</v>
      </c>
      <c r="C26" s="52" t="s">
        <v>461</v>
      </c>
    </row>
    <row r="27" spans="2:4" x14ac:dyDescent="0.2">
      <c r="B27" s="98"/>
      <c r="C27" s="98"/>
    </row>
    <row r="28" spans="2:4" x14ac:dyDescent="0.2">
      <c r="B28" s="98"/>
      <c r="C28" s="98"/>
    </row>
    <row r="29" spans="2:4" x14ac:dyDescent="0.2">
      <c r="B29" s="98"/>
      <c r="C29" s="98"/>
    </row>
    <row r="30" spans="2:4" x14ac:dyDescent="0.2">
      <c r="B30" s="98"/>
      <c r="C30" s="98"/>
    </row>
  </sheetData>
  <mergeCells count="1">
    <mergeCell ref="B2:C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P77"/>
  <sheetViews>
    <sheetView topLeftCell="A22" zoomScale="70" zoomScaleNormal="70" workbookViewId="0">
      <selection activeCell="E45" sqref="E45"/>
    </sheetView>
  </sheetViews>
  <sheetFormatPr defaultRowHeight="15" x14ac:dyDescent="0.25"/>
  <cols>
    <col min="2" max="2" width="15.5703125" customWidth="1"/>
    <col min="4" max="4" width="19.5703125" customWidth="1"/>
    <col min="5" max="5" width="14.140625" customWidth="1"/>
    <col min="6" max="8" width="16.7109375" customWidth="1"/>
  </cols>
  <sheetData>
    <row r="1" spans="1:42" ht="31.5" x14ac:dyDescent="0.5">
      <c r="A1" s="144" t="s">
        <v>767</v>
      </c>
      <c r="G1" s="30"/>
      <c r="H1" s="106"/>
      <c r="I1" s="134" t="s">
        <v>447</v>
      </c>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row>
    <row r="2" spans="1:42" x14ac:dyDescent="0.25">
      <c r="A2" s="134" t="s">
        <v>443</v>
      </c>
      <c r="B2" s="134"/>
      <c r="C2" s="134"/>
      <c r="D2" s="134"/>
      <c r="E2" s="134" t="s">
        <v>444</v>
      </c>
      <c r="F2" s="134"/>
      <c r="H2" s="56"/>
      <c r="I2" s="135" t="s">
        <v>445</v>
      </c>
      <c r="J2" s="135"/>
      <c r="K2" s="135"/>
      <c r="L2" s="135"/>
      <c r="M2" s="135"/>
      <c r="N2" s="135"/>
      <c r="O2" s="135"/>
      <c r="P2" s="12" t="s">
        <v>51</v>
      </c>
      <c r="Q2" s="134" t="s">
        <v>446</v>
      </c>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row>
    <row r="3" spans="1:42" x14ac:dyDescent="0.25">
      <c r="A3" s="12" t="s">
        <v>439</v>
      </c>
      <c r="B3" s="12" t="s">
        <v>442</v>
      </c>
      <c r="C3" s="12" t="s">
        <v>440</v>
      </c>
      <c r="D3" s="12" t="s">
        <v>441</v>
      </c>
      <c r="E3" s="12" t="s">
        <v>449</v>
      </c>
      <c r="F3" s="12" t="s">
        <v>448</v>
      </c>
      <c r="G3" s="29"/>
      <c r="H3" s="106"/>
      <c r="I3" s="1" t="s">
        <v>39</v>
      </c>
      <c r="J3" s="1" t="s">
        <v>40</v>
      </c>
      <c r="K3" s="1" t="s">
        <v>41</v>
      </c>
      <c r="L3" s="1" t="s">
        <v>42</v>
      </c>
      <c r="M3" s="1" t="s">
        <v>43</v>
      </c>
      <c r="N3" s="1" t="s">
        <v>44</v>
      </c>
      <c r="O3" s="1" t="s">
        <v>45</v>
      </c>
      <c r="P3" s="12" t="s">
        <v>51</v>
      </c>
      <c r="Q3" s="17" t="s">
        <v>3</v>
      </c>
      <c r="R3" s="17" t="s">
        <v>4</v>
      </c>
      <c r="S3" s="12" t="s">
        <v>8</v>
      </c>
      <c r="T3" s="12" t="s">
        <v>9</v>
      </c>
      <c r="U3" s="12" t="s">
        <v>31</v>
      </c>
      <c r="V3" s="12" t="s">
        <v>32</v>
      </c>
      <c r="W3" s="12" t="s">
        <v>10</v>
      </c>
      <c r="X3" s="12" t="s">
        <v>11</v>
      </c>
      <c r="Y3" s="12" t="s">
        <v>13</v>
      </c>
      <c r="Z3" s="12" t="s">
        <v>14</v>
      </c>
      <c r="AA3" s="12" t="s">
        <v>15</v>
      </c>
      <c r="AB3" s="12" t="s">
        <v>16</v>
      </c>
      <c r="AC3" s="12" t="s">
        <v>17</v>
      </c>
      <c r="AD3" s="12" t="s">
        <v>18</v>
      </c>
      <c r="AE3" s="12" t="s">
        <v>22</v>
      </c>
      <c r="AF3" s="12" t="s">
        <v>23</v>
      </c>
      <c r="AG3" s="12" t="s">
        <v>24</v>
      </c>
      <c r="AH3" s="12" t="s">
        <v>25</v>
      </c>
      <c r="AI3" s="12" t="s">
        <v>26</v>
      </c>
      <c r="AJ3" s="12" t="s">
        <v>20</v>
      </c>
      <c r="AK3" s="12" t="s">
        <v>21</v>
      </c>
      <c r="AL3" s="12" t="s">
        <v>7</v>
      </c>
      <c r="AM3" s="12" t="s">
        <v>5</v>
      </c>
      <c r="AN3" s="12" t="s">
        <v>6</v>
      </c>
      <c r="AO3" s="12" t="s">
        <v>12</v>
      </c>
      <c r="AP3" s="12" t="s">
        <v>19</v>
      </c>
    </row>
    <row r="4" spans="1:42" x14ac:dyDescent="0.25">
      <c r="A4" s="122" t="s">
        <v>27</v>
      </c>
      <c r="B4" s="12" t="s">
        <v>404</v>
      </c>
      <c r="C4" s="12" t="s">
        <v>3</v>
      </c>
      <c r="D4" s="12" t="s">
        <v>404</v>
      </c>
      <c r="E4" s="65">
        <f>IF('Consumption Calculations'!C3/'Consumption Calculations'!C34&gt;=1, 1, 'Consumption Calculations'!C3/'Consumption Calculations'!C34)</f>
        <v>1</v>
      </c>
      <c r="F4" s="65">
        <f t="shared" ref="F4:F29" si="0">1-E4</f>
        <v>0</v>
      </c>
      <c r="G4" s="29"/>
      <c r="H4" s="121" t="s">
        <v>27</v>
      </c>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spans="1:42" x14ac:dyDescent="0.25">
      <c r="A5" s="122" t="s">
        <v>27</v>
      </c>
      <c r="B5" s="12" t="s">
        <v>404</v>
      </c>
      <c r="C5" s="12" t="s">
        <v>4</v>
      </c>
      <c r="D5" s="12" t="s">
        <v>405</v>
      </c>
      <c r="E5" s="65">
        <f>IF('Consumption Calculations'!C4/'Consumption Calculations'!C35&gt;=1, 1, 'Consumption Calculations'!C4/'Consumption Calculations'!C35)</f>
        <v>1</v>
      </c>
      <c r="F5" s="65">
        <f t="shared" si="0"/>
        <v>0</v>
      </c>
      <c r="G5" s="29"/>
      <c r="H5" s="10" t="s">
        <v>8</v>
      </c>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spans="1:42" x14ac:dyDescent="0.25">
      <c r="A6" s="123" t="s">
        <v>8</v>
      </c>
      <c r="B6" s="12" t="s">
        <v>430</v>
      </c>
      <c r="C6" s="12" t="s">
        <v>8</v>
      </c>
      <c r="D6" s="12" t="s">
        <v>409</v>
      </c>
      <c r="E6" s="77">
        <f>IF('Consumption Calculations'!C5/'Consumption Calculations'!C36&gt;=1, 1, 'Consumption Calculations'!C5/'Consumption Calculations'!C36)</f>
        <v>0.98942293550012295</v>
      </c>
      <c r="F6" s="65">
        <f>1-E6</f>
        <v>1.0577064499877054E-2</v>
      </c>
      <c r="G6" s="29"/>
      <c r="H6" s="10" t="s">
        <v>30</v>
      </c>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spans="1:42" x14ac:dyDescent="0.25">
      <c r="A7" s="124" t="s">
        <v>30</v>
      </c>
      <c r="B7" s="12" t="s">
        <v>431</v>
      </c>
      <c r="C7" s="12" t="s">
        <v>9</v>
      </c>
      <c r="D7" s="12" t="s">
        <v>410</v>
      </c>
      <c r="E7" s="65">
        <f>IF('Consumption Calculations'!C6/'Consumption Calculations'!C37&gt;=1, 1, 'Consumption Calculations'!C6/'Consumption Calculations'!C37)</f>
        <v>1</v>
      </c>
      <c r="F7" s="65">
        <f>1-E7</f>
        <v>0</v>
      </c>
      <c r="G7" s="29"/>
      <c r="H7" s="10" t="s">
        <v>33</v>
      </c>
      <c r="I7" s="78"/>
      <c r="J7" s="78"/>
      <c r="K7" s="79">
        <v>4.066930048803161E-3</v>
      </c>
      <c r="L7" s="79">
        <v>0.99593306995119679</v>
      </c>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1:42" x14ac:dyDescent="0.25">
      <c r="A8" s="124" t="s">
        <v>30</v>
      </c>
      <c r="B8" s="12" t="s">
        <v>431</v>
      </c>
      <c r="C8" s="12" t="s">
        <v>31</v>
      </c>
      <c r="D8" s="12" t="s">
        <v>411</v>
      </c>
      <c r="E8" s="65">
        <f>IF('Consumption Calculations'!C7/'Consumption Calculations'!C38&gt;=1, 1, 'Consumption Calculations'!C7/'Consumption Calculations'!C38)</f>
        <v>1</v>
      </c>
      <c r="F8" s="65">
        <f>1-E8</f>
        <v>0</v>
      </c>
      <c r="G8" s="29"/>
      <c r="H8" s="10" t="s">
        <v>35</v>
      </c>
      <c r="I8" s="78"/>
      <c r="J8" s="78"/>
      <c r="K8" s="78"/>
      <c r="L8" s="78"/>
      <c r="M8" s="78">
        <v>0.4</v>
      </c>
      <c r="N8" s="78">
        <v>0.55000000000000004</v>
      </c>
      <c r="O8" s="78">
        <v>0.05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1:42" x14ac:dyDescent="0.25">
      <c r="A9" s="125" t="s">
        <v>33</v>
      </c>
      <c r="B9" s="12" t="s">
        <v>432</v>
      </c>
      <c r="C9" s="12" t="s">
        <v>32</v>
      </c>
      <c r="D9" s="12" t="s">
        <v>412</v>
      </c>
      <c r="E9" s="65">
        <f>IF('Consumption Calculations'!C8/'Consumption Calculations'!C39&gt;=1, 1, 'Consumption Calculations'!C8/'Consumption Calculations'!C39)</f>
        <v>0.96847386627010246</v>
      </c>
      <c r="F9" s="65">
        <f>1-E9</f>
        <v>3.1526133729897543E-2</v>
      </c>
      <c r="G9" s="29"/>
      <c r="H9" s="10" t="s">
        <v>34</v>
      </c>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row>
    <row r="10" spans="1:42" x14ac:dyDescent="0.25">
      <c r="A10" s="125" t="s">
        <v>33</v>
      </c>
      <c r="B10" s="12" t="s">
        <v>432</v>
      </c>
      <c r="C10" s="12" t="s">
        <v>10</v>
      </c>
      <c r="D10" s="12" t="s">
        <v>413</v>
      </c>
      <c r="E10" s="65">
        <f>IF('Consumption Calculations'!C9/'Consumption Calculations'!C40&gt;=1, 1, 'Consumption Calculations'!C9/'Consumption Calculations'!C40)</f>
        <v>0.96536053329419147</v>
      </c>
      <c r="F10" s="65">
        <f>1-E10</f>
        <v>3.463946670580853E-2</v>
      </c>
      <c r="G10" s="29"/>
      <c r="H10" s="10" t="s">
        <v>37</v>
      </c>
      <c r="I10" s="78"/>
      <c r="J10" s="78"/>
      <c r="K10" s="78"/>
      <c r="L10" s="78"/>
      <c r="M10" s="78"/>
      <c r="N10" s="78"/>
      <c r="O10" s="78"/>
      <c r="P10" s="78"/>
      <c r="Q10" s="78"/>
      <c r="R10" s="78"/>
      <c r="S10" s="78"/>
      <c r="T10" s="78"/>
      <c r="U10" s="78"/>
      <c r="V10" s="78"/>
      <c r="W10" s="78"/>
      <c r="X10" s="78"/>
      <c r="Y10" s="78"/>
      <c r="Z10" s="78"/>
      <c r="AA10" s="78"/>
      <c r="AB10" s="78"/>
      <c r="AC10" s="78"/>
      <c r="AD10" s="78"/>
      <c r="AE10" s="78"/>
      <c r="AF10" s="78">
        <v>0.13428262071356839</v>
      </c>
      <c r="AG10" s="78">
        <v>0.2311990809104881</v>
      </c>
      <c r="AH10" s="78">
        <v>0.63451829837594353</v>
      </c>
      <c r="AI10" s="78"/>
      <c r="AJ10" s="78"/>
      <c r="AK10" s="78"/>
      <c r="AL10" s="78"/>
      <c r="AM10" s="78"/>
      <c r="AN10" s="78"/>
      <c r="AO10" s="78"/>
      <c r="AP10" s="78"/>
    </row>
    <row r="11" spans="1:42" x14ac:dyDescent="0.25">
      <c r="A11" s="126" t="s">
        <v>35</v>
      </c>
      <c r="B11" s="12" t="s">
        <v>433</v>
      </c>
      <c r="C11" s="12" t="s">
        <v>11</v>
      </c>
      <c r="D11" s="12" t="s">
        <v>414</v>
      </c>
      <c r="E11" s="65">
        <f>IF('Consumption Calculations'!C10/'Consumption Calculations'!C41&gt;=1, 1, 'Consumption Calculations'!C10/'Consumption Calculations'!C41)</f>
        <v>0.82997687625982741</v>
      </c>
      <c r="F11" s="65">
        <f>1-E11</f>
        <v>0.17002312374017259</v>
      </c>
      <c r="G11" s="29"/>
      <c r="H11" s="10" t="s">
        <v>36</v>
      </c>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9">
        <v>1</v>
      </c>
      <c r="AK11" s="78"/>
      <c r="AL11" s="78"/>
      <c r="AM11" s="78"/>
      <c r="AN11" s="78"/>
      <c r="AO11" s="78"/>
      <c r="AP11" s="78"/>
    </row>
    <row r="12" spans="1:42" x14ac:dyDescent="0.25">
      <c r="A12" s="126" t="s">
        <v>35</v>
      </c>
      <c r="B12" s="12" t="s">
        <v>433</v>
      </c>
      <c r="C12" s="12" t="s">
        <v>13</v>
      </c>
      <c r="D12" s="12" t="s">
        <v>416</v>
      </c>
      <c r="E12" s="65">
        <f>IF('Consumption Calculations'!C11/'Consumption Calculations'!C42&gt;=1, 1, 'Consumption Calculations'!C11/'Consumption Calculations'!C42)</f>
        <v>0.64950978302617068</v>
      </c>
      <c r="F12" s="65">
        <f>1-E12</f>
        <v>0.35049021697382932</v>
      </c>
      <c r="G12" s="29"/>
      <c r="H12" s="10" t="s">
        <v>29</v>
      </c>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row>
    <row r="13" spans="1:42" x14ac:dyDescent="0.25">
      <c r="A13" s="126" t="s">
        <v>35</v>
      </c>
      <c r="B13" s="12" t="s">
        <v>433</v>
      </c>
      <c r="C13" s="12" t="s">
        <v>14</v>
      </c>
      <c r="D13" s="12" t="s">
        <v>417</v>
      </c>
      <c r="E13" s="65">
        <f>IF('Consumption Calculations'!C12/'Consumption Calculations'!C43&gt;=1, 1, 'Consumption Calculations'!C12/'Consumption Calculations'!C43)</f>
        <v>0.85502609032650656</v>
      </c>
      <c r="F13" s="65">
        <f>1-E13</f>
        <v>0.14497390967349344</v>
      </c>
      <c r="G13" s="29"/>
      <c r="H13" s="10" t="s">
        <v>28</v>
      </c>
      <c r="I13" s="79">
        <v>9.1497658921968275E-2</v>
      </c>
      <c r="J13" s="79">
        <v>6.4339124596921569E-4</v>
      </c>
      <c r="K13" s="78"/>
      <c r="L13" s="78"/>
      <c r="M13" s="78"/>
      <c r="N13" s="78"/>
      <c r="O13" s="78"/>
      <c r="P13" s="78">
        <v>1.1822314144684338E-2</v>
      </c>
      <c r="Q13" s="78"/>
      <c r="R13" s="78"/>
      <c r="S13" s="78"/>
      <c r="T13" s="78"/>
      <c r="U13" s="78"/>
      <c r="V13" s="78"/>
      <c r="W13" s="78"/>
      <c r="X13" s="78"/>
      <c r="Y13" s="78"/>
      <c r="Z13" s="78"/>
      <c r="AA13" s="78"/>
      <c r="AB13" s="78"/>
      <c r="AC13" s="78"/>
      <c r="AD13" s="78"/>
      <c r="AE13" s="78"/>
      <c r="AF13" s="78"/>
      <c r="AG13" s="78"/>
      <c r="AH13" s="78"/>
      <c r="AI13" s="78"/>
      <c r="AJ13" s="78"/>
      <c r="AK13" s="78"/>
      <c r="AL13" s="78"/>
      <c r="AM13" s="79">
        <v>0.28861313799975108</v>
      </c>
      <c r="AN13" s="78"/>
      <c r="AO13" s="79">
        <v>0.51082351109986002</v>
      </c>
      <c r="AP13" s="79">
        <v>9.6599986587767098E-2</v>
      </c>
    </row>
    <row r="14" spans="1:42" x14ac:dyDescent="0.25">
      <c r="A14" s="126" t="s">
        <v>35</v>
      </c>
      <c r="B14" s="12" t="s">
        <v>433</v>
      </c>
      <c r="C14" s="12" t="s">
        <v>15</v>
      </c>
      <c r="D14" s="12" t="s">
        <v>418</v>
      </c>
      <c r="E14" s="65">
        <f>IF('Consumption Calculations'!C13/'Consumption Calculations'!C44&gt;=1, 1, 'Consumption Calculations'!C13/'Consumption Calculations'!C44)</f>
        <v>0.85502609032650656</v>
      </c>
      <c r="F14" s="65">
        <f>1-E14</f>
        <v>0.14497390967349344</v>
      </c>
      <c r="G14" s="29"/>
      <c r="H14" s="29"/>
    </row>
    <row r="15" spans="1:42" x14ac:dyDescent="0.25">
      <c r="A15" s="127" t="s">
        <v>34</v>
      </c>
      <c r="B15" s="12" t="s">
        <v>434</v>
      </c>
      <c r="C15" s="12" t="s">
        <v>16</v>
      </c>
      <c r="D15" s="12" t="s">
        <v>419</v>
      </c>
      <c r="E15" s="65">
        <f>IF('Consumption Calculations'!C14/'Consumption Calculations'!C45&gt;=1, 1, 'Consumption Calculations'!C14/'Consumption Calculations'!C45)</f>
        <v>0.97967953704898292</v>
      </c>
      <c r="F15" s="65">
        <f>1-E15</f>
        <v>2.0320462951017082E-2</v>
      </c>
      <c r="G15" s="29"/>
      <c r="H15" s="29"/>
    </row>
    <row r="16" spans="1:42" x14ac:dyDescent="0.25">
      <c r="A16" s="127" t="s">
        <v>34</v>
      </c>
      <c r="B16" s="12" t="s">
        <v>434</v>
      </c>
      <c r="C16" s="12" t="s">
        <v>17</v>
      </c>
      <c r="D16" s="12" t="s">
        <v>420</v>
      </c>
      <c r="E16" s="65">
        <f>IF('Consumption Calculations'!C15/'Consumption Calculations'!C46&gt;=1, 1, 'Consumption Calculations'!C15/'Consumption Calculations'!C46)</f>
        <v>1</v>
      </c>
      <c r="F16" s="65">
        <f>1-E16</f>
        <v>0</v>
      </c>
      <c r="G16" s="29"/>
      <c r="H16" s="29"/>
    </row>
    <row r="17" spans="1:8" x14ac:dyDescent="0.25">
      <c r="A17" s="127" t="s">
        <v>34</v>
      </c>
      <c r="B17" s="12" t="s">
        <v>434</v>
      </c>
      <c r="C17" s="12" t="s">
        <v>18</v>
      </c>
      <c r="D17" s="12" t="s">
        <v>421</v>
      </c>
      <c r="E17" s="65">
        <f>IF('Consumption Calculations'!C16/'Consumption Calculations'!C47&gt;=1, 1, 'Consumption Calculations'!C16/'Consumption Calculations'!C47)</f>
        <v>0.98559833688562515</v>
      </c>
      <c r="F17" s="65">
        <f>1-E17</f>
        <v>1.4401663114374852E-2</v>
      </c>
      <c r="G17" s="29"/>
      <c r="H17" s="29"/>
    </row>
    <row r="18" spans="1:8" x14ac:dyDescent="0.25">
      <c r="A18" s="128" t="s">
        <v>37</v>
      </c>
      <c r="B18" s="12" t="s">
        <v>435</v>
      </c>
      <c r="C18" s="12" t="s">
        <v>22</v>
      </c>
      <c r="D18" s="12" t="s">
        <v>425</v>
      </c>
      <c r="E18" s="65">
        <f>IF('Consumption Calculations'!C17/'Consumption Calculations'!C48&gt;=1, 1, 'Consumption Calculations'!C17/'Consumption Calculations'!C48)</f>
        <v>1</v>
      </c>
      <c r="F18" s="65">
        <f>1-E18</f>
        <v>0</v>
      </c>
      <c r="G18" s="29"/>
      <c r="H18" s="29"/>
    </row>
    <row r="19" spans="1:8" x14ac:dyDescent="0.25">
      <c r="A19" s="128" t="s">
        <v>37</v>
      </c>
      <c r="B19" s="12" t="s">
        <v>435</v>
      </c>
      <c r="C19" s="12" t="s">
        <v>23</v>
      </c>
      <c r="D19" s="12" t="s">
        <v>426</v>
      </c>
      <c r="E19" s="65">
        <f>IF('Consumption Calculations'!C18/'Consumption Calculations'!C49&gt;=1, 1, 'Consumption Calculations'!C18/'Consumption Calculations'!C49)</f>
        <v>1</v>
      </c>
      <c r="F19" s="65">
        <f>1-E19</f>
        <v>0</v>
      </c>
      <c r="G19" s="29"/>
      <c r="H19" s="29"/>
    </row>
    <row r="20" spans="1:8" x14ac:dyDescent="0.25">
      <c r="A20" s="128" t="s">
        <v>37</v>
      </c>
      <c r="B20" s="12" t="s">
        <v>435</v>
      </c>
      <c r="C20" s="12" t="s">
        <v>24</v>
      </c>
      <c r="D20" s="12" t="s">
        <v>427</v>
      </c>
      <c r="E20" s="65">
        <f>IF('Consumption Calculations'!C19/'Consumption Calculations'!C50&gt;=1, 1, 'Consumption Calculations'!C19/'Consumption Calculations'!C50)</f>
        <v>1</v>
      </c>
      <c r="F20" s="65">
        <f>1-E20</f>
        <v>0</v>
      </c>
      <c r="G20" s="29"/>
      <c r="H20" s="29"/>
    </row>
    <row r="21" spans="1:8" x14ac:dyDescent="0.25">
      <c r="A21" s="128" t="s">
        <v>37</v>
      </c>
      <c r="B21" s="12" t="s">
        <v>435</v>
      </c>
      <c r="C21" s="12" t="s">
        <v>25</v>
      </c>
      <c r="D21" s="12" t="s">
        <v>428</v>
      </c>
      <c r="E21" s="65">
        <f>IF('Consumption Calculations'!C20/'Consumption Calculations'!C51&gt;=1, 1, 'Consumption Calculations'!C20/'Consumption Calculations'!C51)</f>
        <v>1</v>
      </c>
      <c r="F21" s="65">
        <f>1-E21</f>
        <v>0</v>
      </c>
      <c r="G21" s="29"/>
      <c r="H21" s="29"/>
    </row>
    <row r="22" spans="1:8" x14ac:dyDescent="0.25">
      <c r="A22" s="128" t="s">
        <v>37</v>
      </c>
      <c r="B22" s="12" t="s">
        <v>435</v>
      </c>
      <c r="C22" s="12" t="s">
        <v>26</v>
      </c>
      <c r="D22" s="12" t="s">
        <v>429</v>
      </c>
      <c r="E22" s="65">
        <f>IF('Consumption Calculations'!C21/'Consumption Calculations'!C52&gt;=1, 1, 'Consumption Calculations'!C21/'Consumption Calculations'!C52)</f>
        <v>0.99031843912838846</v>
      </c>
      <c r="F22" s="65">
        <f>1-E22</f>
        <v>9.6815608716115387E-3</v>
      </c>
      <c r="G22" s="29"/>
      <c r="H22" s="29"/>
    </row>
    <row r="23" spans="1:8" x14ac:dyDescent="0.25">
      <c r="A23" s="129" t="s">
        <v>36</v>
      </c>
      <c r="B23" s="12" t="s">
        <v>436</v>
      </c>
      <c r="C23" s="12" t="s">
        <v>20</v>
      </c>
      <c r="D23" s="12" t="s">
        <v>423</v>
      </c>
      <c r="E23" s="65">
        <f>IF('Consumption Calculations'!C22/'Consumption Calculations'!C53&gt;=1, 1, 'Consumption Calculations'!C22/'Consumption Calculations'!C53)</f>
        <v>0.98730462008093378</v>
      </c>
      <c r="F23" s="65">
        <f>1-E23</f>
        <v>1.2695379919066219E-2</v>
      </c>
      <c r="G23" s="29"/>
      <c r="H23" s="29"/>
    </row>
    <row r="24" spans="1:8" x14ac:dyDescent="0.25">
      <c r="A24" s="129" t="s">
        <v>36</v>
      </c>
      <c r="B24" s="12" t="s">
        <v>436</v>
      </c>
      <c r="C24" s="12" t="s">
        <v>21</v>
      </c>
      <c r="D24" s="12" t="s">
        <v>424</v>
      </c>
      <c r="E24" s="65">
        <f>IF('Consumption Calculations'!C23/'Consumption Calculations'!C54&gt;=1, 1, 'Consumption Calculations'!C23/'Consumption Calculations'!C54)</f>
        <v>1</v>
      </c>
      <c r="F24" s="65">
        <f>1-E24</f>
        <v>0</v>
      </c>
      <c r="G24" s="29"/>
      <c r="H24" s="29"/>
    </row>
    <row r="25" spans="1:8" x14ac:dyDescent="0.25">
      <c r="A25" s="130" t="s">
        <v>29</v>
      </c>
      <c r="B25" s="12" t="s">
        <v>437</v>
      </c>
      <c r="C25" s="12" t="s">
        <v>7</v>
      </c>
      <c r="D25" s="12" t="s">
        <v>408</v>
      </c>
      <c r="E25" s="65">
        <f>IF('Consumption Calculations'!C24/'Consumption Calculations'!C55&gt;=1, 1, 'Consumption Calculations'!C24/'Consumption Calculations'!C55)</f>
        <v>1</v>
      </c>
      <c r="F25" s="65">
        <f>1-E25</f>
        <v>0</v>
      </c>
      <c r="G25" s="29"/>
      <c r="H25" s="29"/>
    </row>
    <row r="26" spans="1:8" x14ac:dyDescent="0.25">
      <c r="A26" s="131" t="s">
        <v>28</v>
      </c>
      <c r="B26" s="12" t="s">
        <v>438</v>
      </c>
      <c r="C26" s="12" t="s">
        <v>5</v>
      </c>
      <c r="D26" s="12" t="s">
        <v>406</v>
      </c>
      <c r="E26" s="65">
        <f>IF('Consumption Calculations'!C25/'Consumption Calculations'!C56&gt;=1, 1, 'Consumption Calculations'!C25/'Consumption Calculations'!C56)</f>
        <v>1</v>
      </c>
      <c r="F26" s="65">
        <f t="shared" si="0"/>
        <v>0</v>
      </c>
      <c r="G26" s="29"/>
      <c r="H26" s="29"/>
    </row>
    <row r="27" spans="1:8" x14ac:dyDescent="0.25">
      <c r="A27" s="131" t="s">
        <v>28</v>
      </c>
      <c r="B27" s="12" t="s">
        <v>438</v>
      </c>
      <c r="C27" s="12" t="s">
        <v>6</v>
      </c>
      <c r="D27" s="12" t="s">
        <v>407</v>
      </c>
      <c r="E27" s="65">
        <f>IF('Consumption Calculations'!C26/'Consumption Calculations'!C57&gt;=1, 1, 'Consumption Calculations'!C26/'Consumption Calculations'!C57)</f>
        <v>0.71452048457503836</v>
      </c>
      <c r="F27" s="65">
        <f t="shared" si="0"/>
        <v>0.28547951542496164</v>
      </c>
      <c r="G27" s="29"/>
      <c r="H27" s="29"/>
    </row>
    <row r="28" spans="1:8" x14ac:dyDescent="0.25">
      <c r="A28" s="131" t="s">
        <v>28</v>
      </c>
      <c r="B28" s="12" t="s">
        <v>438</v>
      </c>
      <c r="C28" s="12" t="s">
        <v>12</v>
      </c>
      <c r="D28" s="12" t="s">
        <v>415</v>
      </c>
      <c r="E28" s="65">
        <f>IF('Consumption Calculations'!C27/'Consumption Calculations'!C58&gt;=1, 1, 'Consumption Calculations'!C27/'Consumption Calculations'!C58)</f>
        <v>1</v>
      </c>
      <c r="F28" s="65">
        <f>1-E28</f>
        <v>0</v>
      </c>
      <c r="G28" s="29"/>
      <c r="H28" s="29"/>
    </row>
    <row r="29" spans="1:8" x14ac:dyDescent="0.25">
      <c r="A29" s="131" t="s">
        <v>28</v>
      </c>
      <c r="B29" s="12" t="s">
        <v>438</v>
      </c>
      <c r="C29" s="12" t="s">
        <v>19</v>
      </c>
      <c r="D29" s="12" t="s">
        <v>422</v>
      </c>
      <c r="E29" s="65">
        <f>IF('Consumption Calculations'!C28/'Consumption Calculations'!C59&gt;=1, 1, 'Consumption Calculations'!C28/'Consumption Calculations'!C59)</f>
        <v>1</v>
      </c>
      <c r="F29" s="65">
        <f t="shared" si="0"/>
        <v>0</v>
      </c>
      <c r="H29" s="29"/>
    </row>
    <row r="32" spans="1:8" s="145" customFormat="1" x14ac:dyDescent="0.25"/>
    <row r="33" spans="1:42" ht="31.5" x14ac:dyDescent="0.5">
      <c r="A33" s="144" t="s">
        <v>768</v>
      </c>
    </row>
    <row r="34" spans="1:42" x14ac:dyDescent="0.25">
      <c r="A34" s="134" t="s">
        <v>443</v>
      </c>
      <c r="B34" s="134"/>
      <c r="C34" s="134"/>
      <c r="D34" s="134"/>
      <c r="E34" s="134" t="s">
        <v>444</v>
      </c>
      <c r="F34" s="134"/>
      <c r="H34" s="56"/>
      <c r="I34" s="135" t="s">
        <v>445</v>
      </c>
      <c r="J34" s="135"/>
      <c r="K34" s="135"/>
      <c r="L34" s="135"/>
      <c r="M34" s="135"/>
      <c r="N34" s="135"/>
      <c r="O34" s="135"/>
      <c r="P34" s="12" t="s">
        <v>51</v>
      </c>
      <c r="Q34" s="134" t="s">
        <v>446</v>
      </c>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row>
    <row r="35" spans="1:42" x14ac:dyDescent="0.25">
      <c r="A35" s="12" t="s">
        <v>439</v>
      </c>
      <c r="B35" s="12" t="s">
        <v>442</v>
      </c>
      <c r="C35" s="12" t="s">
        <v>440</v>
      </c>
      <c r="D35" s="12" t="s">
        <v>441</v>
      </c>
      <c r="E35" s="12" t="s">
        <v>449</v>
      </c>
      <c r="F35" s="12" t="s">
        <v>448</v>
      </c>
      <c r="G35" s="29"/>
      <c r="H35" s="106"/>
      <c r="I35" s="1" t="s">
        <v>39</v>
      </c>
      <c r="J35" s="1" t="s">
        <v>40</v>
      </c>
      <c r="K35" s="1" t="s">
        <v>41</v>
      </c>
      <c r="L35" s="1" t="s">
        <v>42</v>
      </c>
      <c r="M35" s="1" t="s">
        <v>43</v>
      </c>
      <c r="N35" s="1" t="s">
        <v>44</v>
      </c>
      <c r="O35" s="1" t="s">
        <v>45</v>
      </c>
      <c r="P35" s="12" t="s">
        <v>51</v>
      </c>
      <c r="Q35" s="17" t="s">
        <v>3</v>
      </c>
      <c r="R35" s="17" t="s">
        <v>4</v>
      </c>
      <c r="S35" s="12" t="s">
        <v>8</v>
      </c>
      <c r="T35" s="12" t="s">
        <v>9</v>
      </c>
      <c r="U35" s="12" t="s">
        <v>31</v>
      </c>
      <c r="V35" s="12" t="s">
        <v>32</v>
      </c>
      <c r="W35" s="12" t="s">
        <v>10</v>
      </c>
      <c r="X35" s="12" t="s">
        <v>11</v>
      </c>
      <c r="Y35" s="12" t="s">
        <v>13</v>
      </c>
      <c r="Z35" s="12" t="s">
        <v>14</v>
      </c>
      <c r="AA35" s="12" t="s">
        <v>15</v>
      </c>
      <c r="AB35" s="12" t="s">
        <v>16</v>
      </c>
      <c r="AC35" s="12" t="s">
        <v>17</v>
      </c>
      <c r="AD35" s="12" t="s">
        <v>18</v>
      </c>
      <c r="AE35" s="12" t="s">
        <v>22</v>
      </c>
      <c r="AF35" s="12" t="s">
        <v>23</v>
      </c>
      <c r="AG35" s="12" t="s">
        <v>24</v>
      </c>
      <c r="AH35" s="12" t="s">
        <v>25</v>
      </c>
      <c r="AI35" s="12" t="s">
        <v>26</v>
      </c>
      <c r="AJ35" s="12" t="s">
        <v>20</v>
      </c>
      <c r="AK35" s="12" t="s">
        <v>21</v>
      </c>
      <c r="AL35" s="12" t="s">
        <v>7</v>
      </c>
      <c r="AM35" s="12" t="s">
        <v>5</v>
      </c>
      <c r="AN35" s="12" t="s">
        <v>6</v>
      </c>
      <c r="AO35" s="12" t="s">
        <v>12</v>
      </c>
      <c r="AP35" s="12" t="s">
        <v>19</v>
      </c>
    </row>
    <row r="36" spans="1:42" x14ac:dyDescent="0.25">
      <c r="A36" s="122" t="s">
        <v>27</v>
      </c>
      <c r="B36" s="12" t="s">
        <v>404</v>
      </c>
      <c r="C36" s="12" t="s">
        <v>3</v>
      </c>
      <c r="D36" s="12" t="s">
        <v>404</v>
      </c>
      <c r="E36" s="65">
        <f>IF(('Consumption Calculations'!C3-SUM('Consumption Calculations'!F3,'Consumption Calculations'!H3))/'Consumption Calculations'!C34&gt;1,1,('Consumption Calculations'!C3-SUM('Consumption Calculations'!F3,'Consumption Calculations'!H3))/'Consumption Calculations'!C34)</f>
        <v>1</v>
      </c>
      <c r="F36" s="65">
        <f t="shared" ref="F36:F61" si="1">1-E36</f>
        <v>0</v>
      </c>
      <c r="G36" s="29"/>
      <c r="H36" s="121" t="s">
        <v>27</v>
      </c>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spans="1:42" x14ac:dyDescent="0.25">
      <c r="A37" s="122" t="s">
        <v>27</v>
      </c>
      <c r="B37" s="12" t="s">
        <v>404</v>
      </c>
      <c r="C37" s="12" t="s">
        <v>4</v>
      </c>
      <c r="D37" s="12" t="s">
        <v>405</v>
      </c>
      <c r="E37" s="65">
        <f>IF(('Consumption Calculations'!C4-SUM('Consumption Calculations'!F4,'Consumption Calculations'!H4))/'Consumption Calculations'!C35&gt;1,1,('Consumption Calculations'!C4-SUM('Consumption Calculations'!F4,'Consumption Calculations'!H4))/'Consumption Calculations'!C35)</f>
        <v>1</v>
      </c>
      <c r="F37" s="65">
        <f t="shared" si="1"/>
        <v>0</v>
      </c>
      <c r="G37" s="29"/>
      <c r="H37" s="10" t="s">
        <v>8</v>
      </c>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spans="1:42" x14ac:dyDescent="0.25">
      <c r="A38" s="123" t="s">
        <v>8</v>
      </c>
      <c r="B38" s="12" t="s">
        <v>430</v>
      </c>
      <c r="C38" s="12" t="s">
        <v>8</v>
      </c>
      <c r="D38" s="12" t="s">
        <v>409</v>
      </c>
      <c r="E38" s="65">
        <f>IF(('Consumption Calculations'!C5-SUM('Consumption Calculations'!F5,'Consumption Calculations'!H5))/'Consumption Calculations'!C36&gt;1,1,('Consumption Calculations'!C5-SUM('Consumption Calculations'!F5,'Consumption Calculations'!H5))/'Consumption Calculations'!C36)</f>
        <v>0.96592897657566235</v>
      </c>
      <c r="F38" s="65">
        <f>1-E38</f>
        <v>3.4071023424337654E-2</v>
      </c>
      <c r="G38" s="29"/>
      <c r="H38" s="10" t="s">
        <v>30</v>
      </c>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spans="1:42" x14ac:dyDescent="0.25">
      <c r="A39" s="124" t="s">
        <v>30</v>
      </c>
      <c r="B39" s="12" t="s">
        <v>431</v>
      </c>
      <c r="C39" s="12" t="s">
        <v>9</v>
      </c>
      <c r="D39" s="12" t="s">
        <v>410</v>
      </c>
      <c r="E39" s="65">
        <f>IF(('Consumption Calculations'!C6-SUM('Consumption Calculations'!F6,'Consumption Calculations'!H6))/'Consumption Calculations'!C37&gt;1,1,('Consumption Calculations'!C6-SUM('Consumption Calculations'!F6,'Consumption Calculations'!H6))/'Consumption Calculations'!C37)</f>
        <v>1</v>
      </c>
      <c r="F39" s="65">
        <f>1-E39</f>
        <v>0</v>
      </c>
      <c r="G39" s="29"/>
      <c r="H39" s="10" t="s">
        <v>33</v>
      </c>
      <c r="I39" s="78"/>
      <c r="J39" s="78"/>
      <c r="K39" s="79">
        <v>8.5865357094436823E-2</v>
      </c>
      <c r="L39" s="79">
        <v>0.76826898452917158</v>
      </c>
      <c r="M39" s="78"/>
      <c r="N39" s="78"/>
      <c r="O39" s="78"/>
      <c r="P39" s="78"/>
      <c r="Q39" s="78"/>
      <c r="R39" s="78"/>
      <c r="S39" s="78"/>
      <c r="T39" s="78"/>
      <c r="U39" s="78"/>
      <c r="V39" s="78"/>
      <c r="W39" s="78">
        <v>0.14586565837639154</v>
      </c>
      <c r="X39" s="78"/>
      <c r="Y39" s="78"/>
      <c r="Z39" s="78"/>
      <c r="AA39" s="78"/>
      <c r="AB39" s="78"/>
      <c r="AC39" s="78"/>
      <c r="AD39" s="78"/>
      <c r="AE39" s="78"/>
      <c r="AF39" s="78"/>
      <c r="AG39" s="78"/>
      <c r="AH39" s="78"/>
      <c r="AI39" s="78"/>
      <c r="AJ39" s="78"/>
      <c r="AK39" s="78"/>
      <c r="AL39" s="78"/>
      <c r="AM39" s="78"/>
      <c r="AN39" s="78"/>
      <c r="AO39" s="78"/>
      <c r="AP39" s="78"/>
    </row>
    <row r="40" spans="1:42" x14ac:dyDescent="0.25">
      <c r="A40" s="124" t="s">
        <v>30</v>
      </c>
      <c r="B40" s="12" t="s">
        <v>431</v>
      </c>
      <c r="C40" s="12" t="s">
        <v>31</v>
      </c>
      <c r="D40" s="12" t="s">
        <v>411</v>
      </c>
      <c r="E40" s="65">
        <f>IF(('Consumption Calculations'!C7-SUM('Consumption Calculations'!F7,'Consumption Calculations'!H7))/'Consumption Calculations'!C38&gt;1,1,('Consumption Calculations'!C7-SUM('Consumption Calculations'!F7,'Consumption Calculations'!H7))/'Consumption Calculations'!C38)</f>
        <v>1</v>
      </c>
      <c r="F40" s="65">
        <f>1-E40</f>
        <v>0</v>
      </c>
      <c r="G40" s="29"/>
      <c r="H40" s="10" t="s">
        <v>35</v>
      </c>
      <c r="I40" s="78"/>
      <c r="J40" s="78"/>
      <c r="K40" s="78"/>
      <c r="L40" s="78"/>
      <c r="M40" s="78">
        <v>0.20315111005013126</v>
      </c>
      <c r="N40" s="78">
        <v>0.13607066125566961</v>
      </c>
      <c r="O40" s="78">
        <v>4.5356887085223195E-2</v>
      </c>
      <c r="P40" s="78"/>
      <c r="Q40" s="78"/>
      <c r="R40" s="78"/>
      <c r="S40" s="78"/>
      <c r="T40" s="78"/>
      <c r="U40" s="78"/>
      <c r="V40" s="78"/>
      <c r="W40" s="78"/>
      <c r="X40" s="78">
        <v>0.61542134160897588</v>
      </c>
      <c r="Y40" s="78"/>
      <c r="Z40" s="78"/>
      <c r="AA40" s="78"/>
      <c r="AB40" s="78"/>
      <c r="AC40" s="78"/>
      <c r="AD40" s="78"/>
      <c r="AE40" s="78"/>
      <c r="AF40" s="78"/>
      <c r="AG40" s="78"/>
      <c r="AH40" s="78"/>
      <c r="AI40" s="78"/>
      <c r="AJ40" s="78"/>
      <c r="AK40" s="78"/>
      <c r="AL40" s="78"/>
      <c r="AM40" s="78"/>
      <c r="AN40" s="78"/>
      <c r="AO40" s="78"/>
      <c r="AP40" s="78"/>
    </row>
    <row r="41" spans="1:42" x14ac:dyDescent="0.25">
      <c r="A41" s="125" t="s">
        <v>33</v>
      </c>
      <c r="B41" s="12" t="s">
        <v>432</v>
      </c>
      <c r="C41" s="12" t="s">
        <v>32</v>
      </c>
      <c r="D41" s="12" t="s">
        <v>412</v>
      </c>
      <c r="E41" s="65">
        <f>IF(('Consumption Calculations'!C8-SUM('Consumption Calculations'!F8,'Consumption Calculations'!H8))/'Consumption Calculations'!C39&gt;1,1,('Consumption Calculations'!C8-SUM('Consumption Calculations'!F8,'Consumption Calculations'!H8))/'Consumption Calculations'!C39)</f>
        <v>0.96847386627010246</v>
      </c>
      <c r="F41" s="65">
        <f>1-E41</f>
        <v>3.1526133729897543E-2</v>
      </c>
      <c r="G41" s="29"/>
      <c r="H41" s="10" t="s">
        <v>34</v>
      </c>
      <c r="I41" s="78"/>
      <c r="J41" s="78"/>
      <c r="K41" s="78"/>
      <c r="L41" s="78"/>
      <c r="M41" s="78"/>
      <c r="N41" s="78"/>
      <c r="O41" s="78"/>
      <c r="P41" s="78"/>
      <c r="Q41" s="78"/>
      <c r="R41" s="78"/>
      <c r="S41" s="78"/>
      <c r="T41" s="78"/>
      <c r="U41" s="78"/>
      <c r="V41" s="78"/>
      <c r="W41" s="78"/>
      <c r="X41" s="78"/>
      <c r="Y41" s="78"/>
      <c r="Z41" s="78"/>
      <c r="AA41" s="78"/>
      <c r="AB41" s="78">
        <v>0.60732193037919835</v>
      </c>
      <c r="AC41" s="78"/>
      <c r="AD41" s="78">
        <v>0.3926780696208016</v>
      </c>
      <c r="AE41" s="78"/>
      <c r="AF41" s="78"/>
      <c r="AG41" s="78"/>
      <c r="AH41" s="78"/>
      <c r="AI41" s="78"/>
      <c r="AJ41" s="78"/>
      <c r="AK41" s="78"/>
      <c r="AL41" s="78"/>
      <c r="AM41" s="78"/>
      <c r="AN41" s="78"/>
      <c r="AO41" s="78"/>
      <c r="AP41" s="78"/>
    </row>
    <row r="42" spans="1:42" x14ac:dyDescent="0.25">
      <c r="A42" s="125" t="s">
        <v>33</v>
      </c>
      <c r="B42" s="12" t="s">
        <v>432</v>
      </c>
      <c r="C42" s="12" t="s">
        <v>10</v>
      </c>
      <c r="D42" s="12" t="s">
        <v>413</v>
      </c>
      <c r="E42" s="65">
        <f>IF(('Consumption Calculations'!C9-SUM('Consumption Calculations'!F9,'Consumption Calculations'!H9))/'Consumption Calculations'!C40&gt;1,1,('Consumption Calculations'!C9-SUM('Consumption Calculations'!F9,'Consumption Calculations'!H9))/'Consumption Calculations'!C40)</f>
        <v>0.96492250678672542</v>
      </c>
      <c r="F42" s="65">
        <f>1-E42</f>
        <v>3.507749321327458E-2</v>
      </c>
      <c r="G42" s="29"/>
      <c r="H42" s="10" t="s">
        <v>37</v>
      </c>
      <c r="I42" s="78"/>
      <c r="J42" s="78"/>
      <c r="K42" s="78"/>
      <c r="L42" s="78"/>
      <c r="M42" s="78"/>
      <c r="N42" s="78"/>
      <c r="O42" s="78"/>
      <c r="P42" s="78"/>
      <c r="Q42" s="78"/>
      <c r="R42" s="78"/>
      <c r="S42" s="78"/>
      <c r="T42" s="78"/>
      <c r="U42" s="78"/>
      <c r="V42" s="78"/>
      <c r="W42" s="78"/>
      <c r="X42" s="78"/>
      <c r="Y42" s="78"/>
      <c r="Z42" s="78"/>
      <c r="AA42" s="78"/>
      <c r="AB42" s="78"/>
      <c r="AC42" s="78"/>
      <c r="AD42" s="78"/>
      <c r="AE42" s="78"/>
      <c r="AF42" s="146">
        <v>8.9315403162659637E-2</v>
      </c>
      <c r="AG42" s="78">
        <v>0.3538297352107333</v>
      </c>
      <c r="AH42" s="78">
        <v>0.43082829122587646</v>
      </c>
      <c r="AI42" s="78">
        <v>0.12602657040073065</v>
      </c>
      <c r="AJ42" s="78"/>
      <c r="AK42" s="78"/>
      <c r="AL42" s="78"/>
      <c r="AM42" s="78"/>
      <c r="AN42" s="78"/>
      <c r="AO42" s="78"/>
      <c r="AP42" s="78"/>
    </row>
    <row r="43" spans="1:42" x14ac:dyDescent="0.25">
      <c r="A43" s="126" t="s">
        <v>35</v>
      </c>
      <c r="B43" s="12" t="s">
        <v>433</v>
      </c>
      <c r="C43" s="12" t="s">
        <v>11</v>
      </c>
      <c r="D43" s="12" t="s">
        <v>414</v>
      </c>
      <c r="E43" s="65">
        <f>IF(('Consumption Calculations'!C10-SUM('Consumption Calculations'!F10,'Consumption Calculations'!H10))/'Consumption Calculations'!C41&gt;1,1,('Consumption Calculations'!C10-SUM('Consumption Calculations'!F10,'Consumption Calculations'!H10))/'Consumption Calculations'!C41)</f>
        <v>0.81065082642335184</v>
      </c>
      <c r="F43" s="65">
        <f>1-E43</f>
        <v>0.18934917357664816</v>
      </c>
      <c r="G43" s="29"/>
      <c r="H43" s="10" t="s">
        <v>36</v>
      </c>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9">
        <v>0.21255760676678848</v>
      </c>
      <c r="AK43" s="78">
        <v>0.78744239323321152</v>
      </c>
      <c r="AL43" s="78"/>
      <c r="AM43" s="78"/>
      <c r="AN43" s="78"/>
      <c r="AO43" s="78"/>
      <c r="AP43" s="78"/>
    </row>
    <row r="44" spans="1:42" x14ac:dyDescent="0.25">
      <c r="A44" s="126" t="s">
        <v>35</v>
      </c>
      <c r="B44" s="12" t="s">
        <v>433</v>
      </c>
      <c r="C44" s="12" t="s">
        <v>13</v>
      </c>
      <c r="D44" s="12" t="s">
        <v>416</v>
      </c>
      <c r="E44" s="65">
        <f>IF(('Consumption Calculations'!C11-SUM('Consumption Calculations'!F11,'Consumption Calculations'!H11))/'Consumption Calculations'!C42&gt;1,1,('Consumption Calculations'!C11-SUM('Consumption Calculations'!F11,'Consumption Calculations'!H11))/'Consumption Calculations'!C42)</f>
        <v>0.64950978302617068</v>
      </c>
      <c r="F44" s="65">
        <f>1-E44</f>
        <v>0.35049021697382932</v>
      </c>
      <c r="G44" s="29"/>
      <c r="H44" s="10" t="s">
        <v>29</v>
      </c>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spans="1:42" x14ac:dyDescent="0.25">
      <c r="A45" s="126" t="s">
        <v>35</v>
      </c>
      <c r="B45" s="12" t="s">
        <v>433</v>
      </c>
      <c r="C45" s="12" t="s">
        <v>14</v>
      </c>
      <c r="D45" s="12" t="s">
        <v>417</v>
      </c>
      <c r="E45" s="65">
        <f>IF(('Consumption Calculations'!C12-SUM('Consumption Calculations'!F12,'Consumption Calculations'!H12))/'Consumption Calculations'!C43&gt;1,1,('Consumption Calculations'!C12-SUM('Consumption Calculations'!F12,'Consumption Calculations'!H12))/'Consumption Calculations'!C43)</f>
        <v>0.85502609032650656</v>
      </c>
      <c r="F45" s="65">
        <f>1-E45</f>
        <v>0.14497390967349344</v>
      </c>
      <c r="G45" s="29"/>
      <c r="H45" s="10" t="s">
        <v>28</v>
      </c>
      <c r="I45" s="79">
        <v>7.1643781915529989E-2</v>
      </c>
      <c r="J45" s="79">
        <v>6.8408065635987602E-3</v>
      </c>
      <c r="K45" s="78"/>
      <c r="L45" s="78"/>
      <c r="M45" s="78"/>
      <c r="N45" s="78"/>
      <c r="O45" s="78"/>
      <c r="P45" s="78">
        <v>8.1225343592622439E-3</v>
      </c>
      <c r="Q45" s="78"/>
      <c r="R45" s="78"/>
      <c r="S45" s="78"/>
      <c r="T45" s="78"/>
      <c r="U45" s="78"/>
      <c r="V45" s="78"/>
      <c r="W45" s="78"/>
      <c r="X45" s="78"/>
      <c r="Y45" s="78"/>
      <c r="Z45" s="78"/>
      <c r="AA45" s="78"/>
      <c r="AB45" s="78"/>
      <c r="AC45" s="78"/>
      <c r="AD45" s="78"/>
      <c r="AE45" s="78"/>
      <c r="AF45" s="78"/>
      <c r="AG45" s="78"/>
      <c r="AH45" s="78"/>
      <c r="AI45" s="78"/>
      <c r="AJ45" s="78"/>
      <c r="AK45" s="78"/>
      <c r="AL45" s="78"/>
      <c r="AM45" s="79">
        <v>0.40769168913291703</v>
      </c>
      <c r="AN45" s="78">
        <v>8.0123124175672647E-2</v>
      </c>
      <c r="AO45" s="79">
        <v>0.34700798006680572</v>
      </c>
      <c r="AP45" s="79">
        <v>7.8570083786213565E-2</v>
      </c>
    </row>
    <row r="46" spans="1:42" x14ac:dyDescent="0.25">
      <c r="A46" s="126" t="s">
        <v>35</v>
      </c>
      <c r="B46" s="12" t="s">
        <v>433</v>
      </c>
      <c r="C46" s="12" t="s">
        <v>15</v>
      </c>
      <c r="D46" s="12" t="s">
        <v>418</v>
      </c>
      <c r="E46" s="65">
        <f>IF(('Consumption Calculations'!C13-SUM('Consumption Calculations'!F13,'Consumption Calculations'!H13))/'Consumption Calculations'!C44&gt;1,1,('Consumption Calculations'!C13-SUM('Consumption Calculations'!F13,'Consumption Calculations'!H13))/'Consumption Calculations'!C44)</f>
        <v>0.85502609032650656</v>
      </c>
      <c r="F46" s="65">
        <f>1-E46</f>
        <v>0.14497390967349344</v>
      </c>
      <c r="G46" s="29"/>
      <c r="H46" s="29"/>
    </row>
    <row r="47" spans="1:42" x14ac:dyDescent="0.25">
      <c r="A47" s="127" t="s">
        <v>34</v>
      </c>
      <c r="B47" s="12" t="s">
        <v>434</v>
      </c>
      <c r="C47" s="12" t="s">
        <v>16</v>
      </c>
      <c r="D47" s="12" t="s">
        <v>419</v>
      </c>
      <c r="E47" s="65">
        <f>IF(('Consumption Calculations'!C14-SUM('Consumption Calculations'!F14,'Consumption Calculations'!H14))/'Consumption Calculations'!C45&gt;1,1,('Consumption Calculations'!C14-SUM('Consumption Calculations'!F14,'Consumption Calculations'!H14))/'Consumption Calculations'!C45)</f>
        <v>0.62545853657604178</v>
      </c>
      <c r="F47" s="65">
        <f>1-E47</f>
        <v>0.37454146342395822</v>
      </c>
      <c r="G47" s="29"/>
      <c r="H47" s="29"/>
    </row>
    <row r="48" spans="1:42" x14ac:dyDescent="0.25">
      <c r="A48" s="127" t="s">
        <v>34</v>
      </c>
      <c r="B48" s="12" t="s">
        <v>434</v>
      </c>
      <c r="C48" s="12" t="s">
        <v>17</v>
      </c>
      <c r="D48" s="12" t="s">
        <v>420</v>
      </c>
      <c r="E48" s="65">
        <f>IF(('Consumption Calculations'!C15-SUM('Consumption Calculations'!F15,'Consumption Calculations'!H15))/'Consumption Calculations'!C46&gt;1,1,('Consumption Calculations'!C15-SUM('Consumption Calculations'!F15,'Consumption Calculations'!H15))/'Consumption Calculations'!C46)</f>
        <v>1</v>
      </c>
      <c r="F48" s="65">
        <f>1-E48</f>
        <v>0</v>
      </c>
      <c r="G48" s="29"/>
      <c r="H48" s="29"/>
    </row>
    <row r="49" spans="1:8" x14ac:dyDescent="0.25">
      <c r="A49" s="127" t="s">
        <v>34</v>
      </c>
      <c r="B49" s="12" t="s">
        <v>434</v>
      </c>
      <c r="C49" s="12" t="s">
        <v>18</v>
      </c>
      <c r="D49" s="12" t="s">
        <v>421</v>
      </c>
      <c r="E49" s="65">
        <f>IF(('Consumption Calculations'!C16-SUM('Consumption Calculations'!F16,'Consumption Calculations'!H16))/'Consumption Calculations'!C47&gt;1,1,('Consumption Calculations'!C16-SUM('Consumption Calculations'!F16,'Consumption Calculations'!H16))/'Consumption Calculations'!C47)</f>
        <v>0.86598480623981999</v>
      </c>
      <c r="F49" s="65">
        <f>1-E49</f>
        <v>0.13401519376018001</v>
      </c>
      <c r="G49" s="29"/>
      <c r="H49" s="29"/>
    </row>
    <row r="50" spans="1:8" x14ac:dyDescent="0.25">
      <c r="A50" s="128" t="s">
        <v>37</v>
      </c>
      <c r="B50" s="12" t="s">
        <v>435</v>
      </c>
      <c r="C50" s="12" t="s">
        <v>22</v>
      </c>
      <c r="D50" s="12" t="s">
        <v>425</v>
      </c>
      <c r="E50" s="65">
        <f>IF(('Consumption Calculations'!C17-SUM('Consumption Calculations'!F17,'Consumption Calculations'!H17))/'Consumption Calculations'!C48&gt;1,1,('Consumption Calculations'!C17-SUM('Consumption Calculations'!F17,'Consumption Calculations'!H17))/'Consumption Calculations'!C48)</f>
        <v>1</v>
      </c>
      <c r="F50" s="65">
        <f>1-E50</f>
        <v>0</v>
      </c>
      <c r="G50" s="29"/>
      <c r="H50" s="29"/>
    </row>
    <row r="51" spans="1:8" x14ac:dyDescent="0.25">
      <c r="A51" s="128" t="s">
        <v>37</v>
      </c>
      <c r="B51" s="12" t="s">
        <v>435</v>
      </c>
      <c r="C51" s="12" t="s">
        <v>23</v>
      </c>
      <c r="D51" s="12" t="s">
        <v>426</v>
      </c>
      <c r="E51" s="65">
        <f>IF(('Consumption Calculations'!C18-SUM('Consumption Calculations'!F18,'Consumption Calculations'!H18))/'Consumption Calculations'!C49&gt;1,1,('Consumption Calculations'!C18-SUM('Consumption Calculations'!F18,'Consumption Calculations'!H18))/'Consumption Calculations'!C49)</f>
        <v>0.97508272660566975</v>
      </c>
      <c r="F51" s="65">
        <f>1-E51</f>
        <v>2.4917273394330253E-2</v>
      </c>
      <c r="G51" s="29"/>
    </row>
    <row r="52" spans="1:8" x14ac:dyDescent="0.25">
      <c r="A52" s="128" t="s">
        <v>37</v>
      </c>
      <c r="B52" s="12" t="s">
        <v>435</v>
      </c>
      <c r="C52" s="12" t="s">
        <v>24</v>
      </c>
      <c r="D52" s="12" t="s">
        <v>427</v>
      </c>
      <c r="E52" s="65">
        <f>IF(('Consumption Calculations'!C19-SUM('Consumption Calculations'!F19,'Consumption Calculations'!H19))/'Consumption Calculations'!C50&gt;1,1,('Consumption Calculations'!C19-SUM('Consumption Calculations'!F19,'Consumption Calculations'!H19))/'Consumption Calculations'!C50)</f>
        <v>0.89617345903586043</v>
      </c>
      <c r="F52" s="65">
        <f>1-E52</f>
        <v>0.10382654096413957</v>
      </c>
      <c r="G52" s="29"/>
    </row>
    <row r="53" spans="1:8" x14ac:dyDescent="0.25">
      <c r="A53" s="128" t="s">
        <v>37</v>
      </c>
      <c r="B53" s="12" t="s">
        <v>435</v>
      </c>
      <c r="C53" s="12" t="s">
        <v>25</v>
      </c>
      <c r="D53" s="12" t="s">
        <v>428</v>
      </c>
      <c r="E53" s="65">
        <f>IF(('Consumption Calculations'!C20-SUM('Consumption Calculations'!F20,'Consumption Calculations'!H20))/'Consumption Calculations'!C51&gt;1,1,('Consumption Calculations'!C20-SUM('Consumption Calculations'!F20,'Consumption Calculations'!H20))/'Consumption Calculations'!C51)</f>
        <v>0.89744915464454067</v>
      </c>
      <c r="F53" s="65">
        <f>1-E53</f>
        <v>0.10255084535545933</v>
      </c>
      <c r="G53" s="29"/>
    </row>
    <row r="54" spans="1:8" x14ac:dyDescent="0.25">
      <c r="A54" s="128" t="s">
        <v>37</v>
      </c>
      <c r="B54" s="12" t="s">
        <v>435</v>
      </c>
      <c r="C54" s="12" t="s">
        <v>26</v>
      </c>
      <c r="D54" s="12" t="s">
        <v>429</v>
      </c>
      <c r="E54" s="65">
        <f>IF(('Consumption Calculations'!C21-SUM('Consumption Calculations'!F21,'Consumption Calculations'!H21))/'Consumption Calculations'!C52&gt;1,1,('Consumption Calculations'!C21-SUM('Consumption Calculations'!F21,'Consumption Calculations'!H21))/'Consumption Calculations'!C52)</f>
        <v>0.94885788948191241</v>
      </c>
      <c r="F54" s="65">
        <f>1-E54</f>
        <v>5.1142110518087591E-2</v>
      </c>
      <c r="G54" s="29"/>
    </row>
    <row r="55" spans="1:8" x14ac:dyDescent="0.25">
      <c r="A55" s="129" t="s">
        <v>36</v>
      </c>
      <c r="B55" s="12" t="s">
        <v>436</v>
      </c>
      <c r="C55" s="12" t="s">
        <v>20</v>
      </c>
      <c r="D55" s="12" t="s">
        <v>423</v>
      </c>
      <c r="E55" s="65">
        <f>IF(('Consumption Calculations'!C22-SUM('Consumption Calculations'!F22,'Consumption Calculations'!H22))/'Consumption Calculations'!C53&gt;1,1,('Consumption Calculations'!C22-SUM('Consumption Calculations'!F22,'Consumption Calculations'!H22))/'Consumption Calculations'!C53)</f>
        <v>0.95533012640969894</v>
      </c>
      <c r="F55" s="65">
        <f>1-E55</f>
        <v>4.4669873590301057E-2</v>
      </c>
      <c r="G55" s="29"/>
    </row>
    <row r="56" spans="1:8" x14ac:dyDescent="0.25">
      <c r="A56" s="129" t="s">
        <v>36</v>
      </c>
      <c r="B56" s="12" t="s">
        <v>436</v>
      </c>
      <c r="C56" s="12" t="s">
        <v>21</v>
      </c>
      <c r="D56" s="12" t="s">
        <v>424</v>
      </c>
      <c r="E56" s="65">
        <f>IF(('Consumption Calculations'!C23-SUM('Consumption Calculations'!F23,'Consumption Calculations'!H23))/'Consumption Calculations'!C54&gt;1,1,('Consumption Calculations'!C23-SUM('Consumption Calculations'!F23,'Consumption Calculations'!H23))/'Consumption Calculations'!C54)</f>
        <v>0.97434202659071101</v>
      </c>
      <c r="F56" s="65">
        <f>1-E56</f>
        <v>2.5657973409288992E-2</v>
      </c>
      <c r="G56" s="29"/>
    </row>
    <row r="57" spans="1:8" x14ac:dyDescent="0.25">
      <c r="A57" s="130" t="s">
        <v>29</v>
      </c>
      <c r="B57" s="12" t="s">
        <v>437</v>
      </c>
      <c r="C57" s="12" t="s">
        <v>7</v>
      </c>
      <c r="D57" s="12" t="s">
        <v>408</v>
      </c>
      <c r="E57" s="65">
        <f>IF(('Consumption Calculations'!C24-SUM('Consumption Calculations'!F24,'Consumption Calculations'!H24))/'Consumption Calculations'!C55&gt;1,1,('Consumption Calculations'!C24-SUM('Consumption Calculations'!F24,'Consumption Calculations'!H24))/'Consumption Calculations'!C55)</f>
        <v>1</v>
      </c>
      <c r="F57" s="65">
        <f>1-E57</f>
        <v>0</v>
      </c>
      <c r="G57" s="29"/>
    </row>
    <row r="58" spans="1:8" x14ac:dyDescent="0.25">
      <c r="A58" s="131" t="s">
        <v>28</v>
      </c>
      <c r="B58" s="12" t="s">
        <v>438</v>
      </c>
      <c r="C58" s="12" t="s">
        <v>5</v>
      </c>
      <c r="D58" s="12" t="s">
        <v>406</v>
      </c>
      <c r="E58" s="65">
        <f>IF(('Consumption Calculations'!C25-SUM('Consumption Calculations'!F25,'Consumption Calculations'!H25))/'Consumption Calculations'!C56&gt;1,1,('Consumption Calculations'!C25-SUM('Consumption Calculations'!F25,'Consumption Calculations'!H25))/'Consumption Calculations'!C56)</f>
        <v>0.71513495787020775</v>
      </c>
      <c r="F58" s="65">
        <f t="shared" si="1"/>
        <v>0.28486504212979225</v>
      </c>
      <c r="G58" s="29"/>
    </row>
    <row r="59" spans="1:8" x14ac:dyDescent="0.25">
      <c r="A59" s="131" t="s">
        <v>28</v>
      </c>
      <c r="B59" s="12" t="s">
        <v>438</v>
      </c>
      <c r="C59" s="12" t="s">
        <v>6</v>
      </c>
      <c r="D59" s="12" t="s">
        <v>407</v>
      </c>
      <c r="E59" s="65">
        <f>IF(('Consumption Calculations'!C26-SUM('Consumption Calculations'!F26,'Consumption Calculations'!H26))/'Consumption Calculations'!C57&gt;1,1,('Consumption Calculations'!C26-SUM('Consumption Calculations'!F26,'Consumption Calculations'!H26))/'Consumption Calculations'!C57)</f>
        <v>0.67347439436775514</v>
      </c>
      <c r="F59" s="65">
        <f t="shared" si="1"/>
        <v>0.32652560563224486</v>
      </c>
      <c r="G59" s="29"/>
    </row>
    <row r="60" spans="1:8" x14ac:dyDescent="0.25">
      <c r="A60" s="131" t="s">
        <v>28</v>
      </c>
      <c r="B60" s="12" t="s">
        <v>438</v>
      </c>
      <c r="C60" s="12" t="s">
        <v>12</v>
      </c>
      <c r="D60" s="12" t="s">
        <v>415</v>
      </c>
      <c r="E60" s="65">
        <f>IF(('Consumption Calculations'!C27-SUM('Consumption Calculations'!F27,'Consumption Calculations'!H27))/'Consumption Calculations'!C58&gt;1,1,('Consumption Calculations'!C27-SUM('Consumption Calculations'!F27,'Consumption Calculations'!H27))/'Consumption Calculations'!C58)</f>
        <v>0.986056039969748</v>
      </c>
      <c r="F60" s="65">
        <f>1-E60</f>
        <v>1.3943960030252001E-2</v>
      </c>
      <c r="G60" s="29"/>
    </row>
    <row r="61" spans="1:8" x14ac:dyDescent="0.25">
      <c r="A61" s="131" t="s">
        <v>28</v>
      </c>
      <c r="B61" s="12" t="s">
        <v>438</v>
      </c>
      <c r="C61" s="12" t="s">
        <v>19</v>
      </c>
      <c r="D61" s="12" t="s">
        <v>422</v>
      </c>
      <c r="E61" s="65">
        <f>IF(('Consumption Calculations'!C28-SUM('Consumption Calculations'!F28,'Consumption Calculations'!H28))/'Consumption Calculations'!C59&gt;1,1,('Consumption Calculations'!C28-SUM('Consumption Calculations'!F28,'Consumption Calculations'!H28))/'Consumption Calculations'!C59)</f>
        <v>0.96768358233492824</v>
      </c>
      <c r="F61" s="65">
        <f t="shared" si="1"/>
        <v>3.2316417665071762E-2</v>
      </c>
    </row>
    <row r="63" spans="1:8" x14ac:dyDescent="0.25">
      <c r="C63" s="4"/>
      <c r="D63" s="2"/>
    </row>
    <row r="64" spans="1:8" x14ac:dyDescent="0.25">
      <c r="C64" s="4"/>
      <c r="D64" s="2"/>
    </row>
    <row r="65" spans="3:4" x14ac:dyDescent="0.25">
      <c r="C65" s="4"/>
      <c r="D65" s="2"/>
    </row>
    <row r="66" spans="3:4" x14ac:dyDescent="0.25">
      <c r="C66" s="4"/>
      <c r="D66" s="2"/>
    </row>
    <row r="67" spans="3:4" x14ac:dyDescent="0.25">
      <c r="C67" s="4"/>
      <c r="D67" s="2"/>
    </row>
    <row r="68" spans="3:4" x14ac:dyDescent="0.25">
      <c r="C68" s="4"/>
      <c r="D68" s="2"/>
    </row>
    <row r="69" spans="3:4" x14ac:dyDescent="0.25">
      <c r="C69" s="4"/>
      <c r="D69" s="2"/>
    </row>
    <row r="70" spans="3:4" x14ac:dyDescent="0.25">
      <c r="C70" s="4"/>
      <c r="D70" s="2"/>
    </row>
    <row r="71" spans="3:4" x14ac:dyDescent="0.25">
      <c r="C71" s="4"/>
      <c r="D71" s="2"/>
    </row>
    <row r="72" spans="3:4" x14ac:dyDescent="0.25">
      <c r="C72" s="4"/>
      <c r="D72" s="2"/>
    </row>
    <row r="73" spans="3:4" x14ac:dyDescent="0.25">
      <c r="C73" s="4"/>
      <c r="D73" s="2"/>
    </row>
    <row r="74" spans="3:4" x14ac:dyDescent="0.25">
      <c r="C74" s="4"/>
      <c r="D74" s="2"/>
    </row>
    <row r="75" spans="3:4" x14ac:dyDescent="0.25">
      <c r="C75" s="4"/>
      <c r="D75" s="2"/>
    </row>
    <row r="76" spans="3:4" x14ac:dyDescent="0.25">
      <c r="C76" s="4"/>
      <c r="D76" s="2"/>
    </row>
    <row r="77" spans="3:4" x14ac:dyDescent="0.25">
      <c r="C77" s="4"/>
      <c r="D77" s="2"/>
    </row>
  </sheetData>
  <autoFilter ref="A3:F3"/>
  <sortState ref="A4:F66">
    <sortCondition ref="C1"/>
  </sortState>
  <mergeCells count="9">
    <mergeCell ref="A34:D34"/>
    <mergeCell ref="E34:F34"/>
    <mergeCell ref="I34:O34"/>
    <mergeCell ref="Q34:AP34"/>
    <mergeCell ref="A2:D2"/>
    <mergeCell ref="E2:F2"/>
    <mergeCell ref="I2:O2"/>
    <mergeCell ref="I1:AP1"/>
    <mergeCell ref="Q2:AP2"/>
  </mergeCells>
  <conditionalFormatting sqref="H14:H29 G3:G28">
    <cfRule type="colorScale" priority="4">
      <colorScale>
        <cfvo type="min"/>
        <cfvo type="max"/>
        <color rgb="FFFCFCFF"/>
        <color rgb="FFF8696B"/>
      </colorScale>
    </cfRule>
  </conditionalFormatting>
  <conditionalFormatting sqref="I4:AP13">
    <cfRule type="containsBlanks" dxfId="7" priority="3">
      <formula>LEN(TRIM(I4))=0</formula>
    </cfRule>
  </conditionalFormatting>
  <conditionalFormatting sqref="I36:AP41 I43:AP45 I42:AE42 AG42:AP42">
    <cfRule type="containsBlanks" dxfId="6" priority="1">
      <formula>LEN(TRIM(I36))=0</formula>
    </cfRule>
  </conditionalFormatting>
  <conditionalFormatting sqref="H46:H50 G35:G60">
    <cfRule type="colorScale" priority="11">
      <colorScale>
        <cfvo type="min"/>
        <cfvo type="max"/>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H49"/>
  <sheetViews>
    <sheetView workbookViewId="0">
      <selection activeCell="I41" sqref="I41"/>
    </sheetView>
  </sheetViews>
  <sheetFormatPr defaultRowHeight="15" x14ac:dyDescent="0.25"/>
  <cols>
    <col min="1" max="1" width="12.42578125" customWidth="1"/>
    <col min="2" max="2" width="12.5703125" bestFit="1" customWidth="1"/>
    <col min="4" max="4" width="12.7109375" bestFit="1" customWidth="1"/>
    <col min="5" max="5" width="12.5703125" bestFit="1" customWidth="1"/>
  </cols>
  <sheetData>
    <row r="1" spans="1:8" ht="31.5" x14ac:dyDescent="0.5">
      <c r="A1" s="144" t="s">
        <v>767</v>
      </c>
    </row>
    <row r="2" spans="1:8" x14ac:dyDescent="0.25">
      <c r="A2" s="61" t="s">
        <v>462</v>
      </c>
      <c r="B2" s="61"/>
    </row>
    <row r="3" spans="1:8" x14ac:dyDescent="0.25">
      <c r="A3" s="32"/>
      <c r="B3" s="60"/>
    </row>
    <row r="4" spans="1:8" x14ac:dyDescent="0.25">
      <c r="A4" s="69" t="s">
        <v>399</v>
      </c>
      <c r="B4" s="70">
        <f>SUM(IF('Consumption Calculations'!I8&lt;0, ABS('Consumption Calculations'!I8), 0), IF('Consumption Calculations'!I9&lt;0, ABS('Consumption Calculations'!I9), 0), (SUM('International Trading Data'!C5:C6)*1000))</f>
        <v>8606000</v>
      </c>
      <c r="C4" s="31"/>
      <c r="D4" s="69" t="s">
        <v>397</v>
      </c>
      <c r="E4" s="71">
        <f>SUM(IF('Consumption Calculations'!I17&lt;0, ABS('Consumption Calculations'!I17), 0), IF('Consumption Calculations'!I18&lt;0, ABS('Consumption Calculations'!I18), 0), IF('Consumption Calculations'!I19&lt;0, ABS('Consumption Calculations'!I19), 0), IF('Consumption Calculations'!I20&lt;0, ABS('Consumption Calculations'!I20), 0), IF('Consumption Calculations'!I21&lt;0, ABS('Consumption Calculations'!I21), 0))</f>
        <v>29041785</v>
      </c>
      <c r="G4" t="s">
        <v>463</v>
      </c>
    </row>
    <row r="5" spans="1:8" x14ac:dyDescent="0.25">
      <c r="A5" s="72" t="s">
        <v>32</v>
      </c>
      <c r="B5" s="73">
        <f>IF('Consumption Calculations'!I8&lt;0, ABS('Consumption Calculations'!I8), 0)/$B$4</f>
        <v>0</v>
      </c>
      <c r="C5" s="31"/>
      <c r="D5" s="17" t="s">
        <v>22</v>
      </c>
      <c r="E5" s="74">
        <f>IF('Consumption Calculations'!I17&lt;0, ABS('Consumption Calculations'!I17), 0)/$E$4</f>
        <v>0</v>
      </c>
      <c r="G5" s="64" t="s">
        <v>27</v>
      </c>
      <c r="H5" t="s">
        <v>464</v>
      </c>
    </row>
    <row r="6" spans="1:8" x14ac:dyDescent="0.25">
      <c r="A6" s="72" t="s">
        <v>10</v>
      </c>
      <c r="B6" s="73">
        <f>IF('Consumption Calculations'!I9&lt;0, ABS('Consumption Calculations'!I9), 0)/$B$4</f>
        <v>0</v>
      </c>
      <c r="C6" s="31"/>
      <c r="D6" s="17" t="s">
        <v>23</v>
      </c>
      <c r="E6" s="74">
        <f>IF('Consumption Calculations'!I18&lt;0, ABS('Consumption Calculations'!I18), 0)/$E$4</f>
        <v>0.13428262071356839</v>
      </c>
      <c r="G6" s="64" t="s">
        <v>30</v>
      </c>
      <c r="H6" t="s">
        <v>464</v>
      </c>
    </row>
    <row r="7" spans="1:8" x14ac:dyDescent="0.25">
      <c r="A7" s="72" t="s">
        <v>41</v>
      </c>
      <c r="B7" s="75">
        <f>'International Trading Data'!C5*1000/$B$4</f>
        <v>4.066930048803161E-3</v>
      </c>
      <c r="C7" s="31"/>
      <c r="D7" s="17" t="s">
        <v>24</v>
      </c>
      <c r="E7" s="74">
        <f>IF('Consumption Calculations'!I19&lt;0, ABS('Consumption Calculations'!I19), 0)/$E$4</f>
        <v>0.2311990809104881</v>
      </c>
      <c r="G7" s="64" t="s">
        <v>8</v>
      </c>
      <c r="H7" t="s">
        <v>465</v>
      </c>
    </row>
    <row r="8" spans="1:8" x14ac:dyDescent="0.25">
      <c r="A8" s="72" t="s">
        <v>42</v>
      </c>
      <c r="B8" s="75">
        <f>'International Trading Data'!C6*1000/$B$4</f>
        <v>0.99593306995119679</v>
      </c>
      <c r="C8" s="31"/>
      <c r="D8" s="17" t="s">
        <v>25</v>
      </c>
      <c r="E8" s="74">
        <f>IF('Consumption Calculations'!I20&lt;0, ABS('Consumption Calculations'!I20), 0)/$E$4</f>
        <v>0.63451829837594353</v>
      </c>
      <c r="G8" s="64" t="s">
        <v>29</v>
      </c>
      <c r="H8" t="s">
        <v>465</v>
      </c>
    </row>
    <row r="9" spans="1:8" x14ac:dyDescent="0.25">
      <c r="A9" s="31"/>
      <c r="B9" s="8"/>
      <c r="C9" s="31"/>
      <c r="D9" s="17" t="s">
        <v>26</v>
      </c>
      <c r="E9" s="74">
        <f>IF('Consumption Calculations'!I21&lt;0, ABS('Consumption Calculations'!I21), 0)/$E$4</f>
        <v>0</v>
      </c>
    </row>
    <row r="10" spans="1:8" x14ac:dyDescent="0.25">
      <c r="A10" s="69" t="s">
        <v>395</v>
      </c>
      <c r="B10" s="70">
        <f>SUM(IF('Consumption Calculations'!I10&lt;0, ABS('Consumption Calculations'!I10), 0), IF('Consumption Calculations'!I11&lt;0, ABS('Consumption Calculations'!I11), 0), IF('Consumption Calculations'!I12&lt;0, ABS('Consumption Calculations'!I12), 0),IF('Consumption Calculations'!I13&lt;0, ABS('Consumption Calculations'!I13), 0),(SUM('International Trading Data'!C7:C9)*1000))</f>
        <v>43044000</v>
      </c>
      <c r="C10" s="31"/>
      <c r="D10" s="31"/>
      <c r="E10" s="31"/>
    </row>
    <row r="11" spans="1:8" x14ac:dyDescent="0.25">
      <c r="A11" s="72" t="s">
        <v>11</v>
      </c>
      <c r="B11" s="73">
        <f>IF('Consumption Calculations'!I10&lt;0, ABS('Consumption Calculations'!I10), 0)/$B$10</f>
        <v>0</v>
      </c>
      <c r="C11" s="31"/>
      <c r="D11" s="69" t="s">
        <v>403</v>
      </c>
      <c r="E11" s="76">
        <f>SUM(IF('Consumption Calculations'!I22&lt;0, ABS('Consumption Calculations'!I22), 0), IF('Consumption Calculations'!I23&lt;0, ABS('Consumption Calculations'!I23), 0))</f>
        <v>2526882</v>
      </c>
    </row>
    <row r="12" spans="1:8" x14ac:dyDescent="0.25">
      <c r="A12" s="72" t="s">
        <v>13</v>
      </c>
      <c r="B12" s="73">
        <f>IF('Consumption Calculations'!I11&lt;0, ABS('Consumption Calculations'!I11), 0)/$B$10</f>
        <v>0</v>
      </c>
      <c r="C12" s="31"/>
      <c r="D12" s="17" t="s">
        <v>20</v>
      </c>
      <c r="E12" s="73">
        <f>IF('Consumption Calculations'!I22&lt;0, ABS('Consumption Calculations'!I22), 0)/$E$11</f>
        <v>0</v>
      </c>
    </row>
    <row r="13" spans="1:8" x14ac:dyDescent="0.25">
      <c r="A13" s="72" t="s">
        <v>14</v>
      </c>
      <c r="B13" s="73">
        <f>IF('Consumption Calculations'!I12&lt;0, ABS('Consumption Calculations'!I12), 0)/$B$10</f>
        <v>0</v>
      </c>
      <c r="C13" s="31"/>
      <c r="D13" s="17" t="s">
        <v>21</v>
      </c>
      <c r="E13" s="73">
        <f>IF('Consumption Calculations'!I23&lt;0, ABS('Consumption Calculations'!I23), 0)/$E$11</f>
        <v>1</v>
      </c>
    </row>
    <row r="14" spans="1:8" x14ac:dyDescent="0.25">
      <c r="A14" s="72" t="s">
        <v>15</v>
      </c>
      <c r="B14" s="73">
        <f>IF('Consumption Calculations'!I13&lt;0, ABS('Consumption Calculations'!I13), 0)/$B$10</f>
        <v>0</v>
      </c>
      <c r="C14" s="31"/>
      <c r="D14" s="31"/>
      <c r="E14" s="31"/>
    </row>
    <row r="15" spans="1:8" x14ac:dyDescent="0.25">
      <c r="A15" s="72" t="s">
        <v>43</v>
      </c>
      <c r="B15" s="73">
        <f>'International Trading Data'!C7*1000/$B$10</f>
        <v>0.40391227581079825</v>
      </c>
      <c r="C15" s="31"/>
      <c r="D15" s="69" t="s">
        <v>389</v>
      </c>
      <c r="E15" s="76">
        <f>SUM(IF('Consumption Calculations'!I25&lt;0, ABS('Consumption Calculations'!I25), 0), IF('Consumption Calculations'!I26&lt;0, ABS('Consumption Calculations'!I26), 0), IF('Consumption Calculations'!I27&lt;0, ABS('Consumption Calculations'!I27), 0),IF('Consumption Calculations'!I28&lt;0, ABS('Consumption Calculations'!I28), 0),'International Trading Data'!C3*1000,'International Trading Data'!C4*1000,'International Trading Data'!C17*0.5)</f>
        <v>80821740</v>
      </c>
    </row>
    <row r="16" spans="1:8" x14ac:dyDescent="0.25">
      <c r="A16" s="17" t="s">
        <v>44</v>
      </c>
      <c r="B16" s="73">
        <f>'International Trading Data'!C8*1000/$B$10</f>
        <v>0.54804386209460088</v>
      </c>
      <c r="C16" s="31"/>
      <c r="D16" s="17" t="s">
        <v>5</v>
      </c>
      <c r="E16" s="73">
        <f>IF('Consumption Calculations'!I25&lt;0, ABS('Consumption Calculations'!I25), 0)/$E$15</f>
        <v>0.28861313799975108</v>
      </c>
    </row>
    <row r="17" spans="1:8" x14ac:dyDescent="0.25">
      <c r="A17" s="17" t="s">
        <v>45</v>
      </c>
      <c r="B17" s="73">
        <f>'International Trading Data'!C9*1000/$B$10</f>
        <v>4.8043862094600875E-2</v>
      </c>
      <c r="C17" s="31"/>
      <c r="D17" s="17" t="s">
        <v>6</v>
      </c>
      <c r="E17" s="73">
        <f>IF('Consumption Calculations'!I26&lt;0, ABS('Consumption Calculations'!I26), 0)/$E$15</f>
        <v>0</v>
      </c>
    </row>
    <row r="18" spans="1:8" x14ac:dyDescent="0.25">
      <c r="A18" s="31"/>
      <c r="B18" s="31"/>
      <c r="C18" s="31"/>
      <c r="D18" s="17" t="s">
        <v>12</v>
      </c>
      <c r="E18" s="73">
        <f>IF('Consumption Calculations'!I27&lt;0, ABS('Consumption Calculations'!I27), 0)/$E$15</f>
        <v>0.51082351109986002</v>
      </c>
    </row>
    <row r="19" spans="1:8" x14ac:dyDescent="0.25">
      <c r="A19" s="9" t="s">
        <v>396</v>
      </c>
      <c r="B19" s="71">
        <f>SUM(IF('Consumption Calculations'!I14&lt;0, ABS('Consumption Calculations'!I14), 0), IF('Consumption Calculations'!I15&lt;0, ABS('Consumption Calculations'!I15), 0), IF('Consumption Calculations'!I16&lt;0, ABS('Consumption Calculations'!I16), 0))</f>
        <v>0</v>
      </c>
      <c r="C19" s="31"/>
      <c r="D19" s="17" t="s">
        <v>19</v>
      </c>
      <c r="E19" s="73">
        <f>IF('Consumption Calculations'!I28&lt;0, ABS('Consumption Calculations'!I28), 0)/$E$15</f>
        <v>9.6599986587767098E-2</v>
      </c>
    </row>
    <row r="20" spans="1:8" x14ac:dyDescent="0.25">
      <c r="A20" s="17" t="s">
        <v>16</v>
      </c>
      <c r="B20" s="74" t="e">
        <f>IF('Consumption Calculations'!I14&lt;0, ABS('Consumption Calculations'!I14), 0)/$B$19</f>
        <v>#DIV/0!</v>
      </c>
      <c r="C20" s="31"/>
      <c r="D20" s="10" t="s">
        <v>39</v>
      </c>
      <c r="E20" s="73">
        <f>'International Trading Data'!C3*1000/$E$15</f>
        <v>9.1497658921968275E-2</v>
      </c>
    </row>
    <row r="21" spans="1:8" x14ac:dyDescent="0.25">
      <c r="A21" s="17" t="s">
        <v>17</v>
      </c>
      <c r="B21" s="74" t="e">
        <f>IF('Consumption Calculations'!I15&lt;0, ABS('Consumption Calculations'!I15), 0)/$B$19</f>
        <v>#DIV/0!</v>
      </c>
      <c r="C21" s="31"/>
      <c r="D21" s="10" t="s">
        <v>40</v>
      </c>
      <c r="E21" s="73">
        <f>'International Trading Data'!C4*1000/$E$15</f>
        <v>6.4339124596921569E-4</v>
      </c>
    </row>
    <row r="22" spans="1:8" x14ac:dyDescent="0.25">
      <c r="A22" s="17" t="s">
        <v>18</v>
      </c>
      <c r="B22" s="74" t="e">
        <f>IF('Consumption Calculations'!I16&lt;0, ABS('Consumption Calculations'!I16), 0)/$B$19</f>
        <v>#DIV/0!</v>
      </c>
      <c r="C22" s="31"/>
      <c r="D22" s="10" t="s">
        <v>51</v>
      </c>
      <c r="E22" s="73">
        <f>'International Trading Data'!C17*0.5/E15</f>
        <v>1.1822314144684338E-2</v>
      </c>
    </row>
    <row r="23" spans="1:8" x14ac:dyDescent="0.25">
      <c r="D23" s="31"/>
      <c r="E23" s="31"/>
    </row>
    <row r="26" spans="1:8" s="145" customFormat="1" x14ac:dyDescent="0.25"/>
    <row r="27" spans="1:8" ht="31.5" x14ac:dyDescent="0.5">
      <c r="A27" s="144" t="s">
        <v>768</v>
      </c>
    </row>
    <row r="28" spans="1:8" x14ac:dyDescent="0.25">
      <c r="A28" s="61" t="s">
        <v>462</v>
      </c>
      <c r="B28" s="61"/>
    </row>
    <row r="29" spans="1:8" x14ac:dyDescent="0.25">
      <c r="A29" s="56"/>
      <c r="B29" s="60"/>
    </row>
    <row r="30" spans="1:8" x14ac:dyDescent="0.25">
      <c r="A30" s="69" t="s">
        <v>399</v>
      </c>
      <c r="B30" s="70">
        <f>SUM('Consumption Calculations'!F8,'Consumption Calculations'!F9,'Consumption Calculations'!H8,'Consumption Calculations'!H9,'Consumption Calculations'!S8:S9,'Consumption Calculations'!U8:U9)</f>
        <v>663830</v>
      </c>
      <c r="C30" s="31"/>
      <c r="D30" s="69" t="s">
        <v>397</v>
      </c>
      <c r="E30" s="71">
        <f>SUM('Consumption Calculations'!F17:F21,'Consumption Calculations'!H17:H21)</f>
        <v>95611806</v>
      </c>
      <c r="G30" t="s">
        <v>463</v>
      </c>
    </row>
    <row r="31" spans="1:8" x14ac:dyDescent="0.25">
      <c r="A31" s="72" t="s">
        <v>32</v>
      </c>
      <c r="B31" s="73">
        <f>SUM('Consumption Calculations'!F8,'Consumption Calculations'!H8)/'NERC SSP Contributions'!$B$30</f>
        <v>0</v>
      </c>
      <c r="C31" s="31"/>
      <c r="D31" s="17" t="s">
        <v>22</v>
      </c>
      <c r="E31" s="74">
        <f>SUM('Consumption Calculations'!F17,'Consumption Calculations'!H17)/$E$30</f>
        <v>0</v>
      </c>
      <c r="G31" s="64" t="s">
        <v>27</v>
      </c>
      <c r="H31" t="s">
        <v>464</v>
      </c>
    </row>
    <row r="32" spans="1:8" x14ac:dyDescent="0.25">
      <c r="A32" s="72" t="s">
        <v>10</v>
      </c>
      <c r="B32" s="73">
        <f>SUM('Consumption Calculations'!F9,'Consumption Calculations'!H9)/'NERC SSP Contributions'!$B$30</f>
        <v>0.14586565837639154</v>
      </c>
      <c r="C32" s="31"/>
      <c r="D32" s="17" t="s">
        <v>23</v>
      </c>
      <c r="E32" s="74">
        <f>SUM('Consumption Calculations'!F18,'Consumption Calculations'!H18)/$E$30</f>
        <v>8.9315403162659637E-2</v>
      </c>
      <c r="G32" s="64" t="s">
        <v>30</v>
      </c>
      <c r="H32" t="s">
        <v>464</v>
      </c>
    </row>
    <row r="33" spans="1:8" x14ac:dyDescent="0.25">
      <c r="A33" s="72" t="s">
        <v>41</v>
      </c>
      <c r="B33" s="73">
        <f>SUM('Consumption Calculations'!S8:S9)/B30</f>
        <v>8.5865357094436823E-2</v>
      </c>
      <c r="C33" s="31"/>
      <c r="D33" s="17" t="s">
        <v>24</v>
      </c>
      <c r="E33" s="74">
        <f>SUM('Consumption Calculations'!F19,'Consumption Calculations'!H19)/$E$30</f>
        <v>0.3538297352107333</v>
      </c>
      <c r="G33" s="64" t="s">
        <v>8</v>
      </c>
      <c r="H33" t="s">
        <v>465</v>
      </c>
    </row>
    <row r="34" spans="1:8" x14ac:dyDescent="0.25">
      <c r="A34" s="72" t="s">
        <v>42</v>
      </c>
      <c r="B34" s="75">
        <f>SUM('Consumption Calculations'!U8:U9)/B30</f>
        <v>0.76826898452917158</v>
      </c>
      <c r="C34" s="31"/>
      <c r="D34" s="17" t="s">
        <v>25</v>
      </c>
      <c r="E34" s="74">
        <f>SUM('Consumption Calculations'!F20,'Consumption Calculations'!H20)/$E$30</f>
        <v>0.43082829122587646</v>
      </c>
      <c r="G34" s="64" t="s">
        <v>29</v>
      </c>
      <c r="H34" t="s">
        <v>465</v>
      </c>
    </row>
    <row r="35" spans="1:8" x14ac:dyDescent="0.25">
      <c r="A35" s="31"/>
      <c r="B35" s="8"/>
      <c r="C35" s="31"/>
      <c r="D35" s="17" t="s">
        <v>26</v>
      </c>
      <c r="E35" s="74">
        <f>SUM('Consumption Calculations'!F21,'Consumption Calculations'!H21)/$E$30</f>
        <v>0.12602657040073065</v>
      </c>
    </row>
    <row r="36" spans="1:8" x14ac:dyDescent="0.25">
      <c r="A36" s="69" t="s">
        <v>395</v>
      </c>
      <c r="B36" s="70">
        <f>SUM('Consumption Calculations'!F10:F13,'Consumption Calculations'!H10:H13,'Consumption Calculations'!W10:W13,'Consumption Calculations'!Y10:Y13,'Consumption Calculations'!AA10:AA13)</f>
        <v>4189000</v>
      </c>
      <c r="C36" s="31"/>
      <c r="D36" s="31"/>
      <c r="E36" s="31"/>
    </row>
    <row r="37" spans="1:8" x14ac:dyDescent="0.25">
      <c r="A37" s="72" t="s">
        <v>11</v>
      </c>
      <c r="B37" s="73">
        <f>SUM('Consumption Calculations'!F10,'Consumption Calculations'!H10)/$B$36</f>
        <v>0.61542134160897588</v>
      </c>
      <c r="C37" s="31"/>
      <c r="D37" s="69" t="s">
        <v>403</v>
      </c>
      <c r="E37" s="76">
        <f>SUM('Consumption Calculations'!F22:F23,'Consumption Calculations'!H22:H23)</f>
        <v>8602722</v>
      </c>
    </row>
    <row r="38" spans="1:8" x14ac:dyDescent="0.25">
      <c r="A38" s="72" t="s">
        <v>13</v>
      </c>
      <c r="B38" s="73">
        <f>SUM('Consumption Calculations'!F11,'Consumption Calculations'!H11)/$B$36</f>
        <v>0</v>
      </c>
      <c r="C38" s="31"/>
      <c r="D38" s="17" t="s">
        <v>20</v>
      </c>
      <c r="E38" s="73">
        <f>SUM('Consumption Calculations'!F22,'Consumption Calculations'!H22)/$E$37</f>
        <v>0.21255760676678848</v>
      </c>
    </row>
    <row r="39" spans="1:8" x14ac:dyDescent="0.25">
      <c r="A39" s="72" t="s">
        <v>14</v>
      </c>
      <c r="B39" s="73">
        <f>SUM('Consumption Calculations'!F12,'Consumption Calculations'!H12)/$B$36</f>
        <v>0</v>
      </c>
      <c r="C39" s="31"/>
      <c r="D39" s="17" t="s">
        <v>21</v>
      </c>
      <c r="E39" s="73">
        <f>SUM('Consumption Calculations'!F23,'Consumption Calculations'!H23)/$E$37</f>
        <v>0.78744239323321152</v>
      </c>
    </row>
    <row r="40" spans="1:8" x14ac:dyDescent="0.25">
      <c r="A40" s="72" t="s">
        <v>15</v>
      </c>
      <c r="B40" s="73">
        <f>SUM('Consumption Calculations'!F13,'Consumption Calculations'!H13)/$B$36</f>
        <v>0</v>
      </c>
      <c r="C40" s="31"/>
      <c r="D40" s="31"/>
      <c r="E40" s="31"/>
    </row>
    <row r="41" spans="1:8" x14ac:dyDescent="0.25">
      <c r="A41" s="72" t="s">
        <v>43</v>
      </c>
      <c r="B41" s="73">
        <f>SUM('Consumption Calculations'!W10:W13)/B36</f>
        <v>0.20315111005013126</v>
      </c>
      <c r="C41" s="31"/>
      <c r="D41" s="69" t="s">
        <v>389</v>
      </c>
      <c r="E41" s="76">
        <f>SUM('Consumption Calculations'!F25:F28,'Consumption Calculations'!H25:H28,'Consumption Calculations'!O25:O28,'Consumption Calculations'!Q25:Q28,'Consumption Calculations'!AC25:AC28)</f>
        <v>135364155</v>
      </c>
    </row>
    <row r="42" spans="1:8" x14ac:dyDescent="0.25">
      <c r="A42" s="17" t="s">
        <v>44</v>
      </c>
      <c r="B42" s="73">
        <f>SUM('Consumption Calculations'!Y10:Y13)/B36</f>
        <v>0.13607066125566961</v>
      </c>
      <c r="C42" s="31"/>
      <c r="D42" s="17" t="s">
        <v>5</v>
      </c>
      <c r="E42" s="73">
        <f>SUM('Consumption Calculations'!F25,'Consumption Calculations'!H25)/$E$41</f>
        <v>0.40769168913291703</v>
      </c>
    </row>
    <row r="43" spans="1:8" x14ac:dyDescent="0.25">
      <c r="A43" s="17" t="s">
        <v>45</v>
      </c>
      <c r="B43" s="73">
        <f>SUM('Consumption Calculations'!AA10:AA13)/B36</f>
        <v>4.5356887085223195E-2</v>
      </c>
      <c r="C43" s="31"/>
      <c r="D43" s="17" t="s">
        <v>6</v>
      </c>
      <c r="E43" s="73">
        <f>SUM('Consumption Calculations'!F26,'Consumption Calculations'!H26)/$E$41</f>
        <v>8.0123124175672647E-2</v>
      </c>
    </row>
    <row r="44" spans="1:8" x14ac:dyDescent="0.25">
      <c r="A44" s="31"/>
      <c r="B44" s="31"/>
      <c r="C44" s="31"/>
      <c r="D44" s="17" t="s">
        <v>12</v>
      </c>
      <c r="E44" s="73">
        <f>SUM('Consumption Calculations'!F27,'Consumption Calculations'!H27)/$E$41</f>
        <v>0.34700798006680572</v>
      </c>
    </row>
    <row r="45" spans="1:8" x14ac:dyDescent="0.25">
      <c r="A45" s="9" t="s">
        <v>396</v>
      </c>
      <c r="B45" s="71">
        <f>SUM('Consumption Calculations'!F14:F16,'Consumption Calculations'!H14:H16)</f>
        <v>161442726</v>
      </c>
      <c r="C45" s="31"/>
      <c r="D45" s="17" t="s">
        <v>19</v>
      </c>
      <c r="E45" s="73">
        <f>SUM('Consumption Calculations'!F28,'Consumption Calculations'!H28)/$E$41</f>
        <v>7.8570083786213565E-2</v>
      </c>
    </row>
    <row r="46" spans="1:8" x14ac:dyDescent="0.25">
      <c r="A46" s="17" t="s">
        <v>16</v>
      </c>
      <c r="B46" s="74">
        <f>SUM('Consumption Calculations'!F14,'Consumption Calculations'!H14)/$B$45</f>
        <v>0.60732193037919835</v>
      </c>
      <c r="C46" s="31"/>
      <c r="D46" s="10" t="s">
        <v>39</v>
      </c>
      <c r="E46" s="73">
        <f>SUM('Consumption Calculations'!O25:O28)/$E$41</f>
        <v>7.1643781915529989E-2</v>
      </c>
    </row>
    <row r="47" spans="1:8" x14ac:dyDescent="0.25">
      <c r="A47" s="17" t="s">
        <v>17</v>
      </c>
      <c r="B47" s="74">
        <f>SUM('Consumption Calculations'!F15,'Consumption Calculations'!H15)/$B$45</f>
        <v>0</v>
      </c>
      <c r="C47" s="31"/>
      <c r="D47" s="10" t="s">
        <v>40</v>
      </c>
      <c r="E47" s="73">
        <f>SUM('Consumption Calculations'!Q25:Q28)/$E$41</f>
        <v>6.8408065635987602E-3</v>
      </c>
    </row>
    <row r="48" spans="1:8" x14ac:dyDescent="0.25">
      <c r="A48" s="17" t="s">
        <v>18</v>
      </c>
      <c r="B48" s="74">
        <f>SUM('Consumption Calculations'!F16,'Consumption Calculations'!H16)/$B$45</f>
        <v>0.3926780696208016</v>
      </c>
      <c r="C48" s="31"/>
      <c r="D48" s="10" t="s">
        <v>51</v>
      </c>
      <c r="E48" s="73">
        <f>SUM('Consumption Calculations'!AC25:AC28)/$E$41</f>
        <v>8.1225343592622439E-3</v>
      </c>
    </row>
    <row r="49" spans="4:5" x14ac:dyDescent="0.25">
      <c r="D49" s="31"/>
      <c r="E49"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L60"/>
  <sheetViews>
    <sheetView zoomScale="80" zoomScaleNormal="80" workbookViewId="0">
      <pane xSplit="2" ySplit="2" topLeftCell="C3" activePane="bottomRight" state="frozen"/>
      <selection activeCell="C22" sqref="C22"/>
      <selection pane="topRight" activeCell="C22" sqref="C22"/>
      <selection pane="bottomLeft" activeCell="C22" sqref="C22"/>
      <selection pane="bottomRight" activeCell="D38" sqref="D38"/>
    </sheetView>
  </sheetViews>
  <sheetFormatPr defaultRowHeight="15" x14ac:dyDescent="0.25"/>
  <cols>
    <col min="1" max="1" width="16.28515625" bestFit="1" customWidth="1"/>
    <col min="2" max="2" width="17.28515625" bestFit="1" customWidth="1"/>
    <col min="3" max="3" width="25.5703125" bestFit="1" customWidth="1"/>
    <col min="4" max="6" width="27.5703125" customWidth="1"/>
    <col min="7" max="7" width="30.42578125" customWidth="1"/>
    <col min="8" max="8" width="34.28515625" customWidth="1"/>
    <col min="9" max="9" width="26.140625" customWidth="1"/>
    <col min="10" max="10" width="8.28515625" customWidth="1"/>
    <col min="11" max="11" width="30.28515625" customWidth="1"/>
    <col min="12" max="12" width="9" customWidth="1"/>
    <col min="13" max="13" width="30.28515625" customWidth="1"/>
    <col min="14" max="14" width="14" customWidth="1"/>
    <col min="15" max="15" width="14.140625" customWidth="1"/>
    <col min="16" max="16" width="7.5703125" customWidth="1"/>
    <col min="17" max="17" width="8.5703125" customWidth="1"/>
    <col min="18" max="19" width="7.5703125" customWidth="1"/>
    <col min="20" max="20" width="10" customWidth="1"/>
    <col min="21" max="21" width="8.5703125" customWidth="1"/>
    <col min="22" max="22" width="11.42578125" customWidth="1"/>
    <col min="23" max="23" width="8.5703125" customWidth="1"/>
    <col min="24" max="24" width="11" customWidth="1"/>
    <col min="25" max="25" width="8.5703125" customWidth="1"/>
    <col min="26" max="26" width="11.140625" customWidth="1"/>
    <col min="27" max="27" width="10.28515625" customWidth="1"/>
    <col min="28" max="28" width="10" customWidth="1"/>
    <col min="29" max="29" width="10.85546875" customWidth="1"/>
    <col min="30" max="30" width="8.85546875" customWidth="1"/>
    <col min="31" max="31" width="15.140625" customWidth="1"/>
    <col min="32" max="32" width="13.28515625" customWidth="1"/>
    <col min="34" max="34" width="16.42578125" customWidth="1"/>
    <col min="35" max="35" width="14.28515625" customWidth="1"/>
    <col min="36" max="36" width="29" customWidth="1"/>
    <col min="37" max="37" width="29.85546875" customWidth="1"/>
    <col min="38" max="38" width="32.5703125" customWidth="1"/>
  </cols>
  <sheetData>
    <row r="1" spans="1:38" x14ac:dyDescent="0.25">
      <c r="A1" s="136" t="s">
        <v>46</v>
      </c>
      <c r="B1" s="136"/>
      <c r="C1" s="137" t="s">
        <v>360</v>
      </c>
      <c r="D1" s="137"/>
      <c r="E1" s="136" t="s">
        <v>362</v>
      </c>
      <c r="F1" s="136"/>
      <c r="G1" s="136" t="s">
        <v>361</v>
      </c>
      <c r="H1" s="136"/>
      <c r="I1" s="58" t="s">
        <v>393</v>
      </c>
      <c r="J1" s="106"/>
      <c r="K1" s="107" t="s">
        <v>726</v>
      </c>
      <c r="L1" s="106"/>
      <c r="M1" s="12"/>
      <c r="N1" s="136" t="s">
        <v>398</v>
      </c>
      <c r="O1" s="136"/>
      <c r="P1" s="136"/>
      <c r="Q1" s="136"/>
      <c r="R1" s="136"/>
      <c r="S1" s="136"/>
      <c r="T1" s="136"/>
      <c r="U1" s="136"/>
      <c r="V1" s="136"/>
      <c r="W1" s="136"/>
      <c r="X1" s="136"/>
      <c r="Y1" s="136"/>
      <c r="Z1" s="136"/>
      <c r="AA1" s="136"/>
      <c r="AB1" s="136" t="s">
        <v>51</v>
      </c>
      <c r="AC1" s="136"/>
    </row>
    <row r="2" spans="1:38" x14ac:dyDescent="0.25">
      <c r="A2" s="6" t="s">
        <v>2</v>
      </c>
      <c r="B2" s="6" t="s">
        <v>1</v>
      </c>
      <c r="C2" s="6" t="s">
        <v>358</v>
      </c>
      <c r="D2" s="6" t="s">
        <v>359</v>
      </c>
      <c r="E2" s="6" t="s">
        <v>48</v>
      </c>
      <c r="F2" s="6" t="s">
        <v>49</v>
      </c>
      <c r="G2" s="6" t="s">
        <v>364</v>
      </c>
      <c r="H2" s="6" t="s">
        <v>363</v>
      </c>
      <c r="I2" s="6" t="s">
        <v>394</v>
      </c>
      <c r="J2" s="106"/>
      <c r="K2" s="101" t="s">
        <v>392</v>
      </c>
      <c r="L2" s="106"/>
      <c r="M2" s="57" t="s">
        <v>722</v>
      </c>
      <c r="N2" s="3" t="s">
        <v>375</v>
      </c>
      <c r="O2" s="3" t="s">
        <v>376</v>
      </c>
      <c r="P2" s="3" t="s">
        <v>377</v>
      </c>
      <c r="Q2" s="3" t="s">
        <v>378</v>
      </c>
      <c r="R2" s="3" t="s">
        <v>379</v>
      </c>
      <c r="S2" s="3" t="s">
        <v>380</v>
      </c>
      <c r="T2" s="3" t="s">
        <v>381</v>
      </c>
      <c r="U2" s="3" t="s">
        <v>382</v>
      </c>
      <c r="V2" s="3" t="s">
        <v>383</v>
      </c>
      <c r="W2" s="3" t="s">
        <v>384</v>
      </c>
      <c r="X2" s="3" t="s">
        <v>385</v>
      </c>
      <c r="Y2" s="3" t="s">
        <v>386</v>
      </c>
      <c r="Z2" s="3" t="s">
        <v>387</v>
      </c>
      <c r="AA2" s="3" t="s">
        <v>388</v>
      </c>
      <c r="AB2" s="3" t="s">
        <v>390</v>
      </c>
      <c r="AC2" s="3" t="s">
        <v>391</v>
      </c>
      <c r="AD2" s="2"/>
      <c r="AG2" s="2"/>
    </row>
    <row r="3" spans="1:38" x14ac:dyDescent="0.25">
      <c r="A3" s="102" t="s">
        <v>27</v>
      </c>
      <c r="B3" s="102" t="s">
        <v>3</v>
      </c>
      <c r="C3" s="103">
        <v>4779334.2719999999</v>
      </c>
      <c r="D3" s="104">
        <f>C3/SUM(C3:C4)</f>
        <v>0.79060740457572454</v>
      </c>
      <c r="E3" s="103">
        <v>0</v>
      </c>
      <c r="F3" s="103">
        <v>0</v>
      </c>
      <c r="G3" s="103">
        <v>0</v>
      </c>
      <c r="H3" s="103">
        <v>0</v>
      </c>
      <c r="I3" s="103">
        <f t="shared" ref="I3:I28" si="0">E3+G3-F3-H3</f>
        <v>0</v>
      </c>
      <c r="J3" s="55" t="s">
        <v>723</v>
      </c>
      <c r="K3" s="103">
        <f t="shared" ref="K3:K28" si="1">(E3+G3+SUM(N3,P3,R3,T3,V3,X3,Z3,AB3))-(F3+H3+SUM(O3,Q3,S3,U3,W3,Y3,AA3,AC3))</f>
        <v>0</v>
      </c>
      <c r="L3" s="55" t="s">
        <v>724</v>
      </c>
      <c r="M3" s="105">
        <f>SUM(N3,P3,R3,T3,V3,X3,Z3,AB3)-SUM(O3,Q3,S3,U3,W3,Y3,AA3,AC3)</f>
        <v>0</v>
      </c>
      <c r="N3" s="103"/>
      <c r="O3" s="103"/>
      <c r="P3" s="103"/>
      <c r="Q3" s="103"/>
      <c r="R3" s="103"/>
      <c r="S3" s="103"/>
      <c r="T3" s="103"/>
      <c r="U3" s="103"/>
      <c r="V3" s="103"/>
      <c r="W3" s="103"/>
      <c r="X3" s="103"/>
      <c r="Y3" s="103"/>
      <c r="Z3" s="103"/>
      <c r="AA3" s="103"/>
      <c r="AB3" s="103"/>
      <c r="AC3" s="103"/>
      <c r="AD3" s="2"/>
      <c r="AG3" s="2"/>
    </row>
    <row r="4" spans="1:38" x14ac:dyDescent="0.25">
      <c r="A4" s="10" t="s">
        <v>27</v>
      </c>
      <c r="B4" s="10" t="s">
        <v>4</v>
      </c>
      <c r="C4" s="66">
        <v>1265808.0379999999</v>
      </c>
      <c r="D4" s="67">
        <f>C4/SUM(C3:C4)</f>
        <v>0.20939259542427546</v>
      </c>
      <c r="E4" s="66">
        <v>0</v>
      </c>
      <c r="F4" s="66">
        <v>0</v>
      </c>
      <c r="G4" s="66">
        <v>0</v>
      </c>
      <c r="H4" s="66">
        <v>0</v>
      </c>
      <c r="I4" s="66">
        <f t="shared" si="0"/>
        <v>0</v>
      </c>
      <c r="J4" s="55" t="s">
        <v>723</v>
      </c>
      <c r="K4" s="66">
        <f t="shared" si="1"/>
        <v>0</v>
      </c>
      <c r="L4" s="55" t="s">
        <v>724</v>
      </c>
      <c r="M4" s="24">
        <f t="shared" ref="M4:M29" si="2">SUM(N4,P4,R4,T4,V4,X4,Z4,AB4)-SUM(O4,Q4,S4,U4,W4,Y4,AA4,AC4)</f>
        <v>0</v>
      </c>
      <c r="N4" s="66"/>
      <c r="O4" s="66"/>
      <c r="P4" s="66"/>
      <c r="Q4" s="66"/>
      <c r="R4" s="66"/>
      <c r="S4" s="66"/>
      <c r="T4" s="66"/>
      <c r="U4" s="66"/>
      <c r="V4" s="66"/>
      <c r="W4" s="66"/>
      <c r="X4" s="66"/>
      <c r="Y4" s="66"/>
      <c r="Z4" s="66"/>
      <c r="AA4" s="66"/>
      <c r="AB4" s="66"/>
      <c r="AC4" s="66"/>
      <c r="AD4" s="2"/>
      <c r="AG4" s="2"/>
    </row>
    <row r="5" spans="1:38" s="2" customFormat="1" x14ac:dyDescent="0.25">
      <c r="A5" s="10" t="s">
        <v>8</v>
      </c>
      <c r="B5" s="10" t="s">
        <v>8</v>
      </c>
      <c r="C5" s="66">
        <v>218943919.41</v>
      </c>
      <c r="D5" s="67">
        <f>C5/C5</f>
        <v>1</v>
      </c>
      <c r="E5" s="66">
        <v>0</v>
      </c>
      <c r="F5" s="66">
        <v>0</v>
      </c>
      <c r="G5" s="66">
        <f>FRCC!H16+FRCC!H27+FRCC!H37</f>
        <v>7539388</v>
      </c>
      <c r="H5" s="66">
        <f>FRCC!I16+FRCC!I27+FRCC!I37</f>
        <v>5198848</v>
      </c>
      <c r="I5" s="66">
        <f t="shared" si="0"/>
        <v>2340540</v>
      </c>
      <c r="J5" s="55" t="s">
        <v>723</v>
      </c>
      <c r="K5" s="66">
        <f t="shared" si="1"/>
        <v>2340540</v>
      </c>
      <c r="L5" s="55" t="s">
        <v>724</v>
      </c>
      <c r="M5" s="24">
        <f t="shared" si="2"/>
        <v>0</v>
      </c>
      <c r="N5" s="66"/>
      <c r="O5" s="66"/>
      <c r="P5" s="66"/>
      <c r="Q5" s="66"/>
      <c r="R5" s="66"/>
      <c r="S5" s="66"/>
      <c r="T5" s="66"/>
      <c r="U5" s="66"/>
      <c r="V5" s="66"/>
      <c r="W5" s="66"/>
      <c r="X5" s="66"/>
      <c r="Y5" s="66"/>
      <c r="Z5" s="66"/>
      <c r="AA5" s="66"/>
      <c r="AB5" s="66"/>
      <c r="AC5" s="66"/>
      <c r="AK5"/>
      <c r="AL5"/>
    </row>
    <row r="6" spans="1:38" x14ac:dyDescent="0.25">
      <c r="A6" s="10" t="s">
        <v>30</v>
      </c>
      <c r="B6" s="10" t="s">
        <v>9</v>
      </c>
      <c r="C6" s="66">
        <v>2847999.5049999999</v>
      </c>
      <c r="D6" s="67">
        <f>C6/SUM(C6:C7)</f>
        <v>0.27910184896106777</v>
      </c>
      <c r="E6" s="66">
        <v>0</v>
      </c>
      <c r="F6" s="66">
        <v>0</v>
      </c>
      <c r="G6" s="66">
        <v>0</v>
      </c>
      <c r="H6" s="66">
        <v>0</v>
      </c>
      <c r="I6" s="66">
        <f t="shared" si="0"/>
        <v>0</v>
      </c>
      <c r="J6" s="55" t="s">
        <v>723</v>
      </c>
      <c r="K6" s="66">
        <f t="shared" si="1"/>
        <v>0</v>
      </c>
      <c r="L6" s="55" t="s">
        <v>724</v>
      </c>
      <c r="M6" s="24">
        <f t="shared" si="2"/>
        <v>0</v>
      </c>
      <c r="N6" s="66"/>
      <c r="O6" s="66"/>
      <c r="P6" s="66"/>
      <c r="Q6" s="66"/>
      <c r="R6" s="66"/>
      <c r="S6" s="66"/>
      <c r="T6" s="66"/>
      <c r="U6" s="66"/>
      <c r="V6" s="66"/>
      <c r="W6" s="66"/>
      <c r="X6" s="66"/>
      <c r="Y6" s="66"/>
      <c r="Z6" s="66"/>
      <c r="AA6" s="66"/>
      <c r="AB6" s="66"/>
      <c r="AC6" s="66"/>
      <c r="AD6" s="2"/>
      <c r="AG6" s="2"/>
    </row>
    <row r="7" spans="1:38" x14ac:dyDescent="0.25">
      <c r="A7" s="10" t="s">
        <v>30</v>
      </c>
      <c r="B7" s="10" t="s">
        <v>31</v>
      </c>
      <c r="C7" s="66">
        <v>7356158.9970000004</v>
      </c>
      <c r="D7" s="67">
        <f>C7/SUM(C6:C7)</f>
        <v>0.72089815103893218</v>
      </c>
      <c r="E7" s="66">
        <v>0</v>
      </c>
      <c r="F7" s="66">
        <v>0</v>
      </c>
      <c r="G7" s="66">
        <v>0</v>
      </c>
      <c r="H7" s="66">
        <v>0</v>
      </c>
      <c r="I7" s="66">
        <f t="shared" si="0"/>
        <v>0</v>
      </c>
      <c r="J7" s="55" t="s">
        <v>723</v>
      </c>
      <c r="K7" s="66">
        <f t="shared" si="1"/>
        <v>0</v>
      </c>
      <c r="L7" s="55" t="s">
        <v>724</v>
      </c>
      <c r="M7" s="24">
        <f t="shared" si="2"/>
        <v>0</v>
      </c>
      <c r="N7" s="66"/>
      <c r="O7" s="66"/>
      <c r="P7" s="66"/>
      <c r="Q7" s="66"/>
      <c r="R7" s="66"/>
      <c r="S7" s="66"/>
      <c r="T7" s="66"/>
      <c r="U7" s="66"/>
      <c r="V7" s="66"/>
      <c r="W7" s="66"/>
      <c r="X7" s="66"/>
      <c r="Y7" s="66"/>
      <c r="Z7" s="66"/>
      <c r="AA7" s="66"/>
      <c r="AB7" s="66"/>
      <c r="AC7" s="66"/>
      <c r="AD7" s="2"/>
      <c r="AG7" s="2"/>
    </row>
    <row r="8" spans="1:38" x14ac:dyDescent="0.25">
      <c r="A8" s="10" t="s">
        <v>33</v>
      </c>
      <c r="B8" s="68" t="s">
        <v>32</v>
      </c>
      <c r="C8" s="66">
        <v>33553503.241</v>
      </c>
      <c r="D8" s="67">
        <f>C8/SUM(C8:C9)</f>
        <v>0.13586845886221985</v>
      </c>
      <c r="E8" s="66">
        <v>0</v>
      </c>
      <c r="F8" s="66">
        <v>0</v>
      </c>
      <c r="G8" s="66">
        <v>0</v>
      </c>
      <c r="H8" s="66">
        <v>0</v>
      </c>
      <c r="I8" s="66">
        <f t="shared" si="0"/>
        <v>0</v>
      </c>
      <c r="J8" s="55" t="s">
        <v>723</v>
      </c>
      <c r="K8" s="66">
        <f t="shared" si="1"/>
        <v>1092246.5407933854</v>
      </c>
      <c r="L8" s="55" t="s">
        <v>724</v>
      </c>
      <c r="M8" s="24">
        <f t="shared" si="2"/>
        <v>1092246.5407933854</v>
      </c>
      <c r="N8" s="66"/>
      <c r="O8" s="66"/>
      <c r="P8" s="66"/>
      <c r="Q8" s="66"/>
      <c r="R8" s="66">
        <f>D8*'International Trading Data'!C5*1000</f>
        <v>4755.3960601776953</v>
      </c>
      <c r="S8" s="66">
        <f>D8*'International Trading Data'!D5*1000</f>
        <v>7744.5021551465306</v>
      </c>
      <c r="T8" s="66">
        <f>D8*'International Trading Data'!C6*1000</f>
        <v>1164528.5609080864</v>
      </c>
      <c r="U8" s="66">
        <f>D8*'International Trading Data'!D6*1000</f>
        <v>69292.914019732125</v>
      </c>
      <c r="V8" s="66"/>
      <c r="W8" s="66"/>
      <c r="X8" s="66"/>
      <c r="Y8" s="66"/>
      <c r="Z8" s="66"/>
      <c r="AA8" s="66"/>
      <c r="AB8" s="66"/>
      <c r="AC8" s="66"/>
      <c r="AD8" s="2"/>
      <c r="AG8" s="2"/>
    </row>
    <row r="9" spans="1:38" x14ac:dyDescent="0.25">
      <c r="A9" s="10" t="s">
        <v>33</v>
      </c>
      <c r="B9" s="10" t="s">
        <v>10</v>
      </c>
      <c r="C9" s="66">
        <v>213402291.51800001</v>
      </c>
      <c r="D9" s="67">
        <f>C9/SUM(C8:C9)</f>
        <v>0.86413154113778012</v>
      </c>
      <c r="E9" s="66">
        <v>0</v>
      </c>
      <c r="F9" s="66">
        <v>0</v>
      </c>
      <c r="G9" s="66">
        <f>MRO!H3+MRO!H6</f>
        <v>807466</v>
      </c>
      <c r="H9" s="66">
        <f>MRO!I3+MRO!I6</f>
        <v>96830</v>
      </c>
      <c r="I9" s="66">
        <f t="shared" si="0"/>
        <v>710636</v>
      </c>
      <c r="J9" s="55" t="s">
        <v>723</v>
      </c>
      <c r="K9" s="66">
        <f t="shared" si="1"/>
        <v>7657389.4592066137</v>
      </c>
      <c r="L9" s="55" t="s">
        <v>724</v>
      </c>
      <c r="M9" s="24">
        <f t="shared" si="2"/>
        <v>6946753.4592066137</v>
      </c>
      <c r="N9" s="66"/>
      <c r="O9" s="66"/>
      <c r="P9" s="66"/>
      <c r="Q9" s="66"/>
      <c r="R9" s="66">
        <f>D9*'International Trading Data'!C5*1000</f>
        <v>30244.603939822304</v>
      </c>
      <c r="S9" s="66">
        <f>D9*'International Trading Data'!D5*1000</f>
        <v>49255.497844853468</v>
      </c>
      <c r="T9" s="66">
        <f>D9*'International Trading Data'!C6*1000</f>
        <v>7406471.4390919134</v>
      </c>
      <c r="U9" s="66">
        <f>D9*'International Trading Data'!D6*1000</f>
        <v>440707.0859802679</v>
      </c>
      <c r="V9" s="66"/>
      <c r="W9" s="66"/>
      <c r="X9" s="66"/>
      <c r="Y9" s="66"/>
      <c r="Z9" s="66"/>
      <c r="AA9" s="66"/>
      <c r="AB9" s="66"/>
      <c r="AC9" s="66"/>
      <c r="AD9" s="2"/>
      <c r="AG9" s="2"/>
    </row>
    <row r="10" spans="1:38" x14ac:dyDescent="0.25">
      <c r="A10" s="10" t="s">
        <v>35</v>
      </c>
      <c r="B10" s="10" t="s">
        <v>11</v>
      </c>
      <c r="C10" s="66">
        <v>110714833.352</v>
      </c>
      <c r="D10" s="67">
        <f>C10/SUM(C10:C13)</f>
        <v>0.45307480775475428</v>
      </c>
      <c r="E10" s="66">
        <f>NPCC!H5</f>
        <v>6486000</v>
      </c>
      <c r="F10" s="66">
        <f>NPCC!I5</f>
        <v>2578000</v>
      </c>
      <c r="G10" s="66">
        <v>0</v>
      </c>
      <c r="H10" s="66">
        <v>0</v>
      </c>
      <c r="I10" s="66">
        <f t="shared" si="0"/>
        <v>3908000</v>
      </c>
      <c r="J10" s="55" t="s">
        <v>723</v>
      </c>
      <c r="K10" s="66">
        <f t="shared" si="1"/>
        <v>22680248.509702735</v>
      </c>
      <c r="L10" s="55" t="s">
        <v>724</v>
      </c>
      <c r="M10" s="24">
        <f t="shared" si="2"/>
        <v>18772248.509702735</v>
      </c>
      <c r="N10" s="66"/>
      <c r="O10" s="66"/>
      <c r="P10" s="66"/>
      <c r="Q10" s="66"/>
      <c r="R10" s="66"/>
      <c r="S10" s="66"/>
      <c r="T10" s="66"/>
      <c r="U10" s="66"/>
      <c r="V10" s="66">
        <f>D10*'International Trading Data'!C7*1000</f>
        <v>7877158.6076241583</v>
      </c>
      <c r="W10" s="66">
        <f>D10*'International Trading Data'!D7*1000</f>
        <v>385566.66139929584</v>
      </c>
      <c r="X10" s="66">
        <f>D10*'International Trading Data'!C8*1000</f>
        <v>10688034.714934655</v>
      </c>
      <c r="Y10" s="66">
        <f>D10*'International Trading Data'!D8*1000</f>
        <v>258252.64042020997</v>
      </c>
      <c r="Z10" s="66">
        <f>D10*'International Trading Data'!C9*1000</f>
        <v>936958.7024368319</v>
      </c>
      <c r="AA10" s="66">
        <f>D10*'International Trading Data'!D9*1000</f>
        <v>86084.213473403302</v>
      </c>
      <c r="AB10" s="66"/>
      <c r="AC10" s="66"/>
      <c r="AD10" s="2"/>
      <c r="AG10" s="2"/>
    </row>
    <row r="11" spans="1:38" x14ac:dyDescent="0.25">
      <c r="A11" s="10" t="s">
        <v>35</v>
      </c>
      <c r="B11" s="10" t="s">
        <v>13</v>
      </c>
      <c r="C11" s="66">
        <v>38179567.137000002</v>
      </c>
      <c r="D11" s="67">
        <f>C11/SUM(C10:C13)</f>
        <v>0.1562410339882748</v>
      </c>
      <c r="E11" s="66">
        <f>NPCC!$H$6</f>
        <v>5406771</v>
      </c>
      <c r="F11" s="66">
        <v>0</v>
      </c>
      <c r="G11" s="66">
        <f>NPCC!I8</f>
        <v>8722255</v>
      </c>
      <c r="H11" s="66">
        <v>0</v>
      </c>
      <c r="I11" s="66">
        <f t="shared" si="0"/>
        <v>14129026</v>
      </c>
      <c r="J11" s="55" t="s">
        <v>723</v>
      </c>
      <c r="K11" s="66">
        <f t="shared" si="1"/>
        <v>20602560.761236187</v>
      </c>
      <c r="L11" s="55" t="s">
        <v>724</v>
      </c>
      <c r="M11" s="24">
        <f t="shared" si="2"/>
        <v>6473534.7612361899</v>
      </c>
      <c r="N11" s="66"/>
      <c r="O11" s="66"/>
      <c r="P11" s="66"/>
      <c r="Q11" s="66"/>
      <c r="R11" s="66"/>
      <c r="S11" s="66"/>
      <c r="T11" s="66"/>
      <c r="U11" s="66"/>
      <c r="V11" s="66">
        <f>D11*'International Trading Data'!C7*1000</f>
        <v>2716406.6169201457</v>
      </c>
      <c r="W11" s="66">
        <f>D11*'International Trading Data'!D7*1000</f>
        <v>132961.11992402186</v>
      </c>
      <c r="X11" s="66">
        <f>D11*'International Trading Data'!C8*1000</f>
        <v>3685725.9917834024</v>
      </c>
      <c r="Y11" s="66">
        <f>D11*'International Trading Data'!D8*1000</f>
        <v>89057.389373316633</v>
      </c>
      <c r="Z11" s="66">
        <f>D11*'International Trading Data'!C9*1000</f>
        <v>323106.45828775229</v>
      </c>
      <c r="AA11" s="66">
        <f>D11*'International Trading Data'!D9*1000</f>
        <v>29685.796457772212</v>
      </c>
      <c r="AB11" s="66"/>
      <c r="AC11" s="66"/>
      <c r="AD11" s="2"/>
      <c r="AG11" s="2"/>
    </row>
    <row r="12" spans="1:38" x14ac:dyDescent="0.25">
      <c r="A12" s="10" t="s">
        <v>35</v>
      </c>
      <c r="B12" s="10" t="s">
        <v>14</v>
      </c>
      <c r="C12" s="66">
        <v>11295155.265000001</v>
      </c>
      <c r="D12" s="67">
        <f>C12/SUM(C10:C13)</f>
        <v>4.6222806333271971E-2</v>
      </c>
      <c r="E12" s="66">
        <v>0</v>
      </c>
      <c r="F12" s="66">
        <v>0</v>
      </c>
      <c r="G12" s="66">
        <v>0</v>
      </c>
      <c r="H12" s="66">
        <v>0</v>
      </c>
      <c r="I12" s="66">
        <f t="shared" si="0"/>
        <v>0</v>
      </c>
      <c r="J12" s="55" t="s">
        <v>723</v>
      </c>
      <c r="K12" s="66">
        <f t="shared" si="1"/>
        <v>1915149.5348064576</v>
      </c>
      <c r="L12" s="55" t="s">
        <v>724</v>
      </c>
      <c r="M12" s="24">
        <f t="shared" si="2"/>
        <v>1915149.5348064576</v>
      </c>
      <c r="N12" s="66"/>
      <c r="O12" s="66"/>
      <c r="P12" s="66"/>
      <c r="Q12" s="66"/>
      <c r="R12" s="66"/>
      <c r="S12" s="66"/>
      <c r="T12" s="66"/>
      <c r="U12" s="66"/>
      <c r="V12" s="66">
        <f>D12*'International Trading Data'!C7*1000</f>
        <v>803629.7109102665</v>
      </c>
      <c r="W12" s="66">
        <f>D12*'International Trading Data'!D7*1000</f>
        <v>39335.608189614446</v>
      </c>
      <c r="X12" s="66">
        <f>D12*'International Trading Data'!C8*1000</f>
        <v>1090396.0014018859</v>
      </c>
      <c r="Y12" s="66">
        <f>D12*'International Trading Data'!D8*1000</f>
        <v>26346.999609965023</v>
      </c>
      <c r="Z12" s="66">
        <f>D12*'International Trading Data'!C9*1000</f>
        <v>95588.763497206426</v>
      </c>
      <c r="AA12" s="66">
        <f>D12*'International Trading Data'!D9*1000</f>
        <v>8782.3332033216739</v>
      </c>
      <c r="AB12" s="66"/>
      <c r="AC12" s="66"/>
      <c r="AD12" s="2"/>
      <c r="AG12" s="2"/>
    </row>
    <row r="13" spans="1:38" x14ac:dyDescent="0.25">
      <c r="A13" s="10" t="s">
        <v>35</v>
      </c>
      <c r="B13" s="10" t="s">
        <v>15</v>
      </c>
      <c r="C13" s="66">
        <v>84173696.091000006</v>
      </c>
      <c r="D13" s="67">
        <f>C13/SUM(C10:C13)</f>
        <v>0.34446135192369887</v>
      </c>
      <c r="E13" s="66">
        <v>0</v>
      </c>
      <c r="F13" s="66">
        <v>0</v>
      </c>
      <c r="G13" s="66">
        <v>0</v>
      </c>
      <c r="H13" s="66">
        <v>0</v>
      </c>
      <c r="I13" s="66">
        <f t="shared" si="0"/>
        <v>0</v>
      </c>
      <c r="J13" s="55" t="s">
        <v>723</v>
      </c>
      <c r="K13" s="66">
        <f t="shared" si="1"/>
        <v>14272067.194254614</v>
      </c>
      <c r="L13" s="55" t="s">
        <v>724</v>
      </c>
      <c r="M13" s="24">
        <f t="shared" si="2"/>
        <v>14272067.194254614</v>
      </c>
      <c r="N13" s="66"/>
      <c r="O13" s="66"/>
      <c r="P13" s="66"/>
      <c r="Q13" s="66"/>
      <c r="R13" s="66"/>
      <c r="S13" s="66"/>
      <c r="T13" s="66"/>
      <c r="U13" s="66"/>
      <c r="V13" s="66">
        <f>D13*'International Trading Data'!C7*1000</f>
        <v>5988805.0645454284</v>
      </c>
      <c r="W13" s="66">
        <f>D13*'International Trading Data'!D7*1000</f>
        <v>293136.61048706772</v>
      </c>
      <c r="X13" s="66">
        <f>D13*'International Trading Data'!C8*1000</f>
        <v>8125843.2918800563</v>
      </c>
      <c r="Y13" s="66">
        <f>D13*'International Trading Data'!D8*1000</f>
        <v>196342.97059650836</v>
      </c>
      <c r="Z13" s="66">
        <f>D13*'International Trading Data'!C9*1000</f>
        <v>712346.07577820926</v>
      </c>
      <c r="AA13" s="66">
        <f>D13*'International Trading Data'!D9*1000</f>
        <v>65447.65686550278</v>
      </c>
      <c r="AB13" s="66"/>
      <c r="AC13" s="66"/>
      <c r="AD13" s="2"/>
      <c r="AG13" s="2"/>
    </row>
    <row r="14" spans="1:38" x14ac:dyDescent="0.25">
      <c r="A14" s="10" t="s">
        <v>34</v>
      </c>
      <c r="B14" s="10" t="s">
        <v>16</v>
      </c>
      <c r="C14" s="66">
        <v>271173456.83600003</v>
      </c>
      <c r="D14" s="67">
        <f>C14/SUM(C14:C16)</f>
        <v>0.3087752591344286</v>
      </c>
      <c r="E14" s="66">
        <f>RFC!H8+RFC!H12</f>
        <v>64497667</v>
      </c>
      <c r="F14" s="66">
        <f>RFC!I8+RFC!I12</f>
        <v>65204157</v>
      </c>
      <c r="G14" s="66">
        <f>SUM(RFC!H5,RFC!H6,RFC!H7,RFC!H9,RFC!H10,RFC!H11)</f>
        <v>39174707</v>
      </c>
      <c r="H14" s="66">
        <f>SUM(RFC!I5,RFC!I6,RFC!I7,RFC!I9,RFC!I10,RFC!I11)</f>
        <v>32843551</v>
      </c>
      <c r="I14" s="66">
        <f t="shared" si="0"/>
        <v>5624666</v>
      </c>
      <c r="J14" s="55" t="s">
        <v>723</v>
      </c>
      <c r="K14" s="66">
        <f t="shared" si="1"/>
        <v>5624666</v>
      </c>
      <c r="L14" s="55" t="s">
        <v>724</v>
      </c>
      <c r="M14" s="24">
        <f t="shared" si="2"/>
        <v>0</v>
      </c>
      <c r="N14" s="66"/>
      <c r="O14" s="66"/>
      <c r="P14" s="66"/>
      <c r="Q14" s="66"/>
      <c r="R14" s="66"/>
      <c r="S14" s="66"/>
      <c r="T14" s="66"/>
      <c r="U14" s="66"/>
      <c r="V14" s="66"/>
      <c r="W14" s="66"/>
      <c r="X14" s="66"/>
      <c r="Y14" s="66"/>
      <c r="Z14" s="66"/>
      <c r="AA14" s="66"/>
      <c r="AB14" s="66"/>
      <c r="AC14" s="66"/>
      <c r="AD14" s="2"/>
      <c r="AG14" s="2"/>
      <c r="AL14" s="2"/>
    </row>
    <row r="15" spans="1:38" x14ac:dyDescent="0.25">
      <c r="A15" s="10" t="s">
        <v>34</v>
      </c>
      <c r="B15" s="10" t="s">
        <v>17</v>
      </c>
      <c r="C15" s="66">
        <v>84683436.100999996</v>
      </c>
      <c r="D15" s="67">
        <f>C15/SUM(C14:C16)</f>
        <v>9.6425919526091183E-2</v>
      </c>
      <c r="E15" s="66">
        <v>0</v>
      </c>
      <c r="F15" s="66">
        <v>0</v>
      </c>
      <c r="G15" s="66">
        <v>0</v>
      </c>
      <c r="H15" s="66">
        <v>0</v>
      </c>
      <c r="I15" s="66">
        <f t="shared" si="0"/>
        <v>0</v>
      </c>
      <c r="J15" s="55" t="s">
        <v>723</v>
      </c>
      <c r="K15" s="66">
        <f t="shared" si="1"/>
        <v>0</v>
      </c>
      <c r="L15" s="55" t="s">
        <v>724</v>
      </c>
      <c r="M15" s="24">
        <f t="shared" si="2"/>
        <v>0</v>
      </c>
      <c r="N15" s="66"/>
      <c r="O15" s="66"/>
      <c r="P15" s="66"/>
      <c r="Q15" s="66"/>
      <c r="R15" s="66"/>
      <c r="S15" s="66"/>
      <c r="T15" s="66"/>
      <c r="U15" s="66"/>
      <c r="V15" s="66"/>
      <c r="W15" s="66"/>
      <c r="X15" s="66"/>
      <c r="Y15" s="66"/>
      <c r="Z15" s="66"/>
      <c r="AA15" s="66"/>
      <c r="AB15" s="66"/>
      <c r="AC15" s="66"/>
      <c r="AD15" s="2"/>
      <c r="AG15" s="2"/>
      <c r="AL15" s="2"/>
    </row>
    <row r="16" spans="1:38" x14ac:dyDescent="0.25">
      <c r="A16" s="10" t="s">
        <v>34</v>
      </c>
      <c r="B16" s="10" t="s">
        <v>18</v>
      </c>
      <c r="C16" s="66">
        <v>522365855.85500002</v>
      </c>
      <c r="D16" s="67">
        <f>C16/SUM(C14:C16)</f>
        <v>0.59479882133948014</v>
      </c>
      <c r="E16" s="66">
        <f>SUM(RFC!H14, RFC!H16)</f>
        <v>68210319</v>
      </c>
      <c r="F16" s="66">
        <f>SUM(RFC!I14, RFC!I16)</f>
        <v>62793121</v>
      </c>
      <c r="G16" s="66">
        <f>SUM(RFC!H13, RFC!H15)</f>
        <v>2817562</v>
      </c>
      <c r="H16" s="66">
        <f>SUM(RFC!I13, RFC!I15)</f>
        <v>601897</v>
      </c>
      <c r="I16" s="66">
        <f t="shared" si="0"/>
        <v>7632863</v>
      </c>
      <c r="J16" s="55" t="s">
        <v>723</v>
      </c>
      <c r="K16" s="66">
        <f t="shared" si="1"/>
        <v>7632863</v>
      </c>
      <c r="L16" s="55" t="s">
        <v>724</v>
      </c>
      <c r="M16" s="24">
        <f t="shared" si="2"/>
        <v>0</v>
      </c>
      <c r="N16" s="66"/>
      <c r="O16" s="66"/>
      <c r="P16" s="66"/>
      <c r="Q16" s="66"/>
      <c r="R16" s="66"/>
      <c r="S16" s="66"/>
      <c r="T16" s="66"/>
      <c r="U16" s="66"/>
      <c r="V16" s="66"/>
      <c r="W16" s="66"/>
      <c r="X16" s="66"/>
      <c r="Y16" s="66"/>
      <c r="Z16" s="66"/>
      <c r="AA16" s="66"/>
      <c r="AB16" s="66"/>
      <c r="AC16" s="66"/>
      <c r="AD16" s="2"/>
      <c r="AG16" s="2"/>
      <c r="AL16" s="2"/>
    </row>
    <row r="17" spans="1:38" x14ac:dyDescent="0.25">
      <c r="A17" s="10" t="s">
        <v>37</v>
      </c>
      <c r="B17" s="10" t="s">
        <v>22</v>
      </c>
      <c r="C17" s="66">
        <v>185248141.62900001</v>
      </c>
      <c r="D17" s="67">
        <f>C17/SUM(C17:C21)</f>
        <v>0.15813401376481528</v>
      </c>
      <c r="E17" s="66">
        <v>0</v>
      </c>
      <c r="F17" s="66">
        <v>0</v>
      </c>
      <c r="G17" s="66">
        <v>0</v>
      </c>
      <c r="H17" s="66">
        <v>0</v>
      </c>
      <c r="I17" s="66">
        <f t="shared" si="0"/>
        <v>0</v>
      </c>
      <c r="J17" s="55" t="s">
        <v>723</v>
      </c>
      <c r="K17" s="66">
        <f t="shared" si="1"/>
        <v>0</v>
      </c>
      <c r="L17" s="55" t="s">
        <v>724</v>
      </c>
      <c r="M17" s="24">
        <f t="shared" si="2"/>
        <v>0</v>
      </c>
      <c r="N17" s="66"/>
      <c r="O17" s="66"/>
      <c r="P17" s="66"/>
      <c r="Q17" s="66"/>
      <c r="R17" s="66"/>
      <c r="S17" s="66"/>
      <c r="T17" s="66"/>
      <c r="U17" s="66"/>
      <c r="V17" s="66"/>
      <c r="W17" s="66"/>
      <c r="X17" s="66"/>
      <c r="Y17" s="66"/>
      <c r="Z17" s="66"/>
      <c r="AA17" s="66"/>
      <c r="AB17" s="66"/>
      <c r="AC17" s="66"/>
      <c r="AD17" s="2"/>
      <c r="AG17" s="2"/>
      <c r="AJ17" s="2"/>
      <c r="AK17" s="2"/>
      <c r="AL17" s="2"/>
    </row>
    <row r="18" spans="1:38" x14ac:dyDescent="0.25">
      <c r="A18" s="10" t="s">
        <v>37</v>
      </c>
      <c r="B18" s="10" t="s">
        <v>23</v>
      </c>
      <c r="C18" s="66">
        <v>190107981.81</v>
      </c>
      <c r="D18" s="67">
        <f>C18/SUM(C17:C21)</f>
        <v>0.16228253599731443</v>
      </c>
      <c r="E18" s="66">
        <f>SUM(SERC!H4,SERC!H5,SERC!H6)</f>
        <v>116675</v>
      </c>
      <c r="F18" s="66">
        <f>SUM(SERC!I4,SERC!I5,SERC!I6)</f>
        <v>4469840</v>
      </c>
      <c r="G18" s="66">
        <f>SUM(SERC!H3,SERC!H7)</f>
        <v>4523125</v>
      </c>
      <c r="H18" s="66">
        <f>SUM(SERC!I3,SERC!I7)</f>
        <v>4069767</v>
      </c>
      <c r="I18" s="66">
        <f t="shared" si="0"/>
        <v>-3899807</v>
      </c>
      <c r="J18" s="55" t="s">
        <v>723</v>
      </c>
      <c r="K18" s="66">
        <f t="shared" si="1"/>
        <v>-3899807</v>
      </c>
      <c r="L18" s="55" t="s">
        <v>724</v>
      </c>
      <c r="M18" s="24">
        <f t="shared" si="2"/>
        <v>0</v>
      </c>
      <c r="N18" s="66"/>
      <c r="O18" s="66"/>
      <c r="P18" s="66"/>
      <c r="Q18" s="66"/>
      <c r="R18" s="66"/>
      <c r="S18" s="66"/>
      <c r="T18" s="66"/>
      <c r="U18" s="66"/>
      <c r="V18" s="66"/>
      <c r="W18" s="66"/>
      <c r="X18" s="66"/>
      <c r="Y18" s="66"/>
      <c r="Z18" s="66"/>
      <c r="AA18" s="66"/>
      <c r="AB18" s="66"/>
      <c r="AC18" s="66"/>
      <c r="AD18" s="2"/>
      <c r="AG18" s="2"/>
      <c r="AJ18" s="2"/>
      <c r="AK18" s="2"/>
      <c r="AL18" s="2"/>
    </row>
    <row r="19" spans="1:38" x14ac:dyDescent="0.25">
      <c r="A19" s="10" t="s">
        <v>37</v>
      </c>
      <c r="B19" s="10" t="s">
        <v>24</v>
      </c>
      <c r="C19" s="66">
        <v>267879505.553</v>
      </c>
      <c r="D19" s="67">
        <f>C19/SUM(C17:C21)</f>
        <v>0.22867091159957179</v>
      </c>
      <c r="E19" s="66">
        <f>SUM(SERC!H15,SERC!H16,SERC!H20,SERC!H23,SERC!H24,SERC!H25)</f>
        <v>17752963</v>
      </c>
      <c r="F19" s="66">
        <f>SUM(SERC!I15,SERC!I16,SERC!I20,SERC!I23,SERC!I24,SERC!I25)</f>
        <v>21212020</v>
      </c>
      <c r="G19" s="66">
        <f>SUM(SERC!H11,SERC!H18,SERC!H19,SERC!H26)</f>
        <v>9362903</v>
      </c>
      <c r="H19" s="66">
        <f>SUM(SERC!I11,SERC!I18,SERC!I19,SERC!I26)</f>
        <v>12618280</v>
      </c>
      <c r="I19" s="66">
        <f t="shared" si="0"/>
        <v>-6714434</v>
      </c>
      <c r="J19" s="55" t="s">
        <v>723</v>
      </c>
      <c r="K19" s="66">
        <f t="shared" si="1"/>
        <v>-6714434</v>
      </c>
      <c r="L19" s="55" t="s">
        <v>724</v>
      </c>
      <c r="M19" s="24">
        <f t="shared" si="2"/>
        <v>0</v>
      </c>
      <c r="N19" s="66"/>
      <c r="O19" s="66"/>
      <c r="P19" s="66"/>
      <c r="Q19" s="66"/>
      <c r="R19" s="66"/>
      <c r="S19" s="66"/>
      <c r="T19" s="66"/>
      <c r="U19" s="66"/>
      <c r="V19" s="66"/>
      <c r="W19" s="66"/>
      <c r="X19" s="66"/>
      <c r="Y19" s="66"/>
      <c r="Z19" s="66"/>
      <c r="AA19" s="66"/>
      <c r="AB19" s="66"/>
      <c r="AC19" s="66"/>
      <c r="AD19" s="2"/>
      <c r="AG19" s="2"/>
      <c r="AJ19" s="2"/>
      <c r="AK19" s="2"/>
      <c r="AL19" s="2"/>
    </row>
    <row r="20" spans="1:38" x14ac:dyDescent="0.25">
      <c r="A20" s="10" t="s">
        <v>37</v>
      </c>
      <c r="B20" s="10" t="s">
        <v>25</v>
      </c>
      <c r="C20" s="66">
        <v>240412325.51100001</v>
      </c>
      <c r="D20" s="67">
        <f>C20/SUM(C17:C21)</f>
        <v>0.20522400741663488</v>
      </c>
      <c r="E20" s="66">
        <f>SUM(SERC!H27,SERC!H28,SERC!H29,SERC!H30,SERC!H31,SERC!H32,SERC!H33,SERC!H34,SERC!H40)</f>
        <v>13199405</v>
      </c>
      <c r="F20" s="66">
        <f>SUM(SERC!I27,SERC!I28,SERC!I29,SERC!I30,SERC!I31,SERC!I32,SERC!I33,SERC!I34,SERC!I40)</f>
        <v>19291775</v>
      </c>
      <c r="G20" s="66">
        <f>SUM(SERC!H35,SERC!H37,SERC!H38)</f>
        <v>9565322</v>
      </c>
      <c r="H20" s="66">
        <f>SUM(SERC!I35,SERC!I37,SERC!I38)</f>
        <v>21900496</v>
      </c>
      <c r="I20" s="66">
        <f t="shared" si="0"/>
        <v>-18427544</v>
      </c>
      <c r="J20" s="55" t="s">
        <v>723</v>
      </c>
      <c r="K20" s="66">
        <f t="shared" si="1"/>
        <v>-18427544</v>
      </c>
      <c r="L20" s="55" t="s">
        <v>724</v>
      </c>
      <c r="M20" s="24">
        <f t="shared" si="2"/>
        <v>0</v>
      </c>
      <c r="N20" s="66"/>
      <c r="O20" s="66"/>
      <c r="P20" s="66"/>
      <c r="Q20" s="66"/>
      <c r="R20" s="66"/>
      <c r="S20" s="66"/>
      <c r="T20" s="66"/>
      <c r="U20" s="66"/>
      <c r="V20" s="66"/>
      <c r="W20" s="66"/>
      <c r="X20" s="66"/>
      <c r="Y20" s="66"/>
      <c r="Z20" s="66"/>
      <c r="AA20" s="66"/>
      <c r="AB20" s="66"/>
      <c r="AC20" s="66"/>
      <c r="AD20" s="2"/>
      <c r="AG20" s="2"/>
      <c r="AJ20" s="2"/>
      <c r="AK20" s="2"/>
      <c r="AL20" s="2"/>
    </row>
    <row r="21" spans="1:38" x14ac:dyDescent="0.25">
      <c r="A21" s="10" t="s">
        <v>37</v>
      </c>
      <c r="B21" s="10" t="s">
        <v>26</v>
      </c>
      <c r="C21" s="66">
        <v>287815016.80000001</v>
      </c>
      <c r="D21" s="67">
        <f>C21/SUM(C17:C21)</f>
        <v>0.24568853122166368</v>
      </c>
      <c r="E21" s="66">
        <f>SUM(SERC!H41:H44,SERC!H46,SERC!H53,SERC!H59)</f>
        <v>10507752</v>
      </c>
      <c r="F21" s="66">
        <f>SUM(SERC!I41:I44,SERC!I46,SERC!I53,SERC!I59)</f>
        <v>2471825</v>
      </c>
      <c r="G21" s="66">
        <f>SUM(SERC!H55,SERC!H66)</f>
        <v>4355616</v>
      </c>
      <c r="H21" s="66">
        <f>SUM(SERC!I55,SERC!I66)</f>
        <v>9577803</v>
      </c>
      <c r="I21" s="66">
        <f t="shared" si="0"/>
        <v>2813740</v>
      </c>
      <c r="J21" s="55" t="s">
        <v>723</v>
      </c>
      <c r="K21" s="66">
        <f t="shared" si="1"/>
        <v>2813740</v>
      </c>
      <c r="L21" s="55" t="s">
        <v>724</v>
      </c>
      <c r="M21" s="24">
        <f t="shared" si="2"/>
        <v>0</v>
      </c>
      <c r="N21" s="66"/>
      <c r="O21" s="66"/>
      <c r="P21" s="66"/>
      <c r="Q21" s="66"/>
      <c r="R21" s="66"/>
      <c r="S21" s="66"/>
      <c r="T21" s="66"/>
      <c r="U21" s="66"/>
      <c r="V21" s="66"/>
      <c r="W21" s="66"/>
      <c r="X21" s="66"/>
      <c r="Y21" s="66"/>
      <c r="Z21" s="66"/>
      <c r="AA21" s="66"/>
      <c r="AB21" s="66"/>
      <c r="AC21" s="66"/>
      <c r="AD21" s="2"/>
      <c r="AG21" s="2"/>
      <c r="AJ21" s="2"/>
      <c r="AK21" s="2"/>
      <c r="AL21" s="2"/>
    </row>
    <row r="22" spans="1:38" x14ac:dyDescent="0.25">
      <c r="A22" s="10" t="s">
        <v>36</v>
      </c>
      <c r="B22" s="10" t="s">
        <v>20</v>
      </c>
      <c r="C22" s="66">
        <v>56462490.913000003</v>
      </c>
      <c r="D22" s="67">
        <f>C22/SUM(C22:C23)</f>
        <v>0.25147716111160412</v>
      </c>
      <c r="E22" s="66">
        <v>0</v>
      </c>
      <c r="F22" s="66">
        <v>0</v>
      </c>
      <c r="G22" s="66">
        <f>SUM(SPP!H4,SPP!H5,SPP!H8)</f>
        <v>2554604</v>
      </c>
      <c r="H22" s="66">
        <f>SUM(SPP!I4,SPP!I5,SPP!I8)</f>
        <v>1828574</v>
      </c>
      <c r="I22" s="66">
        <f t="shared" si="0"/>
        <v>726030</v>
      </c>
      <c r="J22" s="55" t="s">
        <v>723</v>
      </c>
      <c r="K22" s="66">
        <f t="shared" si="1"/>
        <v>726030</v>
      </c>
      <c r="L22" s="55" t="s">
        <v>724</v>
      </c>
      <c r="M22" s="24">
        <f t="shared" si="2"/>
        <v>0</v>
      </c>
      <c r="N22" s="66"/>
      <c r="O22" s="66"/>
      <c r="P22" s="66"/>
      <c r="Q22" s="66"/>
      <c r="R22" s="66"/>
      <c r="S22" s="66"/>
      <c r="T22" s="66"/>
      <c r="U22" s="66"/>
      <c r="V22" s="66"/>
      <c r="W22" s="66"/>
      <c r="X22" s="66"/>
      <c r="Y22" s="66"/>
      <c r="Z22" s="66"/>
      <c r="AA22" s="66"/>
      <c r="AB22" s="66"/>
      <c r="AC22" s="66"/>
      <c r="AD22" s="2"/>
      <c r="AG22" s="2"/>
      <c r="AJ22" s="2"/>
      <c r="AK22" s="2"/>
      <c r="AL22" s="2"/>
    </row>
    <row r="23" spans="1:38" x14ac:dyDescent="0.25">
      <c r="A23" s="10" t="s">
        <v>36</v>
      </c>
      <c r="B23" s="10" t="s">
        <v>21</v>
      </c>
      <c r="C23" s="66">
        <v>168060844.18200001</v>
      </c>
      <c r="D23" s="67">
        <f>C23/SUM(C22:C23)</f>
        <v>0.74852283888839577</v>
      </c>
      <c r="E23" s="66">
        <f>SUM(SPP!H14:H16)</f>
        <v>381742</v>
      </c>
      <c r="F23" s="66">
        <f>SUM(SPP!I14:I16)</f>
        <v>243048</v>
      </c>
      <c r="G23" s="66">
        <f>SUM(SPP!H12,SPP!H9)</f>
        <v>3865524</v>
      </c>
      <c r="H23" s="66">
        <f>SUM(SPP!I12,SPP!I9)</f>
        <v>6531100</v>
      </c>
      <c r="I23" s="66">
        <f t="shared" si="0"/>
        <v>-2526882</v>
      </c>
      <c r="J23" s="55" t="s">
        <v>723</v>
      </c>
      <c r="K23" s="66">
        <f t="shared" si="1"/>
        <v>-2526882</v>
      </c>
      <c r="L23" s="55" t="s">
        <v>724</v>
      </c>
      <c r="M23" s="24">
        <f t="shared" si="2"/>
        <v>0</v>
      </c>
      <c r="N23" s="66"/>
      <c r="O23" s="66"/>
      <c r="P23" s="66"/>
      <c r="Q23" s="66"/>
      <c r="R23" s="66"/>
      <c r="S23" s="66"/>
      <c r="T23" s="66"/>
      <c r="U23" s="66"/>
      <c r="V23" s="66"/>
      <c r="W23" s="66"/>
      <c r="X23" s="66"/>
      <c r="Y23" s="66"/>
      <c r="Z23" s="66"/>
      <c r="AA23" s="66"/>
      <c r="AB23" s="66"/>
      <c r="AC23" s="66"/>
      <c r="AD23" s="2"/>
      <c r="AG23" s="2"/>
      <c r="AJ23" s="2"/>
      <c r="AK23" s="2"/>
      <c r="AL23" s="2"/>
    </row>
    <row r="24" spans="1:38" x14ac:dyDescent="0.25">
      <c r="A24" s="10" t="s">
        <v>29</v>
      </c>
      <c r="B24" s="10" t="s">
        <v>7</v>
      </c>
      <c r="C24" s="66">
        <v>330486678.48199999</v>
      </c>
      <c r="D24" s="67">
        <f>C24/C24</f>
        <v>1</v>
      </c>
      <c r="E24" s="66">
        <v>0</v>
      </c>
      <c r="F24" s="66">
        <v>0</v>
      </c>
      <c r="G24" s="66">
        <v>0</v>
      </c>
      <c r="H24" s="66">
        <v>0</v>
      </c>
      <c r="I24" s="66">
        <f t="shared" si="0"/>
        <v>0</v>
      </c>
      <c r="J24" s="55" t="s">
        <v>723</v>
      </c>
      <c r="K24" s="66">
        <f t="shared" si="1"/>
        <v>-144000</v>
      </c>
      <c r="L24" s="55" t="s">
        <v>724</v>
      </c>
      <c r="M24" s="24">
        <f t="shared" si="2"/>
        <v>-144000</v>
      </c>
      <c r="N24" s="66"/>
      <c r="O24" s="66"/>
      <c r="P24" s="66"/>
      <c r="Q24" s="66"/>
      <c r="R24" s="66"/>
      <c r="S24" s="66"/>
      <c r="T24" s="66"/>
      <c r="U24" s="66"/>
      <c r="V24" s="66"/>
      <c r="W24" s="66"/>
      <c r="X24" s="66"/>
      <c r="Y24" s="66"/>
      <c r="Z24" s="66"/>
      <c r="AA24" s="66"/>
      <c r="AB24" s="66">
        <f>0.5*'International Trading Data'!C17</f>
        <v>955500</v>
      </c>
      <c r="AC24" s="66">
        <f>0.5*'International Trading Data'!D17</f>
        <v>1099500</v>
      </c>
      <c r="AD24" s="2"/>
      <c r="AG24" s="2"/>
      <c r="AJ24" s="2"/>
      <c r="AK24" s="2"/>
      <c r="AL24" s="2"/>
    </row>
    <row r="25" spans="1:38" x14ac:dyDescent="0.25">
      <c r="A25" s="10" t="s">
        <v>28</v>
      </c>
      <c r="B25" s="10" t="s">
        <v>5</v>
      </c>
      <c r="C25" s="66">
        <v>133681798.29000001</v>
      </c>
      <c r="D25" s="67">
        <f>C25/SUM(C25:C28)</f>
        <v>0.17860377903071892</v>
      </c>
      <c r="E25" s="66">
        <f>SUM(WECC!H5,WECC!H8,WECC!H10,WECC!H13,WECC!H15,WECC!H21,WECC!H22,WECC!H23,WECC!H25,WECC!H26,WECC!H34,WECC!H38,WECC!H40,WECC!H45,WECC!H53:H56,WECC!H58)</f>
        <v>27374038</v>
      </c>
      <c r="F25" s="66">
        <f>SUM(WECC!I5,WECC!I8,WECC!I10,WECC!I13,WECC!I15,WECC!I21,WECC!I22,WECC!I23,WECC!I25,WECC!I26,WECC!I34,WECC!I38,WECC!I40,WECC!I45,WECC!I53:I56,WECC!I58)</f>
        <v>54696743</v>
      </c>
      <c r="G25" s="66">
        <f>SUM(WECC!H29,WECC!H30)</f>
        <v>4486587</v>
      </c>
      <c r="H25" s="66">
        <f>SUM(WECC!I29,WECC!I30)</f>
        <v>490098</v>
      </c>
      <c r="I25" s="66">
        <f t="shared" si="0"/>
        <v>-23326216</v>
      </c>
      <c r="J25" s="55" t="s">
        <v>723</v>
      </c>
      <c r="K25" s="66">
        <f t="shared" si="1"/>
        <v>-23919359.15016102</v>
      </c>
      <c r="L25" s="55" t="s">
        <v>724</v>
      </c>
      <c r="M25" s="24">
        <f t="shared" si="2"/>
        <v>-593143.15016101766</v>
      </c>
      <c r="N25" s="66">
        <f>D25*'International Trading Data'!C3*1000</f>
        <v>1320774.9459321664</v>
      </c>
      <c r="O25" s="66">
        <f>D25*'International Trading Data'!D3*1000</f>
        <v>1732099.4490399121</v>
      </c>
      <c r="P25" s="66">
        <f>D25*'International Trading Data'!C4*1000</f>
        <v>9287.3965095973836</v>
      </c>
      <c r="Q25" s="66">
        <f>D25*'International Trading Data'!D4*1000</f>
        <v>165387.09938244571</v>
      </c>
      <c r="R25" s="66"/>
      <c r="S25" s="66"/>
      <c r="T25" s="66"/>
      <c r="U25" s="66"/>
      <c r="V25" s="66"/>
      <c r="W25" s="66"/>
      <c r="X25" s="66"/>
      <c r="Y25" s="66"/>
      <c r="Z25" s="66"/>
      <c r="AA25" s="66"/>
      <c r="AB25" s="66">
        <f>0.5*'International Trading Data'!$C$17*D25</f>
        <v>170655.91086385192</v>
      </c>
      <c r="AC25" s="66">
        <f>0.5*'International Trading Data'!$D$17*D25</f>
        <v>196374.85504427546</v>
      </c>
      <c r="AD25" s="2"/>
      <c r="AG25" s="2"/>
      <c r="AJ25" s="2"/>
      <c r="AK25" s="2"/>
      <c r="AL25" s="2"/>
    </row>
    <row r="26" spans="1:38" x14ac:dyDescent="0.25">
      <c r="A26" s="10" t="s">
        <v>28</v>
      </c>
      <c r="B26" s="10" t="s">
        <v>6</v>
      </c>
      <c r="C26" s="66">
        <v>188801065.289</v>
      </c>
      <c r="D26" s="67">
        <f>C26/SUM(C25:C28)</f>
        <v>0.25224513865746928</v>
      </c>
      <c r="E26" s="66">
        <f>SUM(WECC!H61:H68,WECC!H72,WECC!H73,WECC!H77,WECC!H80,WECC!H82)</f>
        <v>87117083</v>
      </c>
      <c r="F26" s="66">
        <f>SUM(WECC!I61:I68,WECC!I72,WECC!I73,WECC!I77,WECC!I80,WECC!I82)</f>
        <v>10845799</v>
      </c>
      <c r="G26" s="66">
        <v>0</v>
      </c>
      <c r="H26" s="66">
        <v>0</v>
      </c>
      <c r="I26" s="66">
        <f t="shared" si="0"/>
        <v>76271284</v>
      </c>
      <c r="J26" s="55" t="s">
        <v>723</v>
      </c>
      <c r="K26" s="66">
        <f t="shared" si="1"/>
        <v>75433577.894518539</v>
      </c>
      <c r="L26" s="55" t="s">
        <v>724</v>
      </c>
      <c r="M26" s="24">
        <f t="shared" si="2"/>
        <v>-837706.10548145603</v>
      </c>
      <c r="N26" s="66">
        <f>D26*'International Trading Data'!C3*1000</f>
        <v>1865352.8003719852</v>
      </c>
      <c r="O26" s="66">
        <f>D26*'International Trading Data'!D3*1000</f>
        <v>2446273.3547001369</v>
      </c>
      <c r="P26" s="66">
        <f>D26*'International Trading Data'!C4*1000</f>
        <v>13116.747210188401</v>
      </c>
      <c r="Q26" s="66">
        <f>D26*'International Trading Data'!D4*1000</f>
        <v>233578.99839681655</v>
      </c>
      <c r="R26" s="66"/>
      <c r="S26" s="66"/>
      <c r="T26" s="66"/>
      <c r="U26" s="66"/>
      <c r="V26" s="66"/>
      <c r="W26" s="66"/>
      <c r="X26" s="66"/>
      <c r="Y26" s="66"/>
      <c r="Z26" s="66"/>
      <c r="AA26" s="66"/>
      <c r="AB26" s="66">
        <f>0.5*'International Trading Data'!$C$17*D26</f>
        <v>241020.2299872119</v>
      </c>
      <c r="AC26" s="66">
        <f>0.5*'International Trading Data'!$D$17*D26</f>
        <v>277343.52995388745</v>
      </c>
      <c r="AD26" s="2"/>
      <c r="AG26" s="2"/>
      <c r="AJ26" s="2"/>
      <c r="AK26" s="2"/>
      <c r="AL26" s="2"/>
    </row>
    <row r="27" spans="1:38" x14ac:dyDescent="0.25">
      <c r="A27" s="10" t="s">
        <v>28</v>
      </c>
      <c r="B27" s="10" t="s">
        <v>12</v>
      </c>
      <c r="C27" s="66">
        <v>341855937.60399997</v>
      </c>
      <c r="D27" s="67">
        <f>C27/SUM(C25:C28)</f>
        <v>0.45673205418520585</v>
      </c>
      <c r="E27" s="66">
        <f>SUM(WECC!H102,WECC!H104,WECC!H109,WECC!H128,WECC!H144,WECC!H153,WECC!H156,WECC!H147,WECC!H171,WECC!H173,WECC!H181,WECC!H195,WECC!H199,WECC!H201)</f>
        <v>2509780</v>
      </c>
      <c r="F27" s="66">
        <f>SUM(WECC!I102,WECC!I104,WECC!I109,WECC!I128,WECC!I144,WECC!I153,WECC!I156,WECC!I147,WECC!I171,WECC!I173,WECC!I181,WECC!I195,WECC!I199,WECC!I201)</f>
        <v>46423787</v>
      </c>
      <c r="G27" s="66">
        <f>SUM(WECC!H89,WECC!H107,WECC!H151)</f>
        <v>3177017</v>
      </c>
      <c r="H27" s="66">
        <f>SUM(WECC!I89,WECC!I107,WECC!I151)</f>
        <v>548655</v>
      </c>
      <c r="I27" s="66">
        <f t="shared" si="0"/>
        <v>-41285645</v>
      </c>
      <c r="J27" s="55" t="s">
        <v>723</v>
      </c>
      <c r="K27" s="66">
        <f t="shared" si="1"/>
        <v>-42802452.15194907</v>
      </c>
      <c r="L27" s="55" t="s">
        <v>724</v>
      </c>
      <c r="M27" s="24">
        <f t="shared" si="2"/>
        <v>-1516807.1519490685</v>
      </c>
      <c r="N27" s="66">
        <f>D27*'International Trading Data'!C3*1000</f>
        <v>3377533.5406995974</v>
      </c>
      <c r="O27" s="66">
        <f>D27*'International Trading Data'!D3*1000</f>
        <v>4429387.4614881258</v>
      </c>
      <c r="P27" s="66">
        <f>D27*'International Trading Data'!C4*1000</f>
        <v>23750.066817630704</v>
      </c>
      <c r="Q27" s="66">
        <f>D27*'International Trading Data'!D4*1000</f>
        <v>422933.88217550062</v>
      </c>
      <c r="R27" s="66"/>
      <c r="S27" s="66"/>
      <c r="T27" s="66"/>
      <c r="U27" s="66"/>
      <c r="V27" s="66"/>
      <c r="W27" s="66"/>
      <c r="X27" s="66"/>
      <c r="Y27" s="66"/>
      <c r="Z27" s="66"/>
      <c r="AA27" s="66"/>
      <c r="AB27" s="66">
        <f>0.5*'International Trading Data'!$C$17*D27</f>
        <v>436407.47777396417</v>
      </c>
      <c r="AC27" s="66">
        <f>0.5*'International Trading Data'!$D$17*D27</f>
        <v>502176.89357663383</v>
      </c>
      <c r="AD27" s="2"/>
      <c r="AG27" s="2"/>
      <c r="AJ27" s="2"/>
      <c r="AK27" s="2"/>
      <c r="AL27" s="2"/>
    </row>
    <row r="28" spans="1:38" x14ac:dyDescent="0.25">
      <c r="A28" s="10" t="s">
        <v>28</v>
      </c>
      <c r="B28" s="10" t="s">
        <v>19</v>
      </c>
      <c r="C28" s="66">
        <v>84143672.231000006</v>
      </c>
      <c r="D28" s="67">
        <f>C28/SUM(C25:C28)</f>
        <v>0.11241902812660588</v>
      </c>
      <c r="E28" s="66">
        <f>SUM(WECC!H205:H207,WECC!H210:H214)</f>
        <v>2812299</v>
      </c>
      <c r="F28" s="66">
        <f>SUM(WECC!I205:I207,WECC!I210:I214)</f>
        <v>10146576</v>
      </c>
      <c r="G28" s="66">
        <f>SUM(WECC!H203,WECC!H208,WECC!H209)</f>
        <v>15895</v>
      </c>
      <c r="H28" s="66">
        <f>SUM(WECC!I203,WECC!I208,WECC!I209)</f>
        <v>488997</v>
      </c>
      <c r="I28" s="66">
        <f t="shared" si="0"/>
        <v>-7807379</v>
      </c>
      <c r="J28" s="55" t="s">
        <v>723</v>
      </c>
      <c r="K28" s="66">
        <f t="shared" si="1"/>
        <v>-8180722.5924084587</v>
      </c>
      <c r="L28" s="55" t="s">
        <v>724</v>
      </c>
      <c r="M28" s="24">
        <f t="shared" si="2"/>
        <v>-373343.59240845812</v>
      </c>
      <c r="N28" s="66">
        <f>D28*'International Trading Data'!C3*1000</f>
        <v>831338.71299625048</v>
      </c>
      <c r="O28" s="66">
        <f>D28*'International Trading Data'!D3*1000</f>
        <v>1090239.7347718237</v>
      </c>
      <c r="P28" s="66">
        <f>D28*'International Trading Data'!C4*1000</f>
        <v>5845.7894625835061</v>
      </c>
      <c r="Q28" s="66">
        <f>D28*'International Trading Data'!D4*1000</f>
        <v>104100.02004523705</v>
      </c>
      <c r="R28" s="66"/>
      <c r="S28" s="66"/>
      <c r="T28" s="66"/>
      <c r="U28" s="66"/>
      <c r="V28" s="66"/>
      <c r="W28" s="66"/>
      <c r="X28" s="66"/>
      <c r="Y28" s="66"/>
      <c r="Z28" s="66"/>
      <c r="AA28" s="66"/>
      <c r="AB28" s="66">
        <f>0.5*'International Trading Data'!$C$17*D28</f>
        <v>107416.38137497193</v>
      </c>
      <c r="AC28" s="66">
        <f>0.5*'International Trading Data'!$D$17*D28</f>
        <v>123604.72142520317</v>
      </c>
      <c r="AD28" s="2"/>
      <c r="AG28" s="2"/>
      <c r="AJ28" s="2"/>
      <c r="AK28" s="2"/>
      <c r="AL28" s="2"/>
    </row>
    <row r="29" spans="1:38" x14ac:dyDescent="0.25">
      <c r="A29" s="62" t="s">
        <v>466</v>
      </c>
      <c r="B29" s="62" t="s">
        <v>467</v>
      </c>
      <c r="C29" s="24">
        <f>SUM(C3:C28)</f>
        <v>4079690473.9120007</v>
      </c>
      <c r="D29" s="66"/>
      <c r="E29" s="24">
        <f t="shared" ref="E29:I29" si="3">SUM(E3:E28)</f>
        <v>306372494</v>
      </c>
      <c r="F29" s="24">
        <f t="shared" si="3"/>
        <v>300376691</v>
      </c>
      <c r="G29" s="24">
        <f t="shared" si="3"/>
        <v>100967971</v>
      </c>
      <c r="H29" s="24">
        <f t="shared" si="3"/>
        <v>96794896</v>
      </c>
      <c r="I29" s="24">
        <f t="shared" si="3"/>
        <v>10168878</v>
      </c>
      <c r="J29" s="55" t="s">
        <v>723</v>
      </c>
      <c r="K29" s="24">
        <f>SUM(K3:K28)</f>
        <v>56175878</v>
      </c>
      <c r="L29" s="55" t="s">
        <v>724</v>
      </c>
      <c r="M29" s="24">
        <f t="shared" si="2"/>
        <v>46007000</v>
      </c>
      <c r="N29" s="24">
        <f t="shared" ref="N29:AC29" si="4">SUM(N3:N28)</f>
        <v>7395000</v>
      </c>
      <c r="O29" s="24">
        <f t="shared" si="4"/>
        <v>9697999.9999999981</v>
      </c>
      <c r="P29" s="24">
        <f t="shared" si="4"/>
        <v>51999.999999999993</v>
      </c>
      <c r="Q29" s="24">
        <f t="shared" si="4"/>
        <v>925999.99999999988</v>
      </c>
      <c r="R29" s="24">
        <f t="shared" si="4"/>
        <v>35000</v>
      </c>
      <c r="S29" s="24">
        <f t="shared" si="4"/>
        <v>57000</v>
      </c>
      <c r="T29" s="24">
        <f t="shared" si="4"/>
        <v>8571000</v>
      </c>
      <c r="U29" s="24">
        <f t="shared" si="4"/>
        <v>510000</v>
      </c>
      <c r="V29" s="24">
        <f t="shared" si="4"/>
        <v>17386000</v>
      </c>
      <c r="W29" s="24">
        <f t="shared" si="4"/>
        <v>850999.99999999988</v>
      </c>
      <c r="X29" s="24">
        <f t="shared" si="4"/>
        <v>23590000</v>
      </c>
      <c r="Y29" s="24">
        <f t="shared" si="4"/>
        <v>570000</v>
      </c>
      <c r="Z29" s="24">
        <f t="shared" si="4"/>
        <v>2068000</v>
      </c>
      <c r="AA29" s="24">
        <f t="shared" si="4"/>
        <v>189999.99999999997</v>
      </c>
      <c r="AB29" s="24">
        <f t="shared" si="4"/>
        <v>1911000</v>
      </c>
      <c r="AC29" s="24">
        <f t="shared" si="4"/>
        <v>2199000</v>
      </c>
      <c r="AJ29" s="2"/>
      <c r="AK29" s="2"/>
    </row>
    <row r="30" spans="1:38" x14ac:dyDescent="0.25">
      <c r="C30" s="23"/>
      <c r="AJ30" s="2"/>
      <c r="AK30" s="2"/>
    </row>
    <row r="31" spans="1:38" x14ac:dyDescent="0.25">
      <c r="Z31" s="64"/>
      <c r="AA31" s="64"/>
    </row>
    <row r="32" spans="1:38" x14ac:dyDescent="0.25">
      <c r="A32" s="136" t="s">
        <v>46</v>
      </c>
      <c r="B32" s="136"/>
      <c r="C32" s="5" t="s">
        <v>373</v>
      </c>
      <c r="F32" s="27" t="s">
        <v>472</v>
      </c>
      <c r="G32" s="27" t="s">
        <v>475</v>
      </c>
      <c r="K32" s="23"/>
      <c r="Z32" s="63"/>
      <c r="AA32" s="63"/>
    </row>
    <row r="33" spans="1:31" x14ac:dyDescent="0.25">
      <c r="A33" s="6" t="s">
        <v>2</v>
      </c>
      <c r="B33" s="7" t="s">
        <v>1</v>
      </c>
      <c r="C33" s="6" t="s">
        <v>374</v>
      </c>
      <c r="E33" s="27" t="s">
        <v>474</v>
      </c>
      <c r="F33" s="24">
        <f>SUM(C3:C28)</f>
        <v>4079690473.9120007</v>
      </c>
      <c r="G33" s="65">
        <f>F33/C60</f>
        <v>0.98641738556807335</v>
      </c>
      <c r="K33" s="23"/>
    </row>
    <row r="34" spans="1:31" x14ac:dyDescent="0.25">
      <c r="A34" s="10" t="s">
        <v>27</v>
      </c>
      <c r="B34" s="10" t="s">
        <v>3</v>
      </c>
      <c r="C34" s="66">
        <f>C3+K3</f>
        <v>4779334.2719999999</v>
      </c>
      <c r="E34" s="27" t="s">
        <v>468</v>
      </c>
      <c r="F34" s="24">
        <f>G29+E29</f>
        <v>407340465</v>
      </c>
      <c r="G34" s="28">
        <f>F34/C60</f>
        <v>9.8489755311287452E-2</v>
      </c>
      <c r="K34" s="23"/>
    </row>
    <row r="35" spans="1:31" x14ac:dyDescent="0.25">
      <c r="A35" s="10" t="s">
        <v>27</v>
      </c>
      <c r="B35" s="10" t="s">
        <v>4</v>
      </c>
      <c r="C35" s="66">
        <f t="shared" ref="C34:C59" si="5">C4+K4</f>
        <v>1265808.0379999999</v>
      </c>
      <c r="E35" s="27" t="s">
        <v>469</v>
      </c>
      <c r="F35" s="24">
        <f>H29+F29</f>
        <v>397171587</v>
      </c>
      <c r="G35" s="28">
        <f>F35/C60</f>
        <v>9.6031049653330453E-2</v>
      </c>
      <c r="K35" s="23"/>
    </row>
    <row r="36" spans="1:31" x14ac:dyDescent="0.25">
      <c r="A36" s="10" t="s">
        <v>8</v>
      </c>
      <c r="B36" s="10" t="s">
        <v>8</v>
      </c>
      <c r="C36" s="66">
        <f t="shared" si="5"/>
        <v>221284459.41</v>
      </c>
      <c r="E36" s="27" t="s">
        <v>470</v>
      </c>
      <c r="F36" s="24">
        <f>SUM(N3:N28,P3:P28,R3:R28,T3:T28,V3:V28,X3:X28,Z3:Z28)</f>
        <v>59097000</v>
      </c>
      <c r="G36" s="28">
        <f>F36/C60</f>
        <v>1.4288904662666288E-2</v>
      </c>
      <c r="K36" s="23"/>
    </row>
    <row r="37" spans="1:31" x14ac:dyDescent="0.25">
      <c r="A37" s="10" t="s">
        <v>30</v>
      </c>
      <c r="B37" s="10" t="s">
        <v>9</v>
      </c>
      <c r="C37" s="66">
        <f t="shared" si="5"/>
        <v>2847999.5049999999</v>
      </c>
      <c r="E37" s="27" t="s">
        <v>471</v>
      </c>
      <c r="F37" s="24">
        <f>SUM(AA3:AA28,Y3:Y28,W3:W28,U3:U28,S3:S28,Q3:Q28,O3:O28)</f>
        <v>12801999.999999998</v>
      </c>
      <c r="G37" s="28">
        <f>F37/C60</f>
        <v>3.0953611433990526E-3</v>
      </c>
      <c r="K37" s="23"/>
    </row>
    <row r="38" spans="1:31" x14ac:dyDescent="0.25">
      <c r="A38" s="10" t="s">
        <v>30</v>
      </c>
      <c r="B38" s="10" t="s">
        <v>31</v>
      </c>
      <c r="C38" s="66">
        <f t="shared" si="5"/>
        <v>7356158.9970000004</v>
      </c>
      <c r="E38" s="27" t="s">
        <v>473</v>
      </c>
      <c r="F38" s="24">
        <f>SUM(AB3:AB28)</f>
        <v>1911000</v>
      </c>
      <c r="G38" s="28">
        <f>F38/C60</f>
        <v>4.6205554952629199E-4</v>
      </c>
      <c r="K38" s="23"/>
    </row>
    <row r="39" spans="1:31" x14ac:dyDescent="0.25">
      <c r="A39" s="10" t="s">
        <v>33</v>
      </c>
      <c r="B39" s="68" t="s">
        <v>32</v>
      </c>
      <c r="C39" s="66">
        <f t="shared" si="5"/>
        <v>34645749.781793386</v>
      </c>
      <c r="E39" s="27" t="s">
        <v>473</v>
      </c>
      <c r="F39" s="24">
        <f>SUM(AC3:AC28)</f>
        <v>2199000</v>
      </c>
      <c r="G39" s="28">
        <f>F39/C60</f>
        <v>5.3169029482381795E-4</v>
      </c>
    </row>
    <row r="40" spans="1:31" x14ac:dyDescent="0.25">
      <c r="A40" s="10" t="s">
        <v>33</v>
      </c>
      <c r="B40" s="10" t="s">
        <v>10</v>
      </c>
      <c r="C40" s="66">
        <f t="shared" si="5"/>
        <v>221059680.97720662</v>
      </c>
    </row>
    <row r="41" spans="1:31" x14ac:dyDescent="0.25">
      <c r="A41" s="10" t="s">
        <v>35</v>
      </c>
      <c r="B41" s="10" t="s">
        <v>11</v>
      </c>
      <c r="C41" s="66">
        <f t="shared" si="5"/>
        <v>133395081.86170274</v>
      </c>
    </row>
    <row r="42" spans="1:31" x14ac:dyDescent="0.25">
      <c r="A42" s="10" t="s">
        <v>35</v>
      </c>
      <c r="B42" s="10" t="s">
        <v>13</v>
      </c>
      <c r="C42" s="66">
        <f t="shared" si="5"/>
        <v>58782127.898236185</v>
      </c>
    </row>
    <row r="43" spans="1:31" x14ac:dyDescent="0.25">
      <c r="A43" s="10" t="s">
        <v>35</v>
      </c>
      <c r="B43" s="10" t="s">
        <v>14</v>
      </c>
      <c r="C43" s="66">
        <f t="shared" si="5"/>
        <v>13210304.799806459</v>
      </c>
    </row>
    <row r="44" spans="1:31" x14ac:dyDescent="0.25">
      <c r="A44" s="10" t="s">
        <v>35</v>
      </c>
      <c r="B44" s="10" t="s">
        <v>15</v>
      </c>
      <c r="C44" s="66">
        <f t="shared" si="5"/>
        <v>98445763.285254627</v>
      </c>
    </row>
    <row r="45" spans="1:31" x14ac:dyDescent="0.25">
      <c r="A45" s="10" t="s">
        <v>34</v>
      </c>
      <c r="B45" s="10" t="s">
        <v>16</v>
      </c>
      <c r="C45" s="66">
        <f t="shared" si="5"/>
        <v>276798122.83600003</v>
      </c>
    </row>
    <row r="46" spans="1:31" x14ac:dyDescent="0.25">
      <c r="A46" s="10" t="s">
        <v>34</v>
      </c>
      <c r="B46" s="10" t="s">
        <v>17</v>
      </c>
      <c r="C46" s="66">
        <f t="shared" si="5"/>
        <v>84683436.100999996</v>
      </c>
      <c r="AE46" s="2"/>
    </row>
    <row r="47" spans="1:31" x14ac:dyDescent="0.25">
      <c r="A47" s="10" t="s">
        <v>34</v>
      </c>
      <c r="B47" s="10" t="s">
        <v>18</v>
      </c>
      <c r="C47" s="66">
        <f t="shared" si="5"/>
        <v>529998718.85500002</v>
      </c>
    </row>
    <row r="48" spans="1:31" x14ac:dyDescent="0.25">
      <c r="A48" s="10" t="s">
        <v>37</v>
      </c>
      <c r="B48" s="10" t="s">
        <v>22</v>
      </c>
      <c r="C48" s="66">
        <f t="shared" si="5"/>
        <v>185248141.62900001</v>
      </c>
    </row>
    <row r="49" spans="1:3" x14ac:dyDescent="0.25">
      <c r="A49" s="10" t="s">
        <v>37</v>
      </c>
      <c r="B49" s="10" t="s">
        <v>23</v>
      </c>
      <c r="C49" s="66">
        <f t="shared" si="5"/>
        <v>186208174.81</v>
      </c>
    </row>
    <row r="50" spans="1:3" x14ac:dyDescent="0.25">
      <c r="A50" s="10" t="s">
        <v>37</v>
      </c>
      <c r="B50" s="10" t="s">
        <v>24</v>
      </c>
      <c r="C50" s="66">
        <f t="shared" si="5"/>
        <v>261165071.553</v>
      </c>
    </row>
    <row r="51" spans="1:3" x14ac:dyDescent="0.25">
      <c r="A51" s="10" t="s">
        <v>37</v>
      </c>
      <c r="B51" s="10" t="s">
        <v>25</v>
      </c>
      <c r="C51" s="66">
        <f t="shared" si="5"/>
        <v>221984781.51100001</v>
      </c>
    </row>
    <row r="52" spans="1:3" x14ac:dyDescent="0.25">
      <c r="A52" s="10" t="s">
        <v>37</v>
      </c>
      <c r="B52" s="10" t="s">
        <v>26</v>
      </c>
      <c r="C52" s="66">
        <f t="shared" si="5"/>
        <v>290628756.80000001</v>
      </c>
    </row>
    <row r="53" spans="1:3" x14ac:dyDescent="0.25">
      <c r="A53" s="10" t="s">
        <v>36</v>
      </c>
      <c r="B53" s="10" t="s">
        <v>20</v>
      </c>
      <c r="C53" s="66">
        <f t="shared" si="5"/>
        <v>57188520.913000003</v>
      </c>
    </row>
    <row r="54" spans="1:3" x14ac:dyDescent="0.25">
      <c r="A54" s="10" t="s">
        <v>36</v>
      </c>
      <c r="B54" s="10" t="s">
        <v>21</v>
      </c>
      <c r="C54" s="66">
        <f t="shared" si="5"/>
        <v>165533962.18200001</v>
      </c>
    </row>
    <row r="55" spans="1:3" x14ac:dyDescent="0.25">
      <c r="A55" s="10" t="s">
        <v>29</v>
      </c>
      <c r="B55" s="10" t="s">
        <v>7</v>
      </c>
      <c r="C55" s="66">
        <f t="shared" si="5"/>
        <v>330342678.48199999</v>
      </c>
    </row>
    <row r="56" spans="1:3" x14ac:dyDescent="0.25">
      <c r="A56" s="10" t="s">
        <v>28</v>
      </c>
      <c r="B56" s="10" t="s">
        <v>5</v>
      </c>
      <c r="C56" s="66">
        <f t="shared" si="5"/>
        <v>109762439.13983899</v>
      </c>
    </row>
    <row r="57" spans="1:3" x14ac:dyDescent="0.25">
      <c r="A57" s="10" t="s">
        <v>28</v>
      </c>
      <c r="B57" s="10" t="s">
        <v>6</v>
      </c>
      <c r="C57" s="66">
        <f t="shared" si="5"/>
        <v>264234643.18351853</v>
      </c>
    </row>
    <row r="58" spans="1:3" x14ac:dyDescent="0.25">
      <c r="A58" s="10" t="s">
        <v>28</v>
      </c>
      <c r="B58" s="10" t="s">
        <v>12</v>
      </c>
      <c r="C58" s="66">
        <f t="shared" si="5"/>
        <v>299053485.45205092</v>
      </c>
    </row>
    <row r="59" spans="1:3" x14ac:dyDescent="0.25">
      <c r="A59" s="10" t="s">
        <v>28</v>
      </c>
      <c r="B59" s="10" t="s">
        <v>19</v>
      </c>
      <c r="C59" s="66">
        <f t="shared" si="5"/>
        <v>75962949.638591543</v>
      </c>
    </row>
    <row r="60" spans="1:3" x14ac:dyDescent="0.25">
      <c r="A60" s="62" t="s">
        <v>725</v>
      </c>
      <c r="B60" s="62" t="s">
        <v>467</v>
      </c>
      <c r="C60" s="24">
        <f>SUM(K29, C29)</f>
        <v>4135866351.9120007</v>
      </c>
    </row>
  </sheetData>
  <sortState ref="A2:B27">
    <sortCondition ref="A2"/>
  </sortState>
  <mergeCells count="7">
    <mergeCell ref="N1:AA1"/>
    <mergeCell ref="AB1:AC1"/>
    <mergeCell ref="A32:B32"/>
    <mergeCell ref="A1:B1"/>
    <mergeCell ref="C1:D1"/>
    <mergeCell ref="E1:F1"/>
    <mergeCell ref="G1:H1"/>
  </mergeCells>
  <conditionalFormatting sqref="N3:AC28">
    <cfRule type="containsBlanks" dxfId="5" priority="8">
      <formula>LEN(TRIM(N3))=0</formula>
    </cfRule>
  </conditionalFormatting>
  <conditionalFormatting sqref="C34:C59 K3:K28 E3:I28">
    <cfRule type="cellIs" dxfId="4" priority="4" operator="between">
      <formula>0</formula>
      <formula>0</formula>
    </cfRule>
    <cfRule type="containsBlanks" dxfId="3" priority="9">
      <formula>LEN(TRIM(C3))=0</formula>
    </cfRule>
  </conditionalFormatting>
  <conditionalFormatting sqref="D29">
    <cfRule type="cellIs" dxfId="2" priority="2" operator="between">
      <formula>0</formula>
      <formula>0</formula>
    </cfRule>
    <cfRule type="containsBlanks" dxfId="1" priority="10">
      <formula>LEN(TRIM(D29))=0</formula>
    </cfRule>
  </conditionalFormatting>
  <conditionalFormatting sqref="M3:M29">
    <cfRule type="cellIs" dxfId="0" priority="1" operator="equal">
      <formula>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D17"/>
  <sheetViews>
    <sheetView workbookViewId="0">
      <selection activeCell="D5" sqref="D5"/>
    </sheetView>
  </sheetViews>
  <sheetFormatPr defaultRowHeight="15" x14ac:dyDescent="0.25"/>
  <cols>
    <col min="1" max="1" width="16.7109375" bestFit="1" customWidth="1"/>
    <col min="2" max="2" width="11.7109375" bestFit="1" customWidth="1"/>
    <col min="3" max="3" width="28.5703125" bestFit="1" customWidth="1"/>
    <col min="4" max="4" width="30" bestFit="1" customWidth="1"/>
  </cols>
  <sheetData>
    <row r="1" spans="1:4" x14ac:dyDescent="0.25">
      <c r="A1" s="138" t="s">
        <v>47</v>
      </c>
      <c r="B1" s="138"/>
      <c r="C1" s="138"/>
      <c r="D1" s="138"/>
    </row>
    <row r="2" spans="1:4" x14ac:dyDescent="0.25">
      <c r="A2" s="9" t="s">
        <v>38</v>
      </c>
      <c r="B2" s="9" t="s">
        <v>0</v>
      </c>
      <c r="C2" s="9" t="s">
        <v>369</v>
      </c>
      <c r="D2" s="9" t="s">
        <v>370</v>
      </c>
    </row>
    <row r="3" spans="1:4" x14ac:dyDescent="0.25">
      <c r="A3" s="10" t="s">
        <v>39</v>
      </c>
      <c r="B3" s="10" t="s">
        <v>28</v>
      </c>
      <c r="C3" s="66">
        <v>7395</v>
      </c>
      <c r="D3" s="66">
        <v>9698</v>
      </c>
    </row>
    <row r="4" spans="1:4" x14ac:dyDescent="0.25">
      <c r="A4" s="10" t="s">
        <v>40</v>
      </c>
      <c r="B4" s="10" t="s">
        <v>28</v>
      </c>
      <c r="C4" s="66">
        <v>52</v>
      </c>
      <c r="D4" s="66">
        <v>926</v>
      </c>
    </row>
    <row r="5" spans="1:4" x14ac:dyDescent="0.25">
      <c r="A5" s="10" t="s">
        <v>41</v>
      </c>
      <c r="B5" s="10" t="s">
        <v>33</v>
      </c>
      <c r="C5" s="66">
        <v>35</v>
      </c>
      <c r="D5" s="66">
        <v>57</v>
      </c>
    </row>
    <row r="6" spans="1:4" x14ac:dyDescent="0.25">
      <c r="A6" s="10" t="s">
        <v>42</v>
      </c>
      <c r="B6" s="10" t="s">
        <v>33</v>
      </c>
      <c r="C6" s="66">
        <v>8571</v>
      </c>
      <c r="D6" s="66">
        <v>510</v>
      </c>
    </row>
    <row r="7" spans="1:4" x14ac:dyDescent="0.25">
      <c r="A7" s="10" t="s">
        <v>43</v>
      </c>
      <c r="B7" s="10" t="s">
        <v>35</v>
      </c>
      <c r="C7" s="66">
        <v>17386</v>
      </c>
      <c r="D7" s="66">
        <v>851</v>
      </c>
    </row>
    <row r="8" spans="1:4" x14ac:dyDescent="0.25">
      <c r="A8" s="10" t="s">
        <v>44</v>
      </c>
      <c r="B8" s="10" t="s">
        <v>35</v>
      </c>
      <c r="C8" s="66">
        <v>23590</v>
      </c>
      <c r="D8" s="66">
        <v>570</v>
      </c>
    </row>
    <row r="9" spans="1:4" x14ac:dyDescent="0.25">
      <c r="A9" s="10" t="s">
        <v>45</v>
      </c>
      <c r="B9" s="10" t="s">
        <v>35</v>
      </c>
      <c r="C9" s="66">
        <v>2068</v>
      </c>
      <c r="D9" s="66">
        <v>190</v>
      </c>
    </row>
    <row r="10" spans="1:4" x14ac:dyDescent="0.25">
      <c r="A10" s="4"/>
      <c r="B10" s="22" t="s">
        <v>371</v>
      </c>
      <c r="C10" s="80">
        <f>SUM(C3:C9)</f>
        <v>59097</v>
      </c>
      <c r="D10" s="80">
        <f>SUM(D3:D9)</f>
        <v>12802</v>
      </c>
    </row>
    <row r="11" spans="1:4" x14ac:dyDescent="0.25">
      <c r="A11" s="4"/>
      <c r="B11" s="22" t="s">
        <v>372</v>
      </c>
      <c r="C11" s="80">
        <f>1000*C10</f>
        <v>59097000</v>
      </c>
      <c r="D11" s="80">
        <f>1000*D10</f>
        <v>12802000</v>
      </c>
    </row>
    <row r="12" spans="1:4" x14ac:dyDescent="0.25">
      <c r="A12" s="8"/>
      <c r="B12" s="8"/>
      <c r="C12" s="8"/>
      <c r="D12" s="8"/>
    </row>
    <row r="13" spans="1:4" x14ac:dyDescent="0.25">
      <c r="A13" s="138" t="s">
        <v>50</v>
      </c>
      <c r="B13" s="138"/>
      <c r="C13" s="138"/>
      <c r="D13" s="138"/>
    </row>
    <row r="14" spans="1:4" x14ac:dyDescent="0.25">
      <c r="A14" s="9" t="s">
        <v>53</v>
      </c>
      <c r="B14" s="9" t="s">
        <v>0</v>
      </c>
      <c r="C14" s="9" t="s">
        <v>54</v>
      </c>
      <c r="D14" s="9" t="s">
        <v>55</v>
      </c>
    </row>
    <row r="15" spans="1:4" x14ac:dyDescent="0.25">
      <c r="A15" s="10" t="s">
        <v>51</v>
      </c>
      <c r="B15" s="10" t="s">
        <v>52</v>
      </c>
      <c r="C15" s="21">
        <v>1911</v>
      </c>
      <c r="D15" s="21">
        <v>2199</v>
      </c>
    </row>
    <row r="16" spans="1:4" x14ac:dyDescent="0.25">
      <c r="A16" s="4"/>
      <c r="B16" s="26" t="s">
        <v>371</v>
      </c>
      <c r="C16" s="25">
        <f>C15</f>
        <v>1911</v>
      </c>
      <c r="D16" s="25">
        <f>D15</f>
        <v>2199</v>
      </c>
    </row>
    <row r="17" spans="2:4" x14ac:dyDescent="0.25">
      <c r="B17" s="26" t="s">
        <v>372</v>
      </c>
      <c r="C17" s="25">
        <f>C15*1000</f>
        <v>1911000</v>
      </c>
      <c r="D17" s="25">
        <f>D15*1000</f>
        <v>2199000</v>
      </c>
    </row>
  </sheetData>
  <mergeCells count="2">
    <mergeCell ref="A13:D13"/>
    <mergeCell ref="A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140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133</v>
      </c>
      <c r="B3" s="15" t="s">
        <v>27</v>
      </c>
      <c r="C3" s="15" t="s">
        <v>3</v>
      </c>
      <c r="D3" s="82" t="s">
        <v>60</v>
      </c>
      <c r="E3" s="82"/>
      <c r="F3" s="82"/>
      <c r="G3" s="82"/>
      <c r="H3" s="12">
        <v>960</v>
      </c>
      <c r="I3" s="12">
        <v>62367</v>
      </c>
      <c r="J3" t="s">
        <v>486</v>
      </c>
    </row>
    <row r="4" spans="1:10" x14ac:dyDescent="0.25">
      <c r="A4" s="17">
        <v>112</v>
      </c>
      <c r="B4" s="15" t="s">
        <v>27</v>
      </c>
      <c r="C4" s="15" t="s">
        <v>3</v>
      </c>
      <c r="D4" s="17" t="s">
        <v>61</v>
      </c>
      <c r="E4" s="17">
        <v>133</v>
      </c>
      <c r="F4" s="15" t="s">
        <v>27</v>
      </c>
      <c r="G4" s="15" t="s">
        <v>3</v>
      </c>
      <c r="H4" s="12">
        <v>519797</v>
      </c>
      <c r="I4" s="12">
        <v>162436</v>
      </c>
    </row>
    <row r="5" spans="1:10" x14ac:dyDescent="0.25">
      <c r="A5" s="17">
        <v>133</v>
      </c>
      <c r="B5" s="15" t="s">
        <v>27</v>
      </c>
      <c r="C5" s="15" t="s">
        <v>3</v>
      </c>
      <c r="D5" s="82" t="s">
        <v>62</v>
      </c>
      <c r="E5" s="82"/>
      <c r="F5" s="82"/>
      <c r="G5" s="82"/>
      <c r="H5" s="12">
        <v>18</v>
      </c>
      <c r="I5" s="12">
        <v>441780</v>
      </c>
      <c r="J5" t="s">
        <v>486</v>
      </c>
    </row>
    <row r="6" spans="1:10" x14ac:dyDescent="0.25">
      <c r="A6" s="17">
        <v>133</v>
      </c>
      <c r="B6" s="15" t="s">
        <v>27</v>
      </c>
      <c r="C6" s="15" t="s">
        <v>3</v>
      </c>
      <c r="D6" s="17" t="s">
        <v>63</v>
      </c>
      <c r="E6" s="17">
        <v>112</v>
      </c>
      <c r="F6" s="15" t="s">
        <v>27</v>
      </c>
      <c r="G6" s="15" t="s">
        <v>3</v>
      </c>
      <c r="H6" s="12">
        <v>162481</v>
      </c>
      <c r="I6" s="12">
        <v>519819</v>
      </c>
    </row>
  </sheetData>
  <mergeCells count="3">
    <mergeCell ref="A1:C1"/>
    <mergeCell ref="D1:G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ConsumptionMixContributionNet</vt:lpstr>
      <vt:lpstr>ConsumptionMixContributionGross</vt:lpstr>
      <vt:lpstr>General Information</vt:lpstr>
      <vt:lpstr>Contents</vt:lpstr>
      <vt:lpstr>ConsumptionMixContributions</vt:lpstr>
      <vt:lpstr>NERC SSP Contributions</vt:lpstr>
      <vt:lpstr>Consumption Calculations</vt:lpstr>
      <vt:lpstr>International Trading Data</vt:lpstr>
      <vt:lpstr>ASCC</vt:lpstr>
      <vt:lpstr>FRCC</vt:lpstr>
      <vt:lpstr>HICC</vt:lpstr>
      <vt:lpstr>MRO</vt:lpstr>
      <vt:lpstr>NPCC</vt:lpstr>
      <vt:lpstr>RFC</vt:lpstr>
      <vt:lpstr>SERC</vt:lpstr>
      <vt:lpstr>SPP</vt:lpstr>
      <vt:lpstr>TRE</vt:lpstr>
      <vt:lpstr>WECC</vt:lpstr>
      <vt:lpstr>#Misc FERC data</vt:lpstr>
      <vt:lpstr>FERC Respondent IDs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2018-06-26T19:47:50Z</dcterms:modified>
</cp:coreProperties>
</file>