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ECC88C2-6B22-44F9-B924-2B77A33AAD22}" xr6:coauthVersionLast="47" xr6:coauthVersionMax="47" xr10:uidLastSave="{00000000-0000-0000-0000-000000000000}"/>
  <bookViews>
    <workbookView xWindow="-108" yWindow="-108" windowWidth="23256" windowHeight="12456" firstSheet="4" activeTab="7" xr2:uid="{194B089D-8286-489E-9529-3F9ABF8F87A4}"/>
  </bookViews>
  <sheets>
    <sheet name="YTM" sheetId="4" r:id="rId1"/>
    <sheet name="Yield Variation" sheetId="2" r:id="rId2"/>
    <sheet name="YTC, YTW" sheetId="5" r:id="rId3"/>
    <sheet name="YTC using formula" sheetId="6" r:id="rId4"/>
    <sheet name="Sample Sheet" sheetId="7" r:id="rId5"/>
    <sheet name="DCF" sheetId="8" r:id="rId6"/>
    <sheet name="cusips" sheetId="17" r:id="rId7"/>
    <sheet name="38141GZN7" sheetId="19" r:id="rId8"/>
    <sheet name="55608JBG2" sheetId="20" r:id="rId9"/>
    <sheet name="46647PCE4" sheetId="22" r:id="rId10"/>
    <sheet name="61747YFE0" sheetId="21" r:id="rId11"/>
    <sheet name="172967PA3" sheetId="18" r:id="rId12"/>
    <sheet name="06051GLS6" sheetId="23" r:id="rId1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9" l="1"/>
  <c r="A35" i="23"/>
  <c r="AA39" i="23"/>
  <c r="AA38" i="23"/>
  <c r="AA37" i="23"/>
  <c r="AA36" i="23"/>
  <c r="AA35" i="23"/>
  <c r="AA34" i="23"/>
  <c r="AA33" i="23"/>
  <c r="AA32" i="23"/>
  <c r="AA31" i="23"/>
  <c r="AA30" i="23"/>
  <c r="AA29" i="23"/>
  <c r="AA28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Q39" i="23"/>
  <c r="Q38" i="23"/>
  <c r="Q37" i="23"/>
  <c r="Q36" i="23"/>
  <c r="Q35" i="23"/>
  <c r="Q34" i="23"/>
  <c r="Q33" i="23"/>
  <c r="Q32" i="23"/>
  <c r="Q31" i="23"/>
  <c r="Q30" i="23"/>
  <c r="Q29" i="23"/>
  <c r="Q28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AA27" i="23"/>
  <c r="V27" i="23"/>
  <c r="Q27" i="23"/>
  <c r="L27" i="23"/>
  <c r="AA49" i="18"/>
  <c r="AA48" i="18"/>
  <c r="AA47" i="18"/>
  <c r="AA46" i="18"/>
  <c r="AA45" i="18"/>
  <c r="AA44" i="18"/>
  <c r="AA43" i="18"/>
  <c r="AA42" i="18"/>
  <c r="AA41" i="18"/>
  <c r="AA40" i="18"/>
  <c r="AA39" i="18"/>
  <c r="AA38" i="18"/>
  <c r="AA37" i="18"/>
  <c r="AA36" i="18"/>
  <c r="AA35" i="18"/>
  <c r="AA34" i="18"/>
  <c r="AA33" i="18"/>
  <c r="AA32" i="18"/>
  <c r="AA31" i="18"/>
  <c r="AA30" i="18"/>
  <c r="AA28" i="18"/>
  <c r="V49" i="18"/>
  <c r="V48" i="18"/>
  <c r="V47" i="18"/>
  <c r="V46" i="18"/>
  <c r="V45" i="18"/>
  <c r="V44" i="18"/>
  <c r="V43" i="18"/>
  <c r="V42" i="18"/>
  <c r="V41" i="18"/>
  <c r="V40" i="18"/>
  <c r="V39" i="18"/>
  <c r="V38" i="18"/>
  <c r="V37" i="18"/>
  <c r="V36" i="18"/>
  <c r="V35" i="18"/>
  <c r="V34" i="18"/>
  <c r="V33" i="18"/>
  <c r="V32" i="18"/>
  <c r="V31" i="18"/>
  <c r="V30" i="18"/>
  <c r="V28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8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8" i="18"/>
  <c r="AA29" i="18"/>
  <c r="V29" i="18"/>
  <c r="Q29" i="18"/>
  <c r="L29" i="18"/>
  <c r="AA49" i="21"/>
  <c r="AA48" i="21"/>
  <c r="AA47" i="21"/>
  <c r="AA46" i="21"/>
  <c r="AA45" i="21"/>
  <c r="AA44" i="21"/>
  <c r="AA43" i="21"/>
  <c r="AA42" i="21"/>
  <c r="AA41" i="21"/>
  <c r="AA40" i="21"/>
  <c r="AA39" i="21"/>
  <c r="AA38" i="21"/>
  <c r="AA37" i="21"/>
  <c r="AA36" i="21"/>
  <c r="AA35" i="21"/>
  <c r="AA34" i="21"/>
  <c r="AA33" i="21"/>
  <c r="AA32" i="21"/>
  <c r="AA31" i="21"/>
  <c r="AA30" i="21"/>
  <c r="AA28" i="21"/>
  <c r="AA27" i="21"/>
  <c r="V49" i="21"/>
  <c r="V48" i="21"/>
  <c r="V47" i="21"/>
  <c r="V46" i="21"/>
  <c r="V45" i="21"/>
  <c r="V44" i="21"/>
  <c r="V43" i="21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8" i="21"/>
  <c r="V27" i="21"/>
  <c r="V29" i="21"/>
  <c r="Q49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Q36" i="21"/>
  <c r="Q35" i="21"/>
  <c r="Q34" i="21"/>
  <c r="Q33" i="21"/>
  <c r="Q32" i="21"/>
  <c r="Q31" i="21"/>
  <c r="Q30" i="21"/>
  <c r="Q28" i="21"/>
  <c r="Q27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8" i="21"/>
  <c r="L27" i="21"/>
  <c r="AA29" i="21"/>
  <c r="Q29" i="21"/>
  <c r="L29" i="21"/>
  <c r="AF89" i="22"/>
  <c r="AF88" i="22"/>
  <c r="AF87" i="22"/>
  <c r="AF86" i="22"/>
  <c r="AF85" i="22"/>
  <c r="AF84" i="22"/>
  <c r="AF83" i="22"/>
  <c r="AF82" i="22"/>
  <c r="AF81" i="22"/>
  <c r="AF80" i="22"/>
  <c r="AF79" i="22"/>
  <c r="AF78" i="22"/>
  <c r="AF77" i="22"/>
  <c r="AF76" i="22"/>
  <c r="AF75" i="22"/>
  <c r="AF74" i="22"/>
  <c r="AF73" i="22"/>
  <c r="AF72" i="22"/>
  <c r="AF71" i="22"/>
  <c r="AF70" i="22"/>
  <c r="AF69" i="22"/>
  <c r="AF68" i="22"/>
  <c r="AF67" i="22"/>
  <c r="AF66" i="22"/>
  <c r="AF65" i="22"/>
  <c r="AF64" i="22"/>
  <c r="AF63" i="22"/>
  <c r="AF62" i="22"/>
  <c r="AF61" i="22"/>
  <c r="AF60" i="22"/>
  <c r="AF59" i="22"/>
  <c r="AF58" i="22"/>
  <c r="AF57" i="22"/>
  <c r="AF56" i="22"/>
  <c r="AF55" i="22"/>
  <c r="AF54" i="22"/>
  <c r="AF53" i="22"/>
  <c r="AF52" i="22"/>
  <c r="AF51" i="22"/>
  <c r="AF50" i="22"/>
  <c r="AF49" i="22"/>
  <c r="AF48" i="22"/>
  <c r="AF47" i="22"/>
  <c r="AF46" i="22"/>
  <c r="AF45" i="22"/>
  <c r="AF44" i="22"/>
  <c r="AF43" i="22"/>
  <c r="AF42" i="22"/>
  <c r="AF41" i="22"/>
  <c r="AF40" i="22"/>
  <c r="AF39" i="22"/>
  <c r="AF38" i="22"/>
  <c r="AF37" i="22"/>
  <c r="AF36" i="22"/>
  <c r="AF35" i="22"/>
  <c r="AF34" i="22"/>
  <c r="AF33" i="22"/>
  <c r="AA89" i="22"/>
  <c r="AA88" i="22"/>
  <c r="AA87" i="22"/>
  <c r="AA86" i="22"/>
  <c r="AA85" i="22"/>
  <c r="AA84" i="22"/>
  <c r="AA83" i="22"/>
  <c r="AA82" i="22"/>
  <c r="AA81" i="22"/>
  <c r="AA80" i="22"/>
  <c r="AA79" i="22"/>
  <c r="AA78" i="22"/>
  <c r="AA77" i="22"/>
  <c r="AA76" i="22"/>
  <c r="AA75" i="22"/>
  <c r="AA74" i="22"/>
  <c r="AA73" i="22"/>
  <c r="AA72" i="22"/>
  <c r="AA71" i="22"/>
  <c r="AA70" i="22"/>
  <c r="AA69" i="22"/>
  <c r="AA68" i="22"/>
  <c r="AA67" i="22"/>
  <c r="AA66" i="22"/>
  <c r="AA65" i="22"/>
  <c r="AA64" i="22"/>
  <c r="AA63" i="22"/>
  <c r="AA62" i="22"/>
  <c r="AA61" i="22"/>
  <c r="AA60" i="22"/>
  <c r="AA59" i="22"/>
  <c r="AA58" i="22"/>
  <c r="AA57" i="22"/>
  <c r="AA56" i="22"/>
  <c r="AA55" i="22"/>
  <c r="AA54" i="22"/>
  <c r="AA53" i="22"/>
  <c r="AA52" i="22"/>
  <c r="AA51" i="22"/>
  <c r="AA50" i="22"/>
  <c r="AA49" i="22"/>
  <c r="AA48" i="22"/>
  <c r="AA47" i="22"/>
  <c r="AA46" i="22"/>
  <c r="AA45" i="22"/>
  <c r="AA44" i="22"/>
  <c r="AA43" i="22"/>
  <c r="AA42" i="22"/>
  <c r="AA41" i="22"/>
  <c r="AA40" i="22"/>
  <c r="AA39" i="22"/>
  <c r="AA38" i="22"/>
  <c r="AA37" i="22"/>
  <c r="AA36" i="22"/>
  <c r="AA35" i="22"/>
  <c r="AA34" i="22"/>
  <c r="AA33" i="22"/>
  <c r="AA32" i="22"/>
  <c r="V89" i="22"/>
  <c r="V88" i="22"/>
  <c r="V87" i="22"/>
  <c r="V86" i="22"/>
  <c r="V85" i="22"/>
  <c r="V84" i="22"/>
  <c r="V83" i="22"/>
  <c r="V82" i="22"/>
  <c r="V81" i="22"/>
  <c r="V80" i="22"/>
  <c r="V79" i="22"/>
  <c r="V78" i="22"/>
  <c r="V77" i="22"/>
  <c r="V76" i="22"/>
  <c r="V75" i="22"/>
  <c r="V74" i="22"/>
  <c r="V73" i="22"/>
  <c r="V72" i="22"/>
  <c r="V71" i="22"/>
  <c r="V70" i="22"/>
  <c r="V69" i="22"/>
  <c r="V68" i="22"/>
  <c r="V67" i="22"/>
  <c r="V66" i="22"/>
  <c r="V65" i="22"/>
  <c r="V64" i="22"/>
  <c r="V63" i="22"/>
  <c r="V62" i="22"/>
  <c r="V61" i="22"/>
  <c r="V60" i="22"/>
  <c r="V59" i="22"/>
  <c r="V58" i="22"/>
  <c r="V57" i="22"/>
  <c r="V56" i="22"/>
  <c r="V55" i="22"/>
  <c r="V54" i="22"/>
  <c r="V53" i="22"/>
  <c r="V52" i="22"/>
  <c r="V51" i="22"/>
  <c r="V50" i="22"/>
  <c r="V49" i="22"/>
  <c r="V48" i="22"/>
  <c r="V47" i="22"/>
  <c r="V46" i="22"/>
  <c r="V45" i="22"/>
  <c r="V44" i="22"/>
  <c r="V43" i="22"/>
  <c r="V42" i="22"/>
  <c r="V41" i="22"/>
  <c r="V40" i="22"/>
  <c r="V39" i="22"/>
  <c r="V38" i="22"/>
  <c r="V37" i="22"/>
  <c r="V36" i="22"/>
  <c r="V35" i="22"/>
  <c r="V34" i="22"/>
  <c r="V33" i="22"/>
  <c r="Q89" i="22"/>
  <c r="Q88" i="22"/>
  <c r="Q87" i="22"/>
  <c r="Q86" i="22"/>
  <c r="Q85" i="22"/>
  <c r="Q84" i="22"/>
  <c r="Q83" i="22"/>
  <c r="Q82" i="22"/>
  <c r="Q81" i="22"/>
  <c r="Q80" i="22"/>
  <c r="Q79" i="22"/>
  <c r="Q78" i="22"/>
  <c r="Q77" i="22"/>
  <c r="Q76" i="22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L52" i="22"/>
  <c r="L51" i="22"/>
  <c r="L50" i="22"/>
  <c r="L49" i="22"/>
  <c r="L48" i="22"/>
  <c r="L47" i="22"/>
  <c r="L46" i="22"/>
  <c r="L45" i="22"/>
  <c r="L44" i="22"/>
  <c r="L43" i="22"/>
  <c r="L42" i="22"/>
  <c r="L41" i="22"/>
  <c r="L40" i="22"/>
  <c r="L39" i="22"/>
  <c r="L38" i="22"/>
  <c r="L37" i="22"/>
  <c r="L36" i="22"/>
  <c r="L35" i="22"/>
  <c r="L34" i="22"/>
  <c r="L33" i="22"/>
  <c r="L32" i="22"/>
  <c r="AF32" i="22"/>
  <c r="V32" i="22"/>
  <c r="Q32" i="22"/>
  <c r="AA50" i="20"/>
  <c r="AA49" i="20"/>
  <c r="AA48" i="20"/>
  <c r="AA47" i="20"/>
  <c r="AA46" i="20"/>
  <c r="AA45" i="20"/>
  <c r="AA44" i="20"/>
  <c r="AA43" i="20"/>
  <c r="AA42" i="20"/>
  <c r="AA41" i="20"/>
  <c r="AA40" i="20"/>
  <c r="AA39" i="20"/>
  <c r="AA38" i="20"/>
  <c r="AA37" i="20"/>
  <c r="AA36" i="20"/>
  <c r="AA35" i="20"/>
  <c r="AA34" i="20"/>
  <c r="AA33" i="20"/>
  <c r="AA32" i="20"/>
  <c r="AA30" i="20"/>
  <c r="AA29" i="20"/>
  <c r="V50" i="20"/>
  <c r="V49" i="20"/>
  <c r="V48" i="20"/>
  <c r="V47" i="20"/>
  <c r="V46" i="20"/>
  <c r="V45" i="20"/>
  <c r="V44" i="20"/>
  <c r="V43" i="20"/>
  <c r="V42" i="20"/>
  <c r="V41" i="20"/>
  <c r="V40" i="20"/>
  <c r="V39" i="20"/>
  <c r="V38" i="20"/>
  <c r="V37" i="20"/>
  <c r="V36" i="20"/>
  <c r="V35" i="20"/>
  <c r="V34" i="20"/>
  <c r="V33" i="20"/>
  <c r="V32" i="20"/>
  <c r="V30" i="20"/>
  <c r="V29" i="20"/>
  <c r="Q50" i="20"/>
  <c r="Q49" i="20"/>
  <c r="Q48" i="20"/>
  <c r="Q47" i="20"/>
  <c r="Q46" i="20"/>
  <c r="Q45" i="20"/>
  <c r="Q44" i="20"/>
  <c r="Q43" i="20"/>
  <c r="Q42" i="20"/>
  <c r="Q41" i="20"/>
  <c r="Q40" i="20"/>
  <c r="Q39" i="20"/>
  <c r="Q38" i="20"/>
  <c r="Q37" i="20"/>
  <c r="Q36" i="20"/>
  <c r="Q35" i="20"/>
  <c r="Q34" i="20"/>
  <c r="Q33" i="20"/>
  <c r="Q32" i="20"/>
  <c r="Q30" i="20"/>
  <c r="Q29" i="20"/>
  <c r="AA31" i="20"/>
  <c r="V31" i="20"/>
  <c r="Q31" i="20"/>
  <c r="AF70" i="19"/>
  <c r="AF69" i="19"/>
  <c r="AF68" i="19"/>
  <c r="AF67" i="19"/>
  <c r="AF66" i="19"/>
  <c r="AF65" i="19"/>
  <c r="AF64" i="19"/>
  <c r="AF63" i="19"/>
  <c r="AF62" i="19"/>
  <c r="AF61" i="19"/>
  <c r="AF60" i="19"/>
  <c r="AF59" i="19"/>
  <c r="AF58" i="19"/>
  <c r="AF57" i="19"/>
  <c r="AF56" i="19"/>
  <c r="AF55" i="19"/>
  <c r="AF54" i="19"/>
  <c r="AF53" i="19"/>
  <c r="AF52" i="19"/>
  <c r="AF51" i="19"/>
  <c r="AF50" i="19"/>
  <c r="AF49" i="19"/>
  <c r="AF48" i="19"/>
  <c r="AF47" i="19"/>
  <c r="AF46" i="19"/>
  <c r="AF45" i="19"/>
  <c r="AF44" i="19"/>
  <c r="AF43" i="19"/>
  <c r="AF42" i="19"/>
  <c r="AF41" i="19"/>
  <c r="AF40" i="19"/>
  <c r="AF39" i="19"/>
  <c r="AF38" i="19"/>
  <c r="AF37" i="19"/>
  <c r="AF36" i="19"/>
  <c r="AF35" i="19"/>
  <c r="AF34" i="19"/>
  <c r="AF33" i="19"/>
  <c r="AF32" i="19"/>
  <c r="AF31" i="19"/>
  <c r="AA31" i="19"/>
  <c r="AA32" i="19"/>
  <c r="AA33" i="19"/>
  <c r="AA34" i="19"/>
  <c r="AA35" i="19"/>
  <c r="AA36" i="19"/>
  <c r="AA37" i="19"/>
  <c r="AA38" i="19"/>
  <c r="AA39" i="19"/>
  <c r="AA40" i="19"/>
  <c r="AA41" i="19"/>
  <c r="AA42" i="19"/>
  <c r="AA43" i="19"/>
  <c r="AA44" i="19"/>
  <c r="AA45" i="19"/>
  <c r="AA46" i="19"/>
  <c r="AA47" i="19"/>
  <c r="AA48" i="19"/>
  <c r="AA49" i="19"/>
  <c r="AA50" i="19"/>
  <c r="AA51" i="19"/>
  <c r="AA52" i="19"/>
  <c r="AA53" i="19"/>
  <c r="AA54" i="19"/>
  <c r="AA55" i="19"/>
  <c r="AA56" i="19"/>
  <c r="AA57" i="19"/>
  <c r="AA58" i="19"/>
  <c r="AA59" i="19"/>
  <c r="AA60" i="19"/>
  <c r="AA61" i="19"/>
  <c r="AA62" i="19"/>
  <c r="AA63" i="19"/>
  <c r="AA64" i="19"/>
  <c r="AA65" i="19"/>
  <c r="AA66" i="19"/>
  <c r="AA67" i="19"/>
  <c r="AA68" i="19"/>
  <c r="AA69" i="19"/>
  <c r="AA70" i="19"/>
  <c r="V70" i="19"/>
  <c r="V69" i="19"/>
  <c r="V68" i="19"/>
  <c r="V67" i="19"/>
  <c r="V66" i="19"/>
  <c r="V65" i="19"/>
  <c r="V64" i="19"/>
  <c r="V63" i="19"/>
  <c r="V62" i="19"/>
  <c r="V61" i="19"/>
  <c r="V60" i="19"/>
  <c r="V59" i="19"/>
  <c r="V58" i="19"/>
  <c r="V57" i="19"/>
  <c r="V56" i="19"/>
  <c r="V55" i="19"/>
  <c r="V54" i="19"/>
  <c r="V53" i="19"/>
  <c r="V52" i="19"/>
  <c r="V51" i="19"/>
  <c r="V50" i="19"/>
  <c r="V49" i="19"/>
  <c r="V48" i="19"/>
  <c r="V47" i="19"/>
  <c r="V46" i="19"/>
  <c r="V45" i="19"/>
  <c r="V44" i="19"/>
  <c r="V43" i="19"/>
  <c r="V42" i="19"/>
  <c r="V41" i="19"/>
  <c r="V40" i="19"/>
  <c r="V39" i="19"/>
  <c r="V38" i="19"/>
  <c r="V37" i="19"/>
  <c r="V36" i="19"/>
  <c r="V35" i="19"/>
  <c r="V34" i="19"/>
  <c r="V33" i="19"/>
  <c r="V32" i="19"/>
  <c r="V3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L3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50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49" i="20"/>
  <c r="L49" i="7"/>
  <c r="F39" i="23"/>
  <c r="G39" i="23" s="1"/>
  <c r="F38" i="23"/>
  <c r="G38" i="23" s="1"/>
  <c r="F37" i="23"/>
  <c r="G37" i="23" s="1"/>
  <c r="F36" i="23"/>
  <c r="G36" i="23" s="1"/>
  <c r="F35" i="23"/>
  <c r="G35" i="23" s="1"/>
  <c r="F34" i="23"/>
  <c r="G34" i="23" s="1"/>
  <c r="F33" i="23"/>
  <c r="G33" i="23" s="1"/>
  <c r="F32" i="23"/>
  <c r="G32" i="23" s="1"/>
  <c r="F31" i="23"/>
  <c r="G31" i="23" s="1"/>
  <c r="F30" i="23"/>
  <c r="G30" i="23" s="1"/>
  <c r="F29" i="23"/>
  <c r="G29" i="23" s="1"/>
  <c r="F28" i="23"/>
  <c r="G28" i="23" s="1"/>
  <c r="F27" i="23"/>
  <c r="G27" i="23" s="1"/>
  <c r="F49" i="18"/>
  <c r="G49" i="18" s="1"/>
  <c r="F48" i="18"/>
  <c r="G48" i="18" s="1"/>
  <c r="F47" i="18"/>
  <c r="G47" i="18" s="1"/>
  <c r="F46" i="18"/>
  <c r="G46" i="18" s="1"/>
  <c r="F45" i="18"/>
  <c r="G45" i="18" s="1"/>
  <c r="F44" i="18"/>
  <c r="G44" i="18" s="1"/>
  <c r="F43" i="18"/>
  <c r="G43" i="18" s="1"/>
  <c r="F42" i="18"/>
  <c r="G42" i="18" s="1"/>
  <c r="F41" i="18"/>
  <c r="G41" i="18" s="1"/>
  <c r="F40" i="18"/>
  <c r="G40" i="18" s="1"/>
  <c r="F39" i="18"/>
  <c r="G39" i="18" s="1"/>
  <c r="F38" i="18"/>
  <c r="G38" i="18" s="1"/>
  <c r="F37" i="18"/>
  <c r="G37" i="18" s="1"/>
  <c r="F36" i="18"/>
  <c r="G36" i="18" s="1"/>
  <c r="F35" i="18"/>
  <c r="G35" i="18" s="1"/>
  <c r="F34" i="18"/>
  <c r="G34" i="18" s="1"/>
  <c r="F33" i="18"/>
  <c r="G33" i="18" s="1"/>
  <c r="F32" i="18"/>
  <c r="G32" i="18" s="1"/>
  <c r="F31" i="18"/>
  <c r="G31" i="18" s="1"/>
  <c r="F30" i="18"/>
  <c r="G30" i="18" s="1"/>
  <c r="F29" i="18"/>
  <c r="G29" i="18" s="1"/>
  <c r="F28" i="18"/>
  <c r="G28" i="18" s="1"/>
  <c r="F49" i="21"/>
  <c r="G49" i="21" s="1"/>
  <c r="F48" i="21"/>
  <c r="G48" i="21" s="1"/>
  <c r="F47" i="21"/>
  <c r="G47" i="21" s="1"/>
  <c r="F46" i="21"/>
  <c r="G46" i="21" s="1"/>
  <c r="F45" i="21"/>
  <c r="G45" i="21" s="1"/>
  <c r="F44" i="21"/>
  <c r="G44" i="21" s="1"/>
  <c r="F43" i="21"/>
  <c r="G43" i="21" s="1"/>
  <c r="F42" i="21"/>
  <c r="G42" i="21" s="1"/>
  <c r="F41" i="21"/>
  <c r="G41" i="21" s="1"/>
  <c r="F40" i="21"/>
  <c r="G40" i="21" s="1"/>
  <c r="F39" i="21"/>
  <c r="G39" i="21" s="1"/>
  <c r="F38" i="21"/>
  <c r="G38" i="21" s="1"/>
  <c r="F37" i="21"/>
  <c r="G37" i="21" s="1"/>
  <c r="F36" i="21"/>
  <c r="G36" i="21" s="1"/>
  <c r="F35" i="21"/>
  <c r="G35" i="21" s="1"/>
  <c r="F34" i="21"/>
  <c r="G34" i="21" s="1"/>
  <c r="F33" i="21"/>
  <c r="G33" i="21" s="1"/>
  <c r="F32" i="21"/>
  <c r="G32" i="21" s="1"/>
  <c r="F31" i="21"/>
  <c r="G31" i="21" s="1"/>
  <c r="F30" i="21"/>
  <c r="G30" i="21" s="1"/>
  <c r="F29" i="21"/>
  <c r="G29" i="21" s="1"/>
  <c r="F28" i="21"/>
  <c r="G28" i="21" s="1"/>
  <c r="F27" i="21"/>
  <c r="G27" i="21" s="1"/>
  <c r="F89" i="22"/>
  <c r="G89" i="22" s="1"/>
  <c r="F88" i="22"/>
  <c r="G88" i="22" s="1"/>
  <c r="F87" i="22"/>
  <c r="G87" i="22" s="1"/>
  <c r="F86" i="22"/>
  <c r="G86" i="22" s="1"/>
  <c r="F85" i="22"/>
  <c r="G85" i="22" s="1"/>
  <c r="F84" i="22"/>
  <c r="G84" i="22" s="1"/>
  <c r="F83" i="22"/>
  <c r="G83" i="22" s="1"/>
  <c r="F82" i="22"/>
  <c r="G82" i="22" s="1"/>
  <c r="F81" i="22"/>
  <c r="G81" i="22" s="1"/>
  <c r="F80" i="22"/>
  <c r="G80" i="22" s="1"/>
  <c r="F79" i="22"/>
  <c r="G79" i="22" s="1"/>
  <c r="F78" i="22"/>
  <c r="G78" i="22" s="1"/>
  <c r="F77" i="22"/>
  <c r="G77" i="22" s="1"/>
  <c r="F76" i="22"/>
  <c r="G76" i="22" s="1"/>
  <c r="F75" i="22"/>
  <c r="G75" i="22" s="1"/>
  <c r="F74" i="22"/>
  <c r="G74" i="22" s="1"/>
  <c r="F73" i="22"/>
  <c r="G73" i="22" s="1"/>
  <c r="F72" i="22"/>
  <c r="G72" i="22" s="1"/>
  <c r="F71" i="22"/>
  <c r="G71" i="22" s="1"/>
  <c r="F70" i="22"/>
  <c r="G70" i="22" s="1"/>
  <c r="F69" i="22"/>
  <c r="G69" i="22" s="1"/>
  <c r="F68" i="22"/>
  <c r="G68" i="22" s="1"/>
  <c r="F67" i="22"/>
  <c r="G67" i="22" s="1"/>
  <c r="F66" i="22"/>
  <c r="G66" i="22" s="1"/>
  <c r="F65" i="22"/>
  <c r="G65" i="22" s="1"/>
  <c r="F64" i="22"/>
  <c r="G64" i="22" s="1"/>
  <c r="F63" i="22"/>
  <c r="G63" i="22" s="1"/>
  <c r="F62" i="22"/>
  <c r="G62" i="22" s="1"/>
  <c r="F61" i="22"/>
  <c r="G61" i="22" s="1"/>
  <c r="F60" i="22"/>
  <c r="G60" i="22" s="1"/>
  <c r="F59" i="22"/>
  <c r="G59" i="22" s="1"/>
  <c r="F58" i="22"/>
  <c r="G58" i="22" s="1"/>
  <c r="F57" i="22"/>
  <c r="G57" i="22" s="1"/>
  <c r="F56" i="22"/>
  <c r="G56" i="22" s="1"/>
  <c r="F55" i="22"/>
  <c r="G55" i="22" s="1"/>
  <c r="F54" i="22"/>
  <c r="G54" i="22" s="1"/>
  <c r="F53" i="22"/>
  <c r="G53" i="22" s="1"/>
  <c r="F52" i="22"/>
  <c r="G52" i="22" s="1"/>
  <c r="F51" i="22"/>
  <c r="G51" i="22" s="1"/>
  <c r="F50" i="22"/>
  <c r="G50" i="22" s="1"/>
  <c r="F49" i="22"/>
  <c r="G49" i="22" s="1"/>
  <c r="F48" i="22"/>
  <c r="G48" i="22" s="1"/>
  <c r="F47" i="22"/>
  <c r="G47" i="22" s="1"/>
  <c r="F46" i="22"/>
  <c r="G46" i="22" s="1"/>
  <c r="F45" i="22"/>
  <c r="G45" i="22" s="1"/>
  <c r="F44" i="22"/>
  <c r="G44" i="22" s="1"/>
  <c r="F43" i="22"/>
  <c r="G43" i="22" s="1"/>
  <c r="F42" i="22"/>
  <c r="G42" i="22" s="1"/>
  <c r="F41" i="22"/>
  <c r="G41" i="22" s="1"/>
  <c r="F40" i="22"/>
  <c r="G40" i="22" s="1"/>
  <c r="F39" i="22"/>
  <c r="G39" i="22" s="1"/>
  <c r="F38" i="22"/>
  <c r="G38" i="22" s="1"/>
  <c r="F37" i="22"/>
  <c r="G37" i="22" s="1"/>
  <c r="F36" i="22"/>
  <c r="G36" i="22" s="1"/>
  <c r="F35" i="22"/>
  <c r="G35" i="22" s="1"/>
  <c r="F34" i="22"/>
  <c r="G34" i="22" s="1"/>
  <c r="F33" i="22"/>
  <c r="G33" i="22" s="1"/>
  <c r="F32" i="22"/>
  <c r="G32" i="22" s="1"/>
  <c r="F50" i="20"/>
  <c r="G50" i="20" s="1"/>
  <c r="F49" i="20"/>
  <c r="G49" i="20" s="1"/>
  <c r="F48" i="20"/>
  <c r="G48" i="20" s="1"/>
  <c r="F47" i="20"/>
  <c r="G47" i="20" s="1"/>
  <c r="F46" i="20"/>
  <c r="G46" i="20" s="1"/>
  <c r="F45" i="20"/>
  <c r="G45" i="20" s="1"/>
  <c r="F44" i="20"/>
  <c r="G44" i="20" s="1"/>
  <c r="F43" i="20"/>
  <c r="G43" i="20" s="1"/>
  <c r="F42" i="20"/>
  <c r="G42" i="20" s="1"/>
  <c r="F41" i="20"/>
  <c r="G41" i="20" s="1"/>
  <c r="F40" i="20"/>
  <c r="G40" i="20" s="1"/>
  <c r="F39" i="20"/>
  <c r="G39" i="20" s="1"/>
  <c r="F38" i="20"/>
  <c r="G38" i="20" s="1"/>
  <c r="F37" i="20"/>
  <c r="G37" i="20" s="1"/>
  <c r="F36" i="20"/>
  <c r="G36" i="20" s="1"/>
  <c r="F35" i="20"/>
  <c r="G35" i="20" s="1"/>
  <c r="F34" i="20"/>
  <c r="G34" i="20" s="1"/>
  <c r="F33" i="20"/>
  <c r="G33" i="20" s="1"/>
  <c r="F32" i="20"/>
  <c r="G32" i="20" s="1"/>
  <c r="F31" i="20"/>
  <c r="G31" i="20" s="1"/>
  <c r="F30" i="20"/>
  <c r="G30" i="20" s="1"/>
  <c r="F29" i="20"/>
  <c r="G29" i="20" s="1"/>
  <c r="F70" i="19"/>
  <c r="G70" i="19" s="1"/>
  <c r="F69" i="19"/>
  <c r="G69" i="19" s="1"/>
  <c r="F68" i="19"/>
  <c r="G68" i="19" s="1"/>
  <c r="F67" i="19"/>
  <c r="G67" i="19" s="1"/>
  <c r="F66" i="19"/>
  <c r="G66" i="19" s="1"/>
  <c r="F65" i="19"/>
  <c r="G65" i="19" s="1"/>
  <c r="F64" i="19"/>
  <c r="G64" i="19" s="1"/>
  <c r="F63" i="19"/>
  <c r="G63" i="19" s="1"/>
  <c r="F62" i="19"/>
  <c r="G62" i="19" s="1"/>
  <c r="F61" i="19"/>
  <c r="G61" i="19" s="1"/>
  <c r="F60" i="19"/>
  <c r="G60" i="19" s="1"/>
  <c r="F59" i="19"/>
  <c r="G59" i="19" s="1"/>
  <c r="F58" i="19"/>
  <c r="G58" i="19" s="1"/>
  <c r="F57" i="19"/>
  <c r="G57" i="19" s="1"/>
  <c r="F56" i="19"/>
  <c r="G56" i="19" s="1"/>
  <c r="F55" i="19"/>
  <c r="G55" i="19" s="1"/>
  <c r="F54" i="19"/>
  <c r="G54" i="19" s="1"/>
  <c r="F53" i="19"/>
  <c r="G53" i="19" s="1"/>
  <c r="F52" i="19"/>
  <c r="G52" i="19" s="1"/>
  <c r="F51" i="19"/>
  <c r="G51" i="19" s="1"/>
  <c r="F50" i="19"/>
  <c r="G50" i="19" s="1"/>
  <c r="F49" i="19"/>
  <c r="G49" i="19" s="1"/>
  <c r="F48" i="19"/>
  <c r="G48" i="19" s="1"/>
  <c r="F47" i="19"/>
  <c r="G47" i="19" s="1"/>
  <c r="F46" i="19"/>
  <c r="G46" i="19" s="1"/>
  <c r="F45" i="19"/>
  <c r="G45" i="19" s="1"/>
  <c r="F44" i="19"/>
  <c r="G44" i="19" s="1"/>
  <c r="F43" i="19"/>
  <c r="G43" i="19" s="1"/>
  <c r="F42" i="19"/>
  <c r="G42" i="19" s="1"/>
  <c r="F41" i="19"/>
  <c r="G41" i="19" s="1"/>
  <c r="F40" i="19"/>
  <c r="G40" i="19" s="1"/>
  <c r="F39" i="19"/>
  <c r="G39" i="19" s="1"/>
  <c r="F38" i="19"/>
  <c r="G38" i="19" s="1"/>
  <c r="F37" i="19"/>
  <c r="G37" i="19" s="1"/>
  <c r="F36" i="19"/>
  <c r="G36" i="19" s="1"/>
  <c r="F35" i="19"/>
  <c r="G35" i="19" s="1"/>
  <c r="F34" i="19"/>
  <c r="G34" i="19" s="1"/>
  <c r="F33" i="19"/>
  <c r="G33" i="19" s="1"/>
  <c r="F32" i="19"/>
  <c r="G32" i="19" s="1"/>
  <c r="F31" i="19"/>
  <c r="G31" i="19" s="1"/>
  <c r="B31" i="19"/>
  <c r="B28" i="7"/>
  <c r="A26" i="23"/>
  <c r="A26" i="18"/>
  <c r="A27" i="18" s="1"/>
  <c r="A26" i="21"/>
  <c r="A26" i="22"/>
  <c r="A27" i="22"/>
  <c r="A28" i="22" s="1"/>
  <c r="A29" i="22" s="1"/>
  <c r="A30" i="22" s="1"/>
  <c r="A31" i="22" s="1"/>
  <c r="A26" i="20"/>
  <c r="A27" i="20" s="1"/>
  <c r="A28" i="20" s="1"/>
  <c r="H24" i="8"/>
  <c r="A26" i="19"/>
  <c r="A27" i="19" s="1"/>
  <c r="A28" i="19" s="1"/>
  <c r="A29" i="19" s="1"/>
  <c r="A30" i="19" s="1"/>
  <c r="D15" i="23"/>
  <c r="C15" i="23"/>
  <c r="D15" i="18"/>
  <c r="C15" i="18"/>
  <c r="C15" i="22"/>
  <c r="D15" i="21"/>
  <c r="C15" i="21"/>
  <c r="C15" i="20"/>
  <c r="C15" i="19"/>
  <c r="G24" i="23"/>
  <c r="G24" i="18"/>
  <c r="G24" i="22"/>
  <c r="G24" i="21"/>
  <c r="G24" i="20"/>
  <c r="G24" i="19"/>
  <c r="H49" i="8"/>
  <c r="H43" i="8"/>
  <c r="H37" i="8"/>
  <c r="H30" i="8"/>
  <c r="H18" i="8"/>
  <c r="H15" i="8"/>
  <c r="H12" i="8"/>
  <c r="H9" i="8"/>
  <c r="H6" i="8"/>
  <c r="H3" i="8"/>
  <c r="AF77" i="7"/>
  <c r="AG77" i="7" s="1"/>
  <c r="AH77" i="7" s="1"/>
  <c r="AA77" i="7"/>
  <c r="AB77" i="7" s="1"/>
  <c r="AC77" i="7" s="1"/>
  <c r="V77" i="7"/>
  <c r="W77" i="7" s="1"/>
  <c r="X77" i="7" s="1"/>
  <c r="Q77" i="7"/>
  <c r="R77" i="7" s="1"/>
  <c r="S77" i="7" s="1"/>
  <c r="L77" i="7"/>
  <c r="M77" i="7" s="1"/>
  <c r="N77" i="7" s="1"/>
  <c r="F77" i="7"/>
  <c r="G77" i="7" s="1"/>
  <c r="H77" i="7" s="1"/>
  <c r="I77" i="7" s="1"/>
  <c r="AF76" i="7"/>
  <c r="AG76" i="7" s="1"/>
  <c r="AH76" i="7" s="1"/>
  <c r="AA76" i="7"/>
  <c r="AB76" i="7" s="1"/>
  <c r="AC76" i="7" s="1"/>
  <c r="V76" i="7"/>
  <c r="W76" i="7" s="1"/>
  <c r="X76" i="7" s="1"/>
  <c r="Q76" i="7"/>
  <c r="R76" i="7" s="1"/>
  <c r="S76" i="7" s="1"/>
  <c r="L76" i="7"/>
  <c r="M76" i="7" s="1"/>
  <c r="N76" i="7" s="1"/>
  <c r="F76" i="7"/>
  <c r="G76" i="7" s="1"/>
  <c r="H76" i="7" s="1"/>
  <c r="I76" i="7" s="1"/>
  <c r="AF75" i="7"/>
  <c r="AG75" i="7" s="1"/>
  <c r="AH75" i="7" s="1"/>
  <c r="AA75" i="7"/>
  <c r="AB75" i="7" s="1"/>
  <c r="AC75" i="7" s="1"/>
  <c r="V75" i="7"/>
  <c r="W75" i="7" s="1"/>
  <c r="X75" i="7" s="1"/>
  <c r="Q75" i="7"/>
  <c r="R75" i="7" s="1"/>
  <c r="S75" i="7" s="1"/>
  <c r="L75" i="7"/>
  <c r="M75" i="7" s="1"/>
  <c r="N75" i="7" s="1"/>
  <c r="F75" i="7"/>
  <c r="G75" i="7" s="1"/>
  <c r="H75" i="7" s="1"/>
  <c r="I75" i="7" s="1"/>
  <c r="AF74" i="7"/>
  <c r="AG74" i="7" s="1"/>
  <c r="AH74" i="7" s="1"/>
  <c r="AA74" i="7"/>
  <c r="AB74" i="7" s="1"/>
  <c r="AC74" i="7" s="1"/>
  <c r="V74" i="7"/>
  <c r="W74" i="7" s="1"/>
  <c r="X74" i="7" s="1"/>
  <c r="Q74" i="7"/>
  <c r="R74" i="7" s="1"/>
  <c r="S74" i="7" s="1"/>
  <c r="L74" i="7"/>
  <c r="M74" i="7" s="1"/>
  <c r="N74" i="7" s="1"/>
  <c r="F74" i="7"/>
  <c r="G74" i="7" s="1"/>
  <c r="H74" i="7" s="1"/>
  <c r="I74" i="7" s="1"/>
  <c r="AF73" i="7"/>
  <c r="AA73" i="7"/>
  <c r="V73" i="7"/>
  <c r="Q73" i="7"/>
  <c r="L73" i="7"/>
  <c r="F73" i="7"/>
  <c r="G73" i="7" s="1"/>
  <c r="B73" i="7"/>
  <c r="AF72" i="7"/>
  <c r="AG72" i="7" s="1"/>
  <c r="AH72" i="7" s="1"/>
  <c r="AA72" i="7"/>
  <c r="AB72" i="7" s="1"/>
  <c r="AC72" i="7" s="1"/>
  <c r="V72" i="7"/>
  <c r="W72" i="7" s="1"/>
  <c r="X72" i="7" s="1"/>
  <c r="Q72" i="7"/>
  <c r="R72" i="7" s="1"/>
  <c r="S72" i="7" s="1"/>
  <c r="L72" i="7"/>
  <c r="M72" i="7" s="1"/>
  <c r="N72" i="7" s="1"/>
  <c r="F72" i="7"/>
  <c r="G72" i="7" s="1"/>
  <c r="H72" i="7" s="1"/>
  <c r="I72" i="7" s="1"/>
  <c r="AF71" i="7"/>
  <c r="AG71" i="7" s="1"/>
  <c r="AH71" i="7" s="1"/>
  <c r="AA71" i="7"/>
  <c r="AB71" i="7" s="1"/>
  <c r="AC71" i="7" s="1"/>
  <c r="V71" i="7"/>
  <c r="W71" i="7" s="1"/>
  <c r="X71" i="7" s="1"/>
  <c r="Q71" i="7"/>
  <c r="R71" i="7" s="1"/>
  <c r="S71" i="7" s="1"/>
  <c r="L71" i="7"/>
  <c r="M71" i="7" s="1"/>
  <c r="N71" i="7" s="1"/>
  <c r="F71" i="7"/>
  <c r="G71" i="7" s="1"/>
  <c r="H71" i="7" s="1"/>
  <c r="I71" i="7" s="1"/>
  <c r="AF70" i="7"/>
  <c r="AG70" i="7" s="1"/>
  <c r="AH70" i="7" s="1"/>
  <c r="AA70" i="7"/>
  <c r="AB70" i="7" s="1"/>
  <c r="AC70" i="7" s="1"/>
  <c r="V70" i="7"/>
  <c r="W70" i="7" s="1"/>
  <c r="X70" i="7" s="1"/>
  <c r="Q70" i="7"/>
  <c r="R70" i="7" s="1"/>
  <c r="S70" i="7" s="1"/>
  <c r="L70" i="7"/>
  <c r="M70" i="7" s="1"/>
  <c r="N70" i="7" s="1"/>
  <c r="F70" i="7"/>
  <c r="G70" i="7" s="1"/>
  <c r="H70" i="7" s="1"/>
  <c r="I70" i="7" s="1"/>
  <c r="AF69" i="7"/>
  <c r="AG69" i="7" s="1"/>
  <c r="AH69" i="7" s="1"/>
  <c r="AA69" i="7"/>
  <c r="AB69" i="7" s="1"/>
  <c r="AC69" i="7" s="1"/>
  <c r="V69" i="7"/>
  <c r="W69" i="7" s="1"/>
  <c r="X69" i="7" s="1"/>
  <c r="Q69" i="7"/>
  <c r="R69" i="7" s="1"/>
  <c r="S69" i="7" s="1"/>
  <c r="L69" i="7"/>
  <c r="M69" i="7" s="1"/>
  <c r="N69" i="7" s="1"/>
  <c r="F69" i="7"/>
  <c r="G69" i="7" s="1"/>
  <c r="H69" i="7" s="1"/>
  <c r="I69" i="7" s="1"/>
  <c r="AF68" i="7"/>
  <c r="AG68" i="7" s="1"/>
  <c r="AH68" i="7" s="1"/>
  <c r="AA68" i="7"/>
  <c r="AB68" i="7" s="1"/>
  <c r="AC68" i="7" s="1"/>
  <c r="V68" i="7"/>
  <c r="W68" i="7" s="1"/>
  <c r="X68" i="7" s="1"/>
  <c r="Q68" i="7"/>
  <c r="R68" i="7" s="1"/>
  <c r="S68" i="7" s="1"/>
  <c r="L68" i="7"/>
  <c r="M68" i="7" s="1"/>
  <c r="N68" i="7" s="1"/>
  <c r="F68" i="7"/>
  <c r="G68" i="7" s="1"/>
  <c r="H68" i="7" s="1"/>
  <c r="I68" i="7" s="1"/>
  <c r="AF67" i="7"/>
  <c r="AG67" i="7" s="1"/>
  <c r="AH67" i="7" s="1"/>
  <c r="AA67" i="7"/>
  <c r="AB67" i="7" s="1"/>
  <c r="AC67" i="7" s="1"/>
  <c r="V67" i="7"/>
  <c r="W67" i="7" s="1"/>
  <c r="X67" i="7" s="1"/>
  <c r="Q67" i="7"/>
  <c r="R67" i="7" s="1"/>
  <c r="S67" i="7" s="1"/>
  <c r="L67" i="7"/>
  <c r="M67" i="7" s="1"/>
  <c r="N67" i="7" s="1"/>
  <c r="F67" i="7"/>
  <c r="G67" i="7" s="1"/>
  <c r="H67" i="7" s="1"/>
  <c r="I67" i="7" s="1"/>
  <c r="AF66" i="7"/>
  <c r="AG66" i="7" s="1"/>
  <c r="AH66" i="7" s="1"/>
  <c r="AA66" i="7"/>
  <c r="AB66" i="7" s="1"/>
  <c r="AC66" i="7" s="1"/>
  <c r="V66" i="7"/>
  <c r="W66" i="7" s="1"/>
  <c r="X66" i="7" s="1"/>
  <c r="Q66" i="7"/>
  <c r="R66" i="7" s="1"/>
  <c r="S66" i="7" s="1"/>
  <c r="L66" i="7"/>
  <c r="M66" i="7" s="1"/>
  <c r="N66" i="7" s="1"/>
  <c r="F66" i="7"/>
  <c r="G66" i="7" s="1"/>
  <c r="H66" i="7" s="1"/>
  <c r="I66" i="7" s="1"/>
  <c r="AF65" i="7"/>
  <c r="AG65" i="7" s="1"/>
  <c r="AH65" i="7" s="1"/>
  <c r="AA65" i="7"/>
  <c r="AB65" i="7" s="1"/>
  <c r="AC65" i="7" s="1"/>
  <c r="V65" i="7"/>
  <c r="W65" i="7" s="1"/>
  <c r="X65" i="7" s="1"/>
  <c r="Q65" i="7"/>
  <c r="R65" i="7" s="1"/>
  <c r="S65" i="7" s="1"/>
  <c r="L65" i="7"/>
  <c r="M65" i="7" s="1"/>
  <c r="N65" i="7" s="1"/>
  <c r="F65" i="7"/>
  <c r="G65" i="7" s="1"/>
  <c r="H65" i="7" s="1"/>
  <c r="I65" i="7" s="1"/>
  <c r="AF64" i="7"/>
  <c r="AG64" i="7" s="1"/>
  <c r="AH64" i="7" s="1"/>
  <c r="AA64" i="7"/>
  <c r="AB64" i="7" s="1"/>
  <c r="AC64" i="7" s="1"/>
  <c r="V64" i="7"/>
  <c r="W64" i="7" s="1"/>
  <c r="X64" i="7" s="1"/>
  <c r="Q64" i="7"/>
  <c r="R64" i="7" s="1"/>
  <c r="S64" i="7" s="1"/>
  <c r="L64" i="7"/>
  <c r="M64" i="7" s="1"/>
  <c r="N64" i="7" s="1"/>
  <c r="F64" i="7"/>
  <c r="G64" i="7" s="1"/>
  <c r="H64" i="7" s="1"/>
  <c r="I64" i="7" s="1"/>
  <c r="AF63" i="7"/>
  <c r="AG63" i="7" s="1"/>
  <c r="AH63" i="7" s="1"/>
  <c r="AA63" i="7"/>
  <c r="AB63" i="7" s="1"/>
  <c r="AC63" i="7" s="1"/>
  <c r="V63" i="7"/>
  <c r="W63" i="7" s="1"/>
  <c r="X63" i="7" s="1"/>
  <c r="Q63" i="7"/>
  <c r="R63" i="7" s="1"/>
  <c r="S63" i="7" s="1"/>
  <c r="L63" i="7"/>
  <c r="M63" i="7" s="1"/>
  <c r="N63" i="7" s="1"/>
  <c r="F63" i="7"/>
  <c r="G63" i="7" s="1"/>
  <c r="H63" i="7" s="1"/>
  <c r="I63" i="7" s="1"/>
  <c r="AF62" i="7"/>
  <c r="AG62" i="7" s="1"/>
  <c r="AH62" i="7" s="1"/>
  <c r="AA62" i="7"/>
  <c r="AB62" i="7" s="1"/>
  <c r="AC62" i="7" s="1"/>
  <c r="V62" i="7"/>
  <c r="W62" i="7" s="1"/>
  <c r="X62" i="7" s="1"/>
  <c r="Q62" i="7"/>
  <c r="R62" i="7" s="1"/>
  <c r="S62" i="7" s="1"/>
  <c r="L62" i="7"/>
  <c r="M62" i="7" s="1"/>
  <c r="N62" i="7" s="1"/>
  <c r="F62" i="7"/>
  <c r="G62" i="7" s="1"/>
  <c r="H62" i="7" s="1"/>
  <c r="I62" i="7" s="1"/>
  <c r="AF61" i="7"/>
  <c r="AG61" i="7" s="1"/>
  <c r="AH61" i="7" s="1"/>
  <c r="AA61" i="7"/>
  <c r="AB61" i="7" s="1"/>
  <c r="AC61" i="7" s="1"/>
  <c r="V61" i="7"/>
  <c r="W61" i="7" s="1"/>
  <c r="X61" i="7" s="1"/>
  <c r="Q61" i="7"/>
  <c r="R61" i="7" s="1"/>
  <c r="S61" i="7" s="1"/>
  <c r="L61" i="7"/>
  <c r="M61" i="7" s="1"/>
  <c r="N61" i="7" s="1"/>
  <c r="F61" i="7"/>
  <c r="G61" i="7" s="1"/>
  <c r="H61" i="7" s="1"/>
  <c r="I61" i="7" s="1"/>
  <c r="AF60" i="7"/>
  <c r="AG60" i="7" s="1"/>
  <c r="AH60" i="7" s="1"/>
  <c r="AA60" i="7"/>
  <c r="AB60" i="7" s="1"/>
  <c r="AC60" i="7" s="1"/>
  <c r="V60" i="7"/>
  <c r="W60" i="7" s="1"/>
  <c r="X60" i="7" s="1"/>
  <c r="Q60" i="7"/>
  <c r="R60" i="7" s="1"/>
  <c r="S60" i="7" s="1"/>
  <c r="L60" i="7"/>
  <c r="M60" i="7" s="1"/>
  <c r="N60" i="7" s="1"/>
  <c r="F60" i="7"/>
  <c r="G60" i="7" s="1"/>
  <c r="H60" i="7" s="1"/>
  <c r="I60" i="7" s="1"/>
  <c r="AF59" i="7"/>
  <c r="AG59" i="7" s="1"/>
  <c r="AH59" i="7" s="1"/>
  <c r="AA59" i="7"/>
  <c r="AB59" i="7" s="1"/>
  <c r="AC59" i="7" s="1"/>
  <c r="V59" i="7"/>
  <c r="W59" i="7" s="1"/>
  <c r="X59" i="7" s="1"/>
  <c r="Q59" i="7"/>
  <c r="R59" i="7" s="1"/>
  <c r="S59" i="7" s="1"/>
  <c r="L59" i="7"/>
  <c r="M59" i="7" s="1"/>
  <c r="N59" i="7" s="1"/>
  <c r="F59" i="7"/>
  <c r="G59" i="7" s="1"/>
  <c r="H59" i="7" s="1"/>
  <c r="I59" i="7" s="1"/>
  <c r="AF58" i="7"/>
  <c r="AG58" i="7" s="1"/>
  <c r="AH58" i="7" s="1"/>
  <c r="AA58" i="7"/>
  <c r="AB58" i="7" s="1"/>
  <c r="AC58" i="7" s="1"/>
  <c r="V58" i="7"/>
  <c r="W58" i="7" s="1"/>
  <c r="X58" i="7" s="1"/>
  <c r="Q58" i="7"/>
  <c r="R58" i="7" s="1"/>
  <c r="S58" i="7" s="1"/>
  <c r="L58" i="7"/>
  <c r="M58" i="7" s="1"/>
  <c r="N58" i="7" s="1"/>
  <c r="F58" i="7"/>
  <c r="G58" i="7" s="1"/>
  <c r="H58" i="7" s="1"/>
  <c r="I58" i="7" s="1"/>
  <c r="AF57" i="7"/>
  <c r="AG57" i="7" s="1"/>
  <c r="AH57" i="7" s="1"/>
  <c r="AA57" i="7"/>
  <c r="AB57" i="7" s="1"/>
  <c r="AC57" i="7" s="1"/>
  <c r="V57" i="7"/>
  <c r="W57" i="7" s="1"/>
  <c r="X57" i="7" s="1"/>
  <c r="Q57" i="7"/>
  <c r="R57" i="7" s="1"/>
  <c r="S57" i="7" s="1"/>
  <c r="L57" i="7"/>
  <c r="M57" i="7" s="1"/>
  <c r="N57" i="7" s="1"/>
  <c r="F57" i="7"/>
  <c r="G57" i="7" s="1"/>
  <c r="H57" i="7" s="1"/>
  <c r="I57" i="7" s="1"/>
  <c r="AF56" i="7"/>
  <c r="AG56" i="7" s="1"/>
  <c r="AA56" i="7"/>
  <c r="AB56" i="7" s="1"/>
  <c r="V56" i="7"/>
  <c r="W56" i="7" s="1"/>
  <c r="Q56" i="7"/>
  <c r="R56" i="7" s="1"/>
  <c r="S56" i="7" s="1"/>
  <c r="L56" i="7"/>
  <c r="M56" i="7" s="1"/>
  <c r="N56" i="7" s="1"/>
  <c r="F56" i="7"/>
  <c r="G56" i="7" s="1"/>
  <c r="H56" i="7" s="1"/>
  <c r="I56" i="7" s="1"/>
  <c r="A53" i="7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G51" i="7"/>
  <c r="AF49" i="7"/>
  <c r="AA49" i="7"/>
  <c r="V49" i="7"/>
  <c r="Q49" i="7"/>
  <c r="F49" i="7"/>
  <c r="G49" i="7" s="1"/>
  <c r="C49" i="7"/>
  <c r="B49" i="7"/>
  <c r="AF48" i="7"/>
  <c r="AA48" i="7"/>
  <c r="V48" i="7"/>
  <c r="Q48" i="7"/>
  <c r="L48" i="7"/>
  <c r="F48" i="7"/>
  <c r="G48" i="7" s="1"/>
  <c r="C48" i="7"/>
  <c r="B48" i="7"/>
  <c r="AF47" i="7"/>
  <c r="AA47" i="7"/>
  <c r="V47" i="7"/>
  <c r="Q47" i="7"/>
  <c r="L47" i="7"/>
  <c r="F47" i="7"/>
  <c r="G47" i="7" s="1"/>
  <c r="C47" i="7"/>
  <c r="B47" i="7"/>
  <c r="AF46" i="7"/>
  <c r="AA46" i="7"/>
  <c r="V46" i="7"/>
  <c r="Q46" i="7"/>
  <c r="L46" i="7"/>
  <c r="F46" i="7"/>
  <c r="G46" i="7" s="1"/>
  <c r="C46" i="7"/>
  <c r="AF45" i="7"/>
  <c r="AA45" i="7"/>
  <c r="V45" i="7"/>
  <c r="Q45" i="7"/>
  <c r="L45" i="7"/>
  <c r="F45" i="7"/>
  <c r="G45" i="7" s="1"/>
  <c r="AF44" i="7"/>
  <c r="AA44" i="7"/>
  <c r="V44" i="7"/>
  <c r="Q44" i="7"/>
  <c r="L44" i="7"/>
  <c r="F44" i="7"/>
  <c r="G44" i="7" s="1"/>
  <c r="AF43" i="7"/>
  <c r="AA43" i="7"/>
  <c r="V43" i="7"/>
  <c r="Q43" i="7"/>
  <c r="L43" i="7"/>
  <c r="F43" i="7"/>
  <c r="G43" i="7" s="1"/>
  <c r="AF42" i="7"/>
  <c r="AA42" i="7"/>
  <c r="V42" i="7"/>
  <c r="Q42" i="7"/>
  <c r="L42" i="7"/>
  <c r="F42" i="7"/>
  <c r="G42" i="7" s="1"/>
  <c r="AF41" i="7"/>
  <c r="AA41" i="7"/>
  <c r="V41" i="7"/>
  <c r="Q41" i="7"/>
  <c r="L41" i="7"/>
  <c r="F41" i="7"/>
  <c r="G41" i="7" s="1"/>
  <c r="AF40" i="7"/>
  <c r="AA40" i="7"/>
  <c r="V40" i="7"/>
  <c r="Q40" i="7"/>
  <c r="L40" i="7"/>
  <c r="F40" i="7"/>
  <c r="G40" i="7" s="1"/>
  <c r="AF39" i="7"/>
  <c r="AA39" i="7"/>
  <c r="V39" i="7"/>
  <c r="Q39" i="7"/>
  <c r="L39" i="7"/>
  <c r="F39" i="7"/>
  <c r="G39" i="7" s="1"/>
  <c r="AF38" i="7"/>
  <c r="AA38" i="7"/>
  <c r="V38" i="7"/>
  <c r="Q38" i="7"/>
  <c r="L38" i="7"/>
  <c r="F38" i="7"/>
  <c r="G38" i="7" s="1"/>
  <c r="AF37" i="7"/>
  <c r="AA37" i="7"/>
  <c r="V37" i="7"/>
  <c r="Q37" i="7"/>
  <c r="L37" i="7"/>
  <c r="F37" i="7"/>
  <c r="G37" i="7" s="1"/>
  <c r="AF36" i="7"/>
  <c r="AA36" i="7"/>
  <c r="V36" i="7"/>
  <c r="Q36" i="7"/>
  <c r="L36" i="7"/>
  <c r="F36" i="7"/>
  <c r="G36" i="7" s="1"/>
  <c r="AF35" i="7"/>
  <c r="AA35" i="7"/>
  <c r="V35" i="7"/>
  <c r="Q35" i="7"/>
  <c r="L35" i="7"/>
  <c r="F35" i="7"/>
  <c r="G35" i="7" s="1"/>
  <c r="AF34" i="7"/>
  <c r="AA34" i="7"/>
  <c r="V34" i="7"/>
  <c r="Q34" i="7"/>
  <c r="L34" i="7"/>
  <c r="F34" i="7"/>
  <c r="G34" i="7" s="1"/>
  <c r="AF33" i="7"/>
  <c r="AA33" i="7"/>
  <c r="V33" i="7"/>
  <c r="Q33" i="7"/>
  <c r="L33" i="7"/>
  <c r="F33" i="7"/>
  <c r="G33" i="7" s="1"/>
  <c r="AF32" i="7"/>
  <c r="AA32" i="7"/>
  <c r="V32" i="7"/>
  <c r="Q32" i="7"/>
  <c r="L32" i="7"/>
  <c r="F32" i="7"/>
  <c r="G32" i="7" s="1"/>
  <c r="AF31" i="7"/>
  <c r="AA31" i="7"/>
  <c r="V31" i="7"/>
  <c r="Q31" i="7"/>
  <c r="L31" i="7"/>
  <c r="F31" i="7"/>
  <c r="G31" i="7" s="1"/>
  <c r="AF30" i="7"/>
  <c r="AA30" i="7"/>
  <c r="V30" i="7"/>
  <c r="Q30" i="7"/>
  <c r="L30" i="7"/>
  <c r="F30" i="7"/>
  <c r="G30" i="7" s="1"/>
  <c r="AF29" i="7"/>
  <c r="AA29" i="7"/>
  <c r="V29" i="7"/>
  <c r="Q29" i="7"/>
  <c r="L29" i="7"/>
  <c r="F29" i="7"/>
  <c r="G29" i="7" s="1"/>
  <c r="AF28" i="7"/>
  <c r="AA28" i="7"/>
  <c r="V28" i="7"/>
  <c r="Q28" i="7"/>
  <c r="L28" i="7"/>
  <c r="F28" i="7"/>
  <c r="G28" i="7" s="1"/>
  <c r="A25" i="7"/>
  <c r="A26" i="7" s="1"/>
  <c r="A27" i="7" s="1"/>
  <c r="A28" i="7" s="1"/>
  <c r="C16" i="7" s="1"/>
  <c r="G23" i="7"/>
  <c r="B47" i="6"/>
  <c r="B46" i="6"/>
  <c r="B45" i="6"/>
  <c r="B44" i="6"/>
  <c r="C44" i="6" s="1"/>
  <c r="B39" i="6"/>
  <c r="B38" i="6"/>
  <c r="B37" i="6"/>
  <c r="B36" i="6"/>
  <c r="C36" i="6" s="1"/>
  <c r="B31" i="6"/>
  <c r="B30" i="6"/>
  <c r="B29" i="6"/>
  <c r="B28" i="6"/>
  <c r="I16" i="6"/>
  <c r="I17" i="6" s="1"/>
  <c r="I18" i="6" s="1"/>
  <c r="D15" i="6"/>
  <c r="C15" i="6"/>
  <c r="B15" i="6"/>
  <c r="J11" i="6"/>
  <c r="D11" i="6"/>
  <c r="C11" i="6"/>
  <c r="B11" i="6"/>
  <c r="J6" i="6"/>
  <c r="H18" i="6" s="1"/>
  <c r="D6" i="6"/>
  <c r="C6" i="6"/>
  <c r="B6" i="6"/>
  <c r="J4" i="6"/>
  <c r="D4" i="6"/>
  <c r="C4" i="6"/>
  <c r="B4" i="6"/>
  <c r="J3" i="6"/>
  <c r="D3" i="6"/>
  <c r="C3" i="6"/>
  <c r="C17" i="6" s="1"/>
  <c r="B3" i="6"/>
  <c r="B17" i="6" s="1"/>
  <c r="B79" i="5"/>
  <c r="B78" i="5"/>
  <c r="B77" i="5"/>
  <c r="B76" i="5"/>
  <c r="B75" i="5"/>
  <c r="B74" i="5"/>
  <c r="B73" i="5"/>
  <c r="B72" i="5"/>
  <c r="B71" i="5"/>
  <c r="B70" i="5"/>
  <c r="C70" i="5" s="1"/>
  <c r="D70" i="5" s="1"/>
  <c r="B65" i="5"/>
  <c r="B64" i="5"/>
  <c r="B63" i="5"/>
  <c r="B62" i="5"/>
  <c r="B61" i="5"/>
  <c r="B60" i="5"/>
  <c r="B59" i="5"/>
  <c r="B58" i="5"/>
  <c r="B57" i="5"/>
  <c r="B56" i="5"/>
  <c r="C56" i="5" s="1"/>
  <c r="D56" i="5" s="1"/>
  <c r="B51" i="5"/>
  <c r="B50" i="5"/>
  <c r="B49" i="5"/>
  <c r="B48" i="5"/>
  <c r="B47" i="5"/>
  <c r="B46" i="5"/>
  <c r="B45" i="5"/>
  <c r="B44" i="5"/>
  <c r="B43" i="5"/>
  <c r="B42" i="5"/>
  <c r="C42" i="5" s="1"/>
  <c r="B37" i="5"/>
  <c r="B36" i="5"/>
  <c r="B35" i="5"/>
  <c r="B34" i="5"/>
  <c r="B33" i="5"/>
  <c r="B32" i="5"/>
  <c r="B31" i="5"/>
  <c r="B30" i="5"/>
  <c r="B29" i="5"/>
  <c r="B28" i="5"/>
  <c r="H24" i="5"/>
  <c r="I16" i="5"/>
  <c r="C29" i="5" s="1"/>
  <c r="D29" i="5" s="1"/>
  <c r="D15" i="5"/>
  <c r="C15" i="5"/>
  <c r="B15" i="5"/>
  <c r="J11" i="5"/>
  <c r="D11" i="5"/>
  <c r="C11" i="5"/>
  <c r="B11" i="5"/>
  <c r="D6" i="5"/>
  <c r="C6" i="5"/>
  <c r="B6" i="5"/>
  <c r="J4" i="5"/>
  <c r="D4" i="5"/>
  <c r="C4" i="5"/>
  <c r="B4" i="5"/>
  <c r="J3" i="5"/>
  <c r="D3" i="5"/>
  <c r="D18" i="5" s="1"/>
  <c r="C3" i="5"/>
  <c r="C18" i="5" s="1"/>
  <c r="B3" i="5"/>
  <c r="B18" i="5" s="1"/>
  <c r="B197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G77" i="4"/>
  <c r="B77" i="4"/>
  <c r="B64" i="4"/>
  <c r="F74" i="4" s="1"/>
  <c r="B63" i="4"/>
  <c r="B59" i="4"/>
  <c r="E55" i="4" s="1"/>
  <c r="B58" i="4"/>
  <c r="B57" i="4"/>
  <c r="B56" i="4"/>
  <c r="B62" i="4" s="1"/>
  <c r="B55" i="4"/>
  <c r="B60" i="4" s="1"/>
  <c r="B54" i="4"/>
  <c r="A50" i="4"/>
  <c r="B31" i="4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28" i="4"/>
  <c r="B26" i="4"/>
  <c r="G22" i="4"/>
  <c r="G21" i="4"/>
  <c r="G20" i="4"/>
  <c r="G24" i="4" s="1"/>
  <c r="G19" i="4"/>
  <c r="A31" i="4" s="1"/>
  <c r="B51" i="4" s="1"/>
  <c r="G18" i="4"/>
  <c r="G23" i="4" s="1"/>
  <c r="B15" i="4"/>
  <c r="K7" i="4"/>
  <c r="G7" i="4"/>
  <c r="K6" i="4"/>
  <c r="K9" i="4" s="1"/>
  <c r="K10" i="4" s="1"/>
  <c r="G6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E63" i="2"/>
  <c r="E62" i="2"/>
  <c r="E61" i="2"/>
  <c r="E60" i="2"/>
  <c r="E59" i="2"/>
  <c r="E58" i="2"/>
  <c r="E57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1" i="2"/>
  <c r="E30" i="2"/>
  <c r="E29" i="2"/>
  <c r="E28" i="2"/>
  <c r="E27" i="2"/>
  <c r="E26" i="2"/>
  <c r="E25" i="2"/>
  <c r="E20" i="2"/>
  <c r="E19" i="2"/>
  <c r="E18" i="2"/>
  <c r="E17" i="2"/>
  <c r="E16" i="2"/>
  <c r="B16" i="2"/>
  <c r="E15" i="2"/>
  <c r="E14" i="2"/>
  <c r="B13" i="2"/>
  <c r="B17" i="2" s="1"/>
  <c r="B18" i="2" s="1"/>
  <c r="B9" i="2"/>
  <c r="B14" i="2" s="1"/>
  <c r="B6" i="2"/>
  <c r="G4" i="2"/>
  <c r="G5" i="2" s="1"/>
  <c r="F14" i="2" l="1"/>
  <c r="G14" i="2" s="1"/>
  <c r="F37" i="2"/>
  <c r="G37" i="2" s="1"/>
  <c r="F47" i="2"/>
  <c r="G47" i="2" s="1"/>
  <c r="G9" i="4"/>
  <c r="C57" i="5"/>
  <c r="D57" i="5" s="1"/>
  <c r="C71" i="5"/>
  <c r="D71" i="5" s="1"/>
  <c r="D18" i="6"/>
  <c r="D17" i="6"/>
  <c r="C37" i="6"/>
  <c r="D37" i="6" s="1"/>
  <c r="C38" i="6"/>
  <c r="D38" i="6" s="1"/>
  <c r="C45" i="6"/>
  <c r="D45" i="6" s="1"/>
  <c r="C46" i="6"/>
  <c r="D46" i="6" s="1"/>
  <c r="M47" i="7"/>
  <c r="N47" i="7" s="1"/>
  <c r="R47" i="7"/>
  <c r="S47" i="7" s="1"/>
  <c r="M48" i="7"/>
  <c r="N48" i="7" s="1"/>
  <c r="AB48" i="7"/>
  <c r="AC48" i="7" s="1"/>
  <c r="AG49" i="7"/>
  <c r="AH49" i="7" s="1"/>
  <c r="M49" i="7"/>
  <c r="AG73" i="7"/>
  <c r="AH73" i="7" s="1"/>
  <c r="AB73" i="7"/>
  <c r="AC73" i="7" s="1"/>
  <c r="R73" i="7"/>
  <c r="S73" i="7" s="1"/>
  <c r="M73" i="7"/>
  <c r="N73" i="7" s="1"/>
  <c r="H73" i="7"/>
  <c r="I73" i="7" s="1"/>
  <c r="W73" i="7"/>
  <c r="X73" i="7" s="1"/>
  <c r="A31" i="19"/>
  <c r="B18" i="19"/>
  <c r="B19" i="19" s="1"/>
  <c r="B20" i="19" s="1"/>
  <c r="A29" i="20"/>
  <c r="B17" i="20"/>
  <c r="B18" i="20" s="1"/>
  <c r="B19" i="20" s="1"/>
  <c r="B20" i="20" s="1"/>
  <c r="A32" i="22"/>
  <c r="B17" i="22"/>
  <c r="B18" i="22" s="1"/>
  <c r="B19" i="22" s="1"/>
  <c r="B20" i="22" s="1"/>
  <c r="B17" i="21"/>
  <c r="A27" i="21"/>
  <c r="B17" i="18"/>
  <c r="A28" i="18"/>
  <c r="B17" i="23"/>
  <c r="B18" i="23" s="1"/>
  <c r="B19" i="23" s="1"/>
  <c r="B20" i="23" s="1"/>
  <c r="A27" i="23"/>
  <c r="B18" i="18"/>
  <c r="B19" i="18" s="1"/>
  <c r="B20" i="18" s="1"/>
  <c r="B18" i="21"/>
  <c r="B19" i="21" s="1"/>
  <c r="B20" i="21" s="1"/>
  <c r="AB78" i="7"/>
  <c r="AC56" i="7"/>
  <c r="AC78" i="7" s="1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N78" i="7"/>
  <c r="H48" i="7"/>
  <c r="I48" i="7" s="1"/>
  <c r="R48" i="7"/>
  <c r="S48" i="7" s="1"/>
  <c r="AG48" i="7"/>
  <c r="AH48" i="7" s="1"/>
  <c r="R49" i="7"/>
  <c r="S49" i="7" s="1"/>
  <c r="H78" i="7"/>
  <c r="X56" i="7"/>
  <c r="X78" i="7" s="1"/>
  <c r="W78" i="7"/>
  <c r="N49" i="7"/>
  <c r="W49" i="7"/>
  <c r="X49" i="7" s="1"/>
  <c r="H49" i="7"/>
  <c r="I49" i="7" s="1"/>
  <c r="I78" i="7"/>
  <c r="H47" i="7"/>
  <c r="I47" i="7" s="1"/>
  <c r="W47" i="7"/>
  <c r="X47" i="7" s="1"/>
  <c r="W48" i="7"/>
  <c r="X48" i="7" s="1"/>
  <c r="M78" i="7"/>
  <c r="AB47" i="7"/>
  <c r="AC47" i="7" s="1"/>
  <c r="AG78" i="7"/>
  <c r="AH56" i="7"/>
  <c r="AH78" i="7" s="1"/>
  <c r="R78" i="7"/>
  <c r="AB49" i="7"/>
  <c r="AC49" i="7" s="1"/>
  <c r="AG47" i="7"/>
  <c r="AH47" i="7" s="1"/>
  <c r="S78" i="7"/>
  <c r="D19" i="6"/>
  <c r="C31" i="6"/>
  <c r="C39" i="6"/>
  <c r="D39" i="6" s="1"/>
  <c r="C47" i="6"/>
  <c r="D47" i="6" s="1"/>
  <c r="C48" i="6"/>
  <c r="D44" i="6"/>
  <c r="D48" i="6" s="1"/>
  <c r="D31" i="6"/>
  <c r="C40" i="6"/>
  <c r="D36" i="6"/>
  <c r="D40" i="6" s="1"/>
  <c r="C30" i="6"/>
  <c r="D30" i="6" s="1"/>
  <c r="B18" i="6"/>
  <c r="C51" i="6" s="1"/>
  <c r="C18" i="6"/>
  <c r="C19" i="6" s="1"/>
  <c r="C28" i="6"/>
  <c r="C29" i="6"/>
  <c r="D29" i="6" s="1"/>
  <c r="D42" i="5"/>
  <c r="B17" i="5"/>
  <c r="C43" i="5"/>
  <c r="D43" i="5" s="1"/>
  <c r="C17" i="5"/>
  <c r="C19" i="5" s="1"/>
  <c r="D17" i="5"/>
  <c r="D19" i="5" s="1"/>
  <c r="I17" i="5"/>
  <c r="C30" i="5" s="1"/>
  <c r="D30" i="5" s="1"/>
  <c r="C28" i="5"/>
  <c r="D28" i="5" s="1"/>
  <c r="G26" i="4"/>
  <c r="E56" i="4"/>
  <c r="G55" i="4"/>
  <c r="C149" i="4" s="1"/>
  <c r="G6" i="2"/>
  <c r="F58" i="2"/>
  <c r="G58" i="2" s="1"/>
  <c r="F26" i="2"/>
  <c r="G26" i="2" s="1"/>
  <c r="F27" i="2"/>
  <c r="G27" i="2" s="1"/>
  <c r="F15" i="2"/>
  <c r="G15" i="2" s="1"/>
  <c r="F25" i="2"/>
  <c r="G25" i="2" s="1"/>
  <c r="F36" i="2"/>
  <c r="G36" i="2" s="1"/>
  <c r="F46" i="2"/>
  <c r="G46" i="2" s="1"/>
  <c r="F57" i="2"/>
  <c r="G57" i="2" s="1"/>
  <c r="F59" i="2" l="1"/>
  <c r="G59" i="2" s="1"/>
  <c r="F48" i="2"/>
  <c r="G48" i="2" s="1"/>
  <c r="F38" i="2"/>
  <c r="G38" i="2" s="1"/>
  <c r="C32" i="6"/>
  <c r="A44" i="7"/>
  <c r="A45" i="7" s="1"/>
  <c r="B46" i="7" s="1"/>
  <c r="C27" i="23"/>
  <c r="A28" i="23"/>
  <c r="A29" i="23" s="1"/>
  <c r="A30" i="23" s="1"/>
  <c r="A31" i="23" s="1"/>
  <c r="A32" i="23" s="1"/>
  <c r="A33" i="23" s="1"/>
  <c r="A34" i="23" s="1"/>
  <c r="A36" i="23" s="1"/>
  <c r="A29" i="18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C28" i="18"/>
  <c r="C27" i="21"/>
  <c r="A28" i="2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33" i="22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C32" i="22"/>
  <c r="A30" i="20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C29" i="20"/>
  <c r="A32" i="19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C31" i="19"/>
  <c r="H46" i="7"/>
  <c r="I46" i="7" s="1"/>
  <c r="AG46" i="7"/>
  <c r="AH46" i="7" s="1"/>
  <c r="M46" i="7"/>
  <c r="N46" i="7" s="1"/>
  <c r="AB46" i="7"/>
  <c r="AC46" i="7" s="1"/>
  <c r="W46" i="7"/>
  <c r="X46" i="7" s="1"/>
  <c r="R46" i="7"/>
  <c r="S46" i="7" s="1"/>
  <c r="D16" i="7"/>
  <c r="C28" i="7"/>
  <c r="D28" i="6"/>
  <c r="D32" i="6" s="1"/>
  <c r="A34" i="6"/>
  <c r="A42" i="6" s="1"/>
  <c r="C50" i="6" s="1"/>
  <c r="B19" i="6"/>
  <c r="C83" i="5"/>
  <c r="B19" i="5"/>
  <c r="C44" i="5"/>
  <c r="D44" i="5" s="1"/>
  <c r="I18" i="5"/>
  <c r="C58" i="5"/>
  <c r="C72" i="5"/>
  <c r="D149" i="4"/>
  <c r="G56" i="4"/>
  <c r="E57" i="4"/>
  <c r="C77" i="4"/>
  <c r="C125" i="4"/>
  <c r="C173" i="4"/>
  <c r="C101" i="4"/>
  <c r="G7" i="2"/>
  <c r="F16" i="2"/>
  <c r="G16" i="2" s="1"/>
  <c r="C29" i="7" l="1"/>
  <c r="H28" i="7"/>
  <c r="I28" i="7" s="1"/>
  <c r="B16" i="7"/>
  <c r="B17" i="7" s="1"/>
  <c r="C32" i="19"/>
  <c r="AG31" i="19"/>
  <c r="AB31" i="19"/>
  <c r="W31" i="19"/>
  <c r="H31" i="19"/>
  <c r="R31" i="19"/>
  <c r="M31" i="19"/>
  <c r="C67" i="19"/>
  <c r="B67" i="19"/>
  <c r="A68" i="19"/>
  <c r="C30" i="20"/>
  <c r="H29" i="20"/>
  <c r="M29" i="20"/>
  <c r="R29" i="20"/>
  <c r="W29" i="20"/>
  <c r="AB29" i="20"/>
  <c r="C47" i="20"/>
  <c r="B47" i="20"/>
  <c r="A48" i="20"/>
  <c r="AB32" i="22"/>
  <c r="M32" i="22"/>
  <c r="C33" i="22"/>
  <c r="H32" i="22"/>
  <c r="R32" i="22"/>
  <c r="W32" i="22"/>
  <c r="AG32" i="22"/>
  <c r="C86" i="22"/>
  <c r="B86" i="22"/>
  <c r="A87" i="22"/>
  <c r="B46" i="21"/>
  <c r="C46" i="21"/>
  <c r="A47" i="21"/>
  <c r="C28" i="21"/>
  <c r="H27" i="21"/>
  <c r="M27" i="21"/>
  <c r="R27" i="21"/>
  <c r="W27" i="21"/>
  <c r="AB27" i="21"/>
  <c r="C29" i="18"/>
  <c r="H28" i="18"/>
  <c r="M28" i="18"/>
  <c r="R28" i="18"/>
  <c r="W28" i="18"/>
  <c r="AB28" i="18"/>
  <c r="A47" i="18"/>
  <c r="C46" i="18"/>
  <c r="B46" i="18"/>
  <c r="C36" i="23"/>
  <c r="B36" i="23"/>
  <c r="A37" i="23"/>
  <c r="C28" i="23"/>
  <c r="H27" i="23"/>
  <c r="M27" i="23"/>
  <c r="R27" i="23"/>
  <c r="W27" i="23"/>
  <c r="AB27" i="23"/>
  <c r="L51" i="7"/>
  <c r="Q51" i="7" s="1"/>
  <c r="V51" i="7" s="1"/>
  <c r="AA51" i="7" s="1"/>
  <c r="W28" i="7"/>
  <c r="AB28" i="7"/>
  <c r="AG28" i="7"/>
  <c r="M28" i="7"/>
  <c r="R28" i="7"/>
  <c r="C59" i="5"/>
  <c r="D59" i="5" s="1"/>
  <c r="C45" i="5"/>
  <c r="I19" i="5"/>
  <c r="C73" i="5"/>
  <c r="D73" i="5" s="1"/>
  <c r="C31" i="5"/>
  <c r="D72" i="5"/>
  <c r="D58" i="5"/>
  <c r="D125" i="4"/>
  <c r="D77" i="4"/>
  <c r="D101" i="4"/>
  <c r="C102" i="4"/>
  <c r="D102" i="4" s="1"/>
  <c r="C126" i="4"/>
  <c r="D126" i="4" s="1"/>
  <c r="C150" i="4"/>
  <c r="C78" i="4"/>
  <c r="D78" i="4" s="1"/>
  <c r="C174" i="4"/>
  <c r="D174" i="4" s="1"/>
  <c r="D173" i="4"/>
  <c r="E58" i="4"/>
  <c r="G57" i="4"/>
  <c r="G8" i="2"/>
  <c r="F60" i="2"/>
  <c r="F49" i="2"/>
  <c r="F28" i="2"/>
  <c r="F17" i="2"/>
  <c r="F39" i="2"/>
  <c r="AC27" i="23" l="1"/>
  <c r="X27" i="23"/>
  <c r="S27" i="23"/>
  <c r="N27" i="23"/>
  <c r="I27" i="23"/>
  <c r="C29" i="23"/>
  <c r="H28" i="23"/>
  <c r="M28" i="23"/>
  <c r="R28" i="23"/>
  <c r="W28" i="23"/>
  <c r="AB28" i="23"/>
  <c r="C37" i="23"/>
  <c r="B37" i="23"/>
  <c r="A38" i="23"/>
  <c r="W36" i="23"/>
  <c r="X36" i="23" s="1"/>
  <c r="R36" i="23"/>
  <c r="S36" i="23" s="1"/>
  <c r="M36" i="23"/>
  <c r="N36" i="23" s="1"/>
  <c r="H36" i="23"/>
  <c r="I36" i="23" s="1"/>
  <c r="AB36" i="23"/>
  <c r="AC36" i="23" s="1"/>
  <c r="W46" i="18"/>
  <c r="X46" i="18" s="1"/>
  <c r="H46" i="18"/>
  <c r="I46" i="18" s="1"/>
  <c r="M46" i="18"/>
  <c r="N46" i="18" s="1"/>
  <c r="R46" i="18"/>
  <c r="S46" i="18" s="1"/>
  <c r="AB46" i="18"/>
  <c r="AC46" i="18" s="1"/>
  <c r="A48" i="18"/>
  <c r="C47" i="18"/>
  <c r="B47" i="18"/>
  <c r="AC28" i="18"/>
  <c r="X28" i="18"/>
  <c r="S28" i="18"/>
  <c r="N28" i="18"/>
  <c r="I28" i="18"/>
  <c r="C30" i="18"/>
  <c r="H29" i="18"/>
  <c r="M29" i="18"/>
  <c r="R29" i="18"/>
  <c r="W29" i="18"/>
  <c r="AB29" i="18"/>
  <c r="AC27" i="21"/>
  <c r="X27" i="21"/>
  <c r="S27" i="21"/>
  <c r="N27" i="21"/>
  <c r="I27" i="21"/>
  <c r="C29" i="21"/>
  <c r="H28" i="21"/>
  <c r="M28" i="21"/>
  <c r="R28" i="21"/>
  <c r="W28" i="21"/>
  <c r="AB28" i="21"/>
  <c r="B47" i="21"/>
  <c r="C47" i="21"/>
  <c r="A48" i="21"/>
  <c r="AB46" i="21"/>
  <c r="AC46" i="21" s="1"/>
  <c r="W46" i="21"/>
  <c r="X46" i="21" s="1"/>
  <c r="R46" i="21"/>
  <c r="S46" i="21" s="1"/>
  <c r="M46" i="21"/>
  <c r="N46" i="21" s="1"/>
  <c r="H46" i="21"/>
  <c r="I46" i="21" s="1"/>
  <c r="A88" i="22"/>
  <c r="C87" i="22"/>
  <c r="B87" i="22"/>
  <c r="W86" i="22"/>
  <c r="X86" i="22" s="1"/>
  <c r="R86" i="22"/>
  <c r="S86" i="22" s="1"/>
  <c r="M86" i="22"/>
  <c r="N86" i="22" s="1"/>
  <c r="H86" i="22"/>
  <c r="I86" i="22" s="1"/>
  <c r="AB86" i="22"/>
  <c r="AC86" i="22" s="1"/>
  <c r="AG86" i="22"/>
  <c r="AH86" i="22" s="1"/>
  <c r="AH32" i="22"/>
  <c r="X32" i="22"/>
  <c r="S32" i="22"/>
  <c r="I32" i="22"/>
  <c r="C34" i="22"/>
  <c r="H33" i="22"/>
  <c r="M33" i="22"/>
  <c r="N33" i="22" s="1"/>
  <c r="R33" i="22"/>
  <c r="W33" i="22"/>
  <c r="AB33" i="22"/>
  <c r="AC33" i="22" s="1"/>
  <c r="AG33" i="22"/>
  <c r="N32" i="22"/>
  <c r="AC32" i="22"/>
  <c r="C48" i="20"/>
  <c r="B48" i="20"/>
  <c r="A49" i="20"/>
  <c r="W47" i="20"/>
  <c r="X47" i="20" s="1"/>
  <c r="R47" i="20"/>
  <c r="S47" i="20" s="1"/>
  <c r="M47" i="20"/>
  <c r="N47" i="20" s="1"/>
  <c r="H47" i="20"/>
  <c r="I47" i="20" s="1"/>
  <c r="AB47" i="20"/>
  <c r="AC47" i="20" s="1"/>
  <c r="AC29" i="20"/>
  <c r="X29" i="20"/>
  <c r="S29" i="20"/>
  <c r="N29" i="20"/>
  <c r="I29" i="20"/>
  <c r="M30" i="20"/>
  <c r="H30" i="20"/>
  <c r="R30" i="20"/>
  <c r="W30" i="20"/>
  <c r="AB30" i="20"/>
  <c r="C31" i="20"/>
  <c r="C68" i="19"/>
  <c r="B68" i="19"/>
  <c r="A69" i="19"/>
  <c r="AG67" i="19"/>
  <c r="AH67" i="19" s="1"/>
  <c r="W67" i="19"/>
  <c r="X67" i="19" s="1"/>
  <c r="M67" i="19"/>
  <c r="N67" i="19" s="1"/>
  <c r="R67" i="19"/>
  <c r="S67" i="19" s="1"/>
  <c r="H67" i="19"/>
  <c r="I67" i="19" s="1"/>
  <c r="AB67" i="19"/>
  <c r="AC67" i="19" s="1"/>
  <c r="N31" i="19"/>
  <c r="S31" i="19"/>
  <c r="I31" i="19"/>
  <c r="X31" i="19"/>
  <c r="AC31" i="19"/>
  <c r="AH31" i="19"/>
  <c r="C33" i="19"/>
  <c r="AB32" i="19"/>
  <c r="M32" i="19"/>
  <c r="R32" i="19"/>
  <c r="H32" i="19"/>
  <c r="W32" i="19"/>
  <c r="AG32" i="19"/>
  <c r="S28" i="7"/>
  <c r="N28" i="7"/>
  <c r="AH28" i="7"/>
  <c r="X28" i="7"/>
  <c r="B18" i="7"/>
  <c r="AF51" i="7"/>
  <c r="AC28" i="7"/>
  <c r="M29" i="7"/>
  <c r="N29" i="7" s="1"/>
  <c r="C30" i="7"/>
  <c r="AB29" i="7"/>
  <c r="AC29" i="7" s="1"/>
  <c r="AG29" i="7"/>
  <c r="AH29" i="7" s="1"/>
  <c r="W29" i="7"/>
  <c r="X29" i="7" s="1"/>
  <c r="H29" i="7"/>
  <c r="I29" i="7" s="1"/>
  <c r="R29" i="7"/>
  <c r="S29" i="7" s="1"/>
  <c r="D31" i="5"/>
  <c r="I20" i="5"/>
  <c r="C74" i="5"/>
  <c r="C32" i="5"/>
  <c r="D32" i="5" s="1"/>
  <c r="C46" i="5"/>
  <c r="D46" i="5" s="1"/>
  <c r="C60" i="5"/>
  <c r="D45" i="5"/>
  <c r="E59" i="4"/>
  <c r="G58" i="4"/>
  <c r="C175" i="4"/>
  <c r="C103" i="4"/>
  <c r="D103" i="4" s="1"/>
  <c r="C151" i="4"/>
  <c r="D151" i="4" s="1"/>
  <c r="C127" i="4"/>
  <c r="D127" i="4" s="1"/>
  <c r="C79" i="4"/>
  <c r="D150" i="4"/>
  <c r="G17" i="2"/>
  <c r="G39" i="2"/>
  <c r="G60" i="2"/>
  <c r="G28" i="2"/>
  <c r="G49" i="2"/>
  <c r="F61" i="2"/>
  <c r="G61" i="2" s="1"/>
  <c r="F50" i="2"/>
  <c r="G50" i="2" s="1"/>
  <c r="F40" i="2"/>
  <c r="G40" i="2" s="1"/>
  <c r="F29" i="2"/>
  <c r="G29" i="2" s="1"/>
  <c r="F18" i="2"/>
  <c r="G18" i="2" s="1"/>
  <c r="G9" i="2"/>
  <c r="AH32" i="19" l="1"/>
  <c r="X32" i="19"/>
  <c r="I32" i="19"/>
  <c r="S32" i="19"/>
  <c r="N32" i="19"/>
  <c r="AC32" i="19"/>
  <c r="C34" i="19"/>
  <c r="AB33" i="19"/>
  <c r="M33" i="19"/>
  <c r="R33" i="19"/>
  <c r="H33" i="19"/>
  <c r="W33" i="19"/>
  <c r="AG33" i="19"/>
  <c r="A70" i="19"/>
  <c r="C69" i="19"/>
  <c r="B69" i="19"/>
  <c r="AG68" i="19"/>
  <c r="AH68" i="19" s="1"/>
  <c r="W68" i="19"/>
  <c r="X68" i="19" s="1"/>
  <c r="M68" i="19"/>
  <c r="N68" i="19" s="1"/>
  <c r="R68" i="19"/>
  <c r="S68" i="19" s="1"/>
  <c r="H68" i="19"/>
  <c r="I68" i="19" s="1"/>
  <c r="AB68" i="19"/>
  <c r="AC68" i="19" s="1"/>
  <c r="C32" i="20"/>
  <c r="M31" i="20"/>
  <c r="N31" i="20" s="1"/>
  <c r="H31" i="20"/>
  <c r="I31" i="20" s="1"/>
  <c r="R31" i="20"/>
  <c r="S31" i="20" s="1"/>
  <c r="W31" i="20"/>
  <c r="X31" i="20" s="1"/>
  <c r="AB31" i="20"/>
  <c r="AC31" i="20" s="1"/>
  <c r="AC30" i="20"/>
  <c r="X30" i="20"/>
  <c r="S30" i="20"/>
  <c r="I30" i="20"/>
  <c r="N30" i="20"/>
  <c r="C49" i="20"/>
  <c r="B49" i="20"/>
  <c r="A50" i="20"/>
  <c r="AB48" i="20"/>
  <c r="AC48" i="20" s="1"/>
  <c r="W48" i="20"/>
  <c r="X48" i="20" s="1"/>
  <c r="R48" i="20"/>
  <c r="S48" i="20" s="1"/>
  <c r="H48" i="20"/>
  <c r="I48" i="20" s="1"/>
  <c r="M48" i="20"/>
  <c r="N48" i="20" s="1"/>
  <c r="AH33" i="22"/>
  <c r="X33" i="22"/>
  <c r="S33" i="22"/>
  <c r="I33" i="22"/>
  <c r="C35" i="22"/>
  <c r="H34" i="22"/>
  <c r="M34" i="22"/>
  <c r="R34" i="22"/>
  <c r="W34" i="22"/>
  <c r="AB34" i="22"/>
  <c r="AG34" i="22"/>
  <c r="AG87" i="22"/>
  <c r="AH87" i="22" s="1"/>
  <c r="AB87" i="22"/>
  <c r="AC87" i="22" s="1"/>
  <c r="W87" i="22"/>
  <c r="X87" i="22" s="1"/>
  <c r="R87" i="22"/>
  <c r="S87" i="22" s="1"/>
  <c r="M87" i="22"/>
  <c r="N87" i="22" s="1"/>
  <c r="H87" i="22"/>
  <c r="I87" i="22" s="1"/>
  <c r="A89" i="22"/>
  <c r="C88" i="22"/>
  <c r="B88" i="22"/>
  <c r="A49" i="21"/>
  <c r="B48" i="21"/>
  <c r="C48" i="21"/>
  <c r="AB47" i="21"/>
  <c r="AC47" i="21" s="1"/>
  <c r="W47" i="21"/>
  <c r="X47" i="21" s="1"/>
  <c r="R47" i="21"/>
  <c r="S47" i="21" s="1"/>
  <c r="M47" i="21"/>
  <c r="N47" i="21" s="1"/>
  <c r="H47" i="21"/>
  <c r="I47" i="21" s="1"/>
  <c r="AC28" i="21"/>
  <c r="X28" i="21"/>
  <c r="S28" i="21"/>
  <c r="N28" i="21"/>
  <c r="I28" i="21"/>
  <c r="C30" i="21"/>
  <c r="H29" i="21"/>
  <c r="M29" i="21"/>
  <c r="R29" i="21"/>
  <c r="AB29" i="21"/>
  <c r="W29" i="21"/>
  <c r="AC29" i="18"/>
  <c r="X29" i="18"/>
  <c r="S29" i="18"/>
  <c r="N29" i="18"/>
  <c r="I29" i="18"/>
  <c r="C31" i="18"/>
  <c r="H30" i="18"/>
  <c r="M30" i="18"/>
  <c r="R30" i="18"/>
  <c r="W30" i="18"/>
  <c r="AB30" i="18"/>
  <c r="AB47" i="18"/>
  <c r="AC47" i="18" s="1"/>
  <c r="W47" i="18"/>
  <c r="X47" i="18" s="1"/>
  <c r="R47" i="18"/>
  <c r="S47" i="18" s="1"/>
  <c r="M47" i="18"/>
  <c r="N47" i="18" s="1"/>
  <c r="H47" i="18"/>
  <c r="I47" i="18" s="1"/>
  <c r="A49" i="18"/>
  <c r="C48" i="18"/>
  <c r="B48" i="18"/>
  <c r="A39" i="23"/>
  <c r="C38" i="23"/>
  <c r="B38" i="23"/>
  <c r="AB37" i="23"/>
  <c r="AC37" i="23" s="1"/>
  <c r="W37" i="23"/>
  <c r="X37" i="23" s="1"/>
  <c r="R37" i="23"/>
  <c r="S37" i="23" s="1"/>
  <c r="M37" i="23"/>
  <c r="N37" i="23" s="1"/>
  <c r="H37" i="23"/>
  <c r="I37" i="23" s="1"/>
  <c r="AC28" i="23"/>
  <c r="X28" i="23"/>
  <c r="S28" i="23"/>
  <c r="N28" i="23"/>
  <c r="I28" i="23"/>
  <c r="C30" i="23"/>
  <c r="H29" i="23"/>
  <c r="M29" i="23"/>
  <c r="R29" i="23"/>
  <c r="W29" i="23"/>
  <c r="AB29" i="23"/>
  <c r="C31" i="7"/>
  <c r="M30" i="7"/>
  <c r="N30" i="7" s="1"/>
  <c r="AB30" i="7"/>
  <c r="AC30" i="7" s="1"/>
  <c r="R30" i="7"/>
  <c r="W30" i="7"/>
  <c r="AG30" i="7"/>
  <c r="AH30" i="7" s="1"/>
  <c r="H30" i="7"/>
  <c r="I30" i="7" s="1"/>
  <c r="D74" i="5"/>
  <c r="C75" i="5"/>
  <c r="D75" i="5" s="1"/>
  <c r="I21" i="5"/>
  <c r="C33" i="5"/>
  <c r="D33" i="5" s="1"/>
  <c r="C47" i="5"/>
  <c r="C61" i="5"/>
  <c r="D61" i="5" s="1"/>
  <c r="D60" i="5"/>
  <c r="C104" i="4"/>
  <c r="D104" i="4" s="1"/>
  <c r="C176" i="4"/>
  <c r="D176" i="4" s="1"/>
  <c r="C128" i="4"/>
  <c r="D128" i="4" s="1"/>
  <c r="C152" i="4"/>
  <c r="D152" i="4" s="1"/>
  <c r="C80" i="4"/>
  <c r="D80" i="4" s="1"/>
  <c r="D175" i="4"/>
  <c r="D79" i="4"/>
  <c r="G59" i="4"/>
  <c r="E60" i="4"/>
  <c r="F51" i="2"/>
  <c r="G51" i="2" s="1"/>
  <c r="F41" i="2"/>
  <c r="G41" i="2" s="1"/>
  <c r="F30" i="2"/>
  <c r="F19" i="2"/>
  <c r="G19" i="2" s="1"/>
  <c r="G10" i="2"/>
  <c r="F62" i="2"/>
  <c r="AC29" i="23" l="1"/>
  <c r="X29" i="23"/>
  <c r="S29" i="23"/>
  <c r="N29" i="23"/>
  <c r="I29" i="23"/>
  <c r="C31" i="23"/>
  <c r="H30" i="23"/>
  <c r="M30" i="23"/>
  <c r="R30" i="23"/>
  <c r="W30" i="23"/>
  <c r="AB30" i="23"/>
  <c r="W38" i="23"/>
  <c r="X38" i="23" s="1"/>
  <c r="H38" i="23"/>
  <c r="I38" i="23" s="1"/>
  <c r="M38" i="23"/>
  <c r="N38" i="23" s="1"/>
  <c r="R38" i="23"/>
  <c r="S38" i="23" s="1"/>
  <c r="AB38" i="23"/>
  <c r="AC38" i="23" s="1"/>
  <c r="C39" i="23"/>
  <c r="B39" i="23"/>
  <c r="W48" i="18"/>
  <c r="X48" i="18" s="1"/>
  <c r="H48" i="18"/>
  <c r="I48" i="18" s="1"/>
  <c r="M48" i="18"/>
  <c r="N48" i="18" s="1"/>
  <c r="R48" i="18"/>
  <c r="S48" i="18" s="1"/>
  <c r="AB48" i="18"/>
  <c r="AC48" i="18" s="1"/>
  <c r="C49" i="18"/>
  <c r="B49" i="18"/>
  <c r="AC30" i="18"/>
  <c r="X30" i="18"/>
  <c r="S30" i="18"/>
  <c r="N30" i="18"/>
  <c r="I30" i="18"/>
  <c r="C32" i="18"/>
  <c r="H31" i="18"/>
  <c r="M31" i="18"/>
  <c r="R31" i="18"/>
  <c r="W31" i="18"/>
  <c r="AB31" i="18"/>
  <c r="X29" i="21"/>
  <c r="AC29" i="21"/>
  <c r="S29" i="21"/>
  <c r="N29" i="21"/>
  <c r="I29" i="21"/>
  <c r="C31" i="21"/>
  <c r="H30" i="21"/>
  <c r="M30" i="21"/>
  <c r="R30" i="21"/>
  <c r="W30" i="21"/>
  <c r="AB30" i="21"/>
  <c r="W48" i="21"/>
  <c r="X48" i="21" s="1"/>
  <c r="H48" i="21"/>
  <c r="I48" i="21" s="1"/>
  <c r="M48" i="21"/>
  <c r="N48" i="21" s="1"/>
  <c r="R48" i="21"/>
  <c r="S48" i="21" s="1"/>
  <c r="AB48" i="21"/>
  <c r="AC48" i="21" s="1"/>
  <c r="B49" i="21"/>
  <c r="C49" i="21"/>
  <c r="AG88" i="22"/>
  <c r="AH88" i="22" s="1"/>
  <c r="AB88" i="22"/>
  <c r="AC88" i="22" s="1"/>
  <c r="R88" i="22"/>
  <c r="S88" i="22" s="1"/>
  <c r="H88" i="22"/>
  <c r="I88" i="22" s="1"/>
  <c r="M88" i="22"/>
  <c r="N88" i="22" s="1"/>
  <c r="W88" i="22"/>
  <c r="X88" i="22" s="1"/>
  <c r="C89" i="22"/>
  <c r="B89" i="22"/>
  <c r="AH34" i="22"/>
  <c r="AC34" i="22"/>
  <c r="X34" i="22"/>
  <c r="S34" i="22"/>
  <c r="N34" i="22"/>
  <c r="I34" i="22"/>
  <c r="C36" i="22"/>
  <c r="H35" i="22"/>
  <c r="M35" i="22"/>
  <c r="R35" i="22"/>
  <c r="W35" i="22"/>
  <c r="AB35" i="22"/>
  <c r="AG35" i="22"/>
  <c r="C50" i="20"/>
  <c r="B50" i="20"/>
  <c r="W49" i="20"/>
  <c r="X49" i="20" s="1"/>
  <c r="H49" i="20"/>
  <c r="I49" i="20" s="1"/>
  <c r="M49" i="20"/>
  <c r="N49" i="20" s="1"/>
  <c r="R49" i="20"/>
  <c r="S49" i="20" s="1"/>
  <c r="AB49" i="20"/>
  <c r="AC49" i="20" s="1"/>
  <c r="C33" i="20"/>
  <c r="H32" i="20"/>
  <c r="M32" i="20"/>
  <c r="R32" i="20"/>
  <c r="W32" i="20"/>
  <c r="AB32" i="20"/>
  <c r="AG69" i="19"/>
  <c r="AH69" i="19" s="1"/>
  <c r="W69" i="19"/>
  <c r="X69" i="19" s="1"/>
  <c r="M69" i="19"/>
  <c r="N69" i="19" s="1"/>
  <c r="R69" i="19"/>
  <c r="S69" i="19" s="1"/>
  <c r="H69" i="19"/>
  <c r="I69" i="19" s="1"/>
  <c r="AB69" i="19"/>
  <c r="AC69" i="19" s="1"/>
  <c r="C70" i="19"/>
  <c r="B70" i="19"/>
  <c r="AH33" i="19"/>
  <c r="X33" i="19"/>
  <c r="I33" i="19"/>
  <c r="S33" i="19"/>
  <c r="N33" i="19"/>
  <c r="AC33" i="19"/>
  <c r="C35" i="19"/>
  <c r="AB34" i="19"/>
  <c r="M34" i="19"/>
  <c r="R34" i="19"/>
  <c r="H34" i="19"/>
  <c r="W34" i="19"/>
  <c r="AG34" i="19"/>
  <c r="X30" i="7"/>
  <c r="S30" i="7"/>
  <c r="C32" i="7"/>
  <c r="W31" i="7"/>
  <c r="X31" i="7" s="1"/>
  <c r="R31" i="7"/>
  <c r="S31" i="7" s="1"/>
  <c r="AG31" i="7"/>
  <c r="AH31" i="7" s="1"/>
  <c r="M31" i="7"/>
  <c r="H31" i="7"/>
  <c r="I31" i="7" s="1"/>
  <c r="AB31" i="7"/>
  <c r="D47" i="5"/>
  <c r="C48" i="5"/>
  <c r="D48" i="5" s="1"/>
  <c r="I22" i="5"/>
  <c r="C62" i="5"/>
  <c r="D62" i="5" s="1"/>
  <c r="C34" i="5"/>
  <c r="C76" i="5"/>
  <c r="D76" i="5" s="1"/>
  <c r="C129" i="4"/>
  <c r="D129" i="4" s="1"/>
  <c r="C153" i="4"/>
  <c r="C177" i="4"/>
  <c r="D177" i="4" s="1"/>
  <c r="C105" i="4"/>
  <c r="D105" i="4" s="1"/>
  <c r="C81" i="4"/>
  <c r="E61" i="4"/>
  <c r="G60" i="4"/>
  <c r="G30" i="2"/>
  <c r="G62" i="2"/>
  <c r="F42" i="2"/>
  <c r="G42" i="2" s="1"/>
  <c r="G43" i="2" s="1"/>
  <c r="F52" i="2"/>
  <c r="F63" i="2"/>
  <c r="F31" i="2"/>
  <c r="G31" i="2" s="1"/>
  <c r="F20" i="2"/>
  <c r="G63" i="2" l="1"/>
  <c r="F64" i="2"/>
  <c r="G52" i="2"/>
  <c r="G53" i="2" s="1"/>
  <c r="F53" i="2"/>
  <c r="G64" i="2"/>
  <c r="AH34" i="19"/>
  <c r="X34" i="19"/>
  <c r="I34" i="19"/>
  <c r="S34" i="19"/>
  <c r="N34" i="19"/>
  <c r="AC34" i="19"/>
  <c r="C36" i="19"/>
  <c r="M35" i="19"/>
  <c r="R35" i="19"/>
  <c r="H35" i="19"/>
  <c r="W35" i="19"/>
  <c r="AB35" i="19"/>
  <c r="AG35" i="19"/>
  <c r="AG70" i="19"/>
  <c r="AH70" i="19" s="1"/>
  <c r="AB70" i="19"/>
  <c r="AC70" i="19" s="1"/>
  <c r="W70" i="19"/>
  <c r="X70" i="19" s="1"/>
  <c r="M70" i="19"/>
  <c r="N70" i="19" s="1"/>
  <c r="R70" i="19"/>
  <c r="S70" i="19" s="1"/>
  <c r="H70" i="19"/>
  <c r="I70" i="19" s="1"/>
  <c r="AC32" i="20"/>
  <c r="X32" i="20"/>
  <c r="S32" i="20"/>
  <c r="N32" i="20"/>
  <c r="I32" i="20"/>
  <c r="C34" i="20"/>
  <c r="H33" i="20"/>
  <c r="M33" i="20"/>
  <c r="R33" i="20"/>
  <c r="W33" i="20"/>
  <c r="AB33" i="20"/>
  <c r="AB50" i="20"/>
  <c r="AC50" i="20" s="1"/>
  <c r="W50" i="20"/>
  <c r="X50" i="20" s="1"/>
  <c r="H50" i="20"/>
  <c r="I50" i="20" s="1"/>
  <c r="M50" i="20"/>
  <c r="N50" i="20" s="1"/>
  <c r="R50" i="20"/>
  <c r="S50" i="20" s="1"/>
  <c r="AH35" i="22"/>
  <c r="AC35" i="22"/>
  <c r="X35" i="22"/>
  <c r="S35" i="22"/>
  <c r="N35" i="22"/>
  <c r="I35" i="22"/>
  <c r="C37" i="22"/>
  <c r="H36" i="22"/>
  <c r="M36" i="22"/>
  <c r="R36" i="22"/>
  <c r="W36" i="22"/>
  <c r="AB36" i="22"/>
  <c r="AG36" i="22"/>
  <c r="AB89" i="22"/>
  <c r="AC89" i="22" s="1"/>
  <c r="R89" i="22"/>
  <c r="S89" i="22" s="1"/>
  <c r="H89" i="22"/>
  <c r="I89" i="22" s="1"/>
  <c r="M89" i="22"/>
  <c r="N89" i="22" s="1"/>
  <c r="W89" i="22"/>
  <c r="X89" i="22" s="1"/>
  <c r="AG89" i="22"/>
  <c r="AH89" i="22" s="1"/>
  <c r="R49" i="21"/>
  <c r="S49" i="21" s="1"/>
  <c r="H49" i="21"/>
  <c r="I49" i="21" s="1"/>
  <c r="M49" i="21"/>
  <c r="N49" i="21" s="1"/>
  <c r="W49" i="21"/>
  <c r="X49" i="21" s="1"/>
  <c r="AB49" i="21"/>
  <c r="AC49" i="21" s="1"/>
  <c r="AC30" i="21"/>
  <c r="X30" i="21"/>
  <c r="S30" i="21"/>
  <c r="N30" i="21"/>
  <c r="I30" i="21"/>
  <c r="C32" i="21"/>
  <c r="H31" i="21"/>
  <c r="M31" i="21"/>
  <c r="R31" i="21"/>
  <c r="W31" i="21"/>
  <c r="AB31" i="21"/>
  <c r="AC31" i="18"/>
  <c r="X31" i="18"/>
  <c r="S31" i="18"/>
  <c r="N31" i="18"/>
  <c r="I31" i="18"/>
  <c r="C33" i="18"/>
  <c r="H32" i="18"/>
  <c r="M32" i="18"/>
  <c r="R32" i="18"/>
  <c r="W32" i="18"/>
  <c r="AB32" i="18"/>
  <c r="AB49" i="18"/>
  <c r="AC49" i="18" s="1"/>
  <c r="R49" i="18"/>
  <c r="S49" i="18" s="1"/>
  <c r="H49" i="18"/>
  <c r="I49" i="18" s="1"/>
  <c r="M49" i="18"/>
  <c r="N49" i="18" s="1"/>
  <c r="W49" i="18"/>
  <c r="X49" i="18" s="1"/>
  <c r="H39" i="23"/>
  <c r="I39" i="23" s="1"/>
  <c r="M39" i="23"/>
  <c r="N39" i="23" s="1"/>
  <c r="R39" i="23"/>
  <c r="S39" i="23" s="1"/>
  <c r="W39" i="23"/>
  <c r="X39" i="23" s="1"/>
  <c r="AB39" i="23"/>
  <c r="AC39" i="23" s="1"/>
  <c r="AC30" i="23"/>
  <c r="X30" i="23"/>
  <c r="S30" i="23"/>
  <c r="N30" i="23"/>
  <c r="I30" i="23"/>
  <c r="C32" i="23"/>
  <c r="H31" i="23"/>
  <c r="M31" i="23"/>
  <c r="R31" i="23"/>
  <c r="W31" i="23"/>
  <c r="AB31" i="23"/>
  <c r="W32" i="7"/>
  <c r="C33" i="7"/>
  <c r="R32" i="7"/>
  <c r="AB32" i="7"/>
  <c r="AC32" i="7" s="1"/>
  <c r="M32" i="7"/>
  <c r="N32" i="7" s="1"/>
  <c r="H32" i="7"/>
  <c r="AG32" i="7"/>
  <c r="AC31" i="7"/>
  <c r="N31" i="7"/>
  <c r="D34" i="5"/>
  <c r="I23" i="5"/>
  <c r="C63" i="5"/>
  <c r="D63" i="5" s="1"/>
  <c r="C49" i="5"/>
  <c r="D49" i="5" s="1"/>
  <c r="C77" i="5"/>
  <c r="D77" i="5" s="1"/>
  <c r="C35" i="5"/>
  <c r="D35" i="5" s="1"/>
  <c r="D153" i="4"/>
  <c r="D81" i="4"/>
  <c r="E62" i="4"/>
  <c r="G61" i="4"/>
  <c r="C130" i="4"/>
  <c r="C178" i="4"/>
  <c r="D178" i="4" s="1"/>
  <c r="C154" i="4"/>
  <c r="D154" i="4" s="1"/>
  <c r="C82" i="4"/>
  <c r="D82" i="4" s="1"/>
  <c r="C106" i="4"/>
  <c r="D106" i="4" s="1"/>
  <c r="F43" i="2"/>
  <c r="E44" i="2" s="1"/>
  <c r="E55" i="2"/>
  <c r="F66" i="2" s="1"/>
  <c r="N4" i="2" s="1"/>
  <c r="G20" i="2"/>
  <c r="G21" i="2" s="1"/>
  <c r="F21" i="2"/>
  <c r="E23" i="2" s="1"/>
  <c r="F32" i="2"/>
  <c r="G32" i="2"/>
  <c r="AC31" i="23" l="1"/>
  <c r="X31" i="23"/>
  <c r="S31" i="23"/>
  <c r="N31" i="23"/>
  <c r="I31" i="23"/>
  <c r="C33" i="23"/>
  <c r="H32" i="23"/>
  <c r="M32" i="23"/>
  <c r="R32" i="23"/>
  <c r="W32" i="23"/>
  <c r="AB32" i="23"/>
  <c r="AC32" i="18"/>
  <c r="X32" i="18"/>
  <c r="S32" i="18"/>
  <c r="N32" i="18"/>
  <c r="I32" i="18"/>
  <c r="C34" i="18"/>
  <c r="H33" i="18"/>
  <c r="M33" i="18"/>
  <c r="R33" i="18"/>
  <c r="W33" i="18"/>
  <c r="AB33" i="18"/>
  <c r="AC31" i="21"/>
  <c r="X31" i="21"/>
  <c r="S31" i="21"/>
  <c r="N31" i="21"/>
  <c r="I31" i="21"/>
  <c r="C33" i="21"/>
  <c r="H32" i="21"/>
  <c r="M32" i="21"/>
  <c r="R32" i="21"/>
  <c r="W32" i="21"/>
  <c r="AB32" i="21"/>
  <c r="AH36" i="22"/>
  <c r="AC36" i="22"/>
  <c r="X36" i="22"/>
  <c r="S36" i="22"/>
  <c r="N36" i="22"/>
  <c r="I36" i="22"/>
  <c r="C38" i="22"/>
  <c r="H37" i="22"/>
  <c r="M37" i="22"/>
  <c r="R37" i="22"/>
  <c r="W37" i="22"/>
  <c r="AB37" i="22"/>
  <c r="AG37" i="22"/>
  <c r="AC33" i="20"/>
  <c r="X33" i="20"/>
  <c r="S33" i="20"/>
  <c r="N33" i="20"/>
  <c r="I33" i="20"/>
  <c r="C35" i="20"/>
  <c r="H34" i="20"/>
  <c r="M34" i="20"/>
  <c r="R34" i="20"/>
  <c r="W34" i="20"/>
  <c r="AB34" i="20"/>
  <c r="AH35" i="19"/>
  <c r="AC35" i="19"/>
  <c r="X35" i="19"/>
  <c r="I35" i="19"/>
  <c r="S35" i="19"/>
  <c r="N35" i="19"/>
  <c r="C37" i="19"/>
  <c r="M36" i="19"/>
  <c r="R36" i="19"/>
  <c r="H36" i="19"/>
  <c r="W36" i="19"/>
  <c r="AB36" i="19"/>
  <c r="AG36" i="19"/>
  <c r="AG33" i="7"/>
  <c r="AH33" i="7" s="1"/>
  <c r="R33" i="7"/>
  <c r="S33" i="7" s="1"/>
  <c r="AB33" i="7"/>
  <c r="AC33" i="7" s="1"/>
  <c r="C34" i="7"/>
  <c r="W33" i="7"/>
  <c r="X33" i="7" s="1"/>
  <c r="H33" i="7"/>
  <c r="I33" i="7" s="1"/>
  <c r="M33" i="7"/>
  <c r="N33" i="7" s="1"/>
  <c r="X32" i="7"/>
  <c r="I32" i="7"/>
  <c r="S32" i="7"/>
  <c r="AH32" i="7"/>
  <c r="C78" i="5"/>
  <c r="D78" i="5" s="1"/>
  <c r="C64" i="5"/>
  <c r="D64" i="5" s="1"/>
  <c r="I24" i="5"/>
  <c r="C50" i="5"/>
  <c r="D50" i="5" s="1"/>
  <c r="C36" i="5"/>
  <c r="D36" i="5" s="1"/>
  <c r="C83" i="4"/>
  <c r="C107" i="4"/>
  <c r="D107" i="4" s="1"/>
  <c r="C131" i="4"/>
  <c r="D131" i="4" s="1"/>
  <c r="C179" i="4"/>
  <c r="D179" i="4" s="1"/>
  <c r="C155" i="4"/>
  <c r="D155" i="4" s="1"/>
  <c r="G62" i="4"/>
  <c r="E63" i="4"/>
  <c r="D130" i="4"/>
  <c r="E34" i="2"/>
  <c r="AH36" i="19" l="1"/>
  <c r="AC36" i="19"/>
  <c r="X36" i="19"/>
  <c r="I36" i="19"/>
  <c r="S36" i="19"/>
  <c r="N36" i="19"/>
  <c r="C38" i="19"/>
  <c r="M37" i="19"/>
  <c r="R37" i="19"/>
  <c r="H37" i="19"/>
  <c r="W37" i="19"/>
  <c r="AB37" i="19"/>
  <c r="AG37" i="19"/>
  <c r="AC34" i="20"/>
  <c r="X34" i="20"/>
  <c r="S34" i="20"/>
  <c r="N34" i="20"/>
  <c r="I34" i="20"/>
  <c r="C36" i="20"/>
  <c r="M35" i="20"/>
  <c r="H35" i="20"/>
  <c r="R35" i="20"/>
  <c r="W35" i="20"/>
  <c r="AB35" i="20"/>
  <c r="AH37" i="22"/>
  <c r="AC37" i="22"/>
  <c r="X37" i="22"/>
  <c r="S37" i="22"/>
  <c r="N37" i="22"/>
  <c r="I37" i="22"/>
  <c r="C39" i="22"/>
  <c r="H38" i="22"/>
  <c r="M38" i="22"/>
  <c r="R38" i="22"/>
  <c r="W38" i="22"/>
  <c r="AB38" i="22"/>
  <c r="AG38" i="22"/>
  <c r="AC32" i="21"/>
  <c r="X32" i="21"/>
  <c r="S32" i="21"/>
  <c r="N32" i="21"/>
  <c r="I32" i="21"/>
  <c r="C34" i="21"/>
  <c r="H33" i="21"/>
  <c r="M33" i="21"/>
  <c r="R33" i="21"/>
  <c r="W33" i="21"/>
  <c r="AB33" i="21"/>
  <c r="AC33" i="18"/>
  <c r="X33" i="18"/>
  <c r="S33" i="18"/>
  <c r="N33" i="18"/>
  <c r="I33" i="18"/>
  <c r="C35" i="18"/>
  <c r="H34" i="18"/>
  <c r="M34" i="18"/>
  <c r="R34" i="18"/>
  <c r="W34" i="18"/>
  <c r="AB34" i="18"/>
  <c r="AC32" i="23"/>
  <c r="X32" i="23"/>
  <c r="S32" i="23"/>
  <c r="N32" i="23"/>
  <c r="I32" i="23"/>
  <c r="C34" i="23"/>
  <c r="H33" i="23"/>
  <c r="M33" i="23"/>
  <c r="R33" i="23"/>
  <c r="W33" i="23"/>
  <c r="AB33" i="23"/>
  <c r="AB34" i="7"/>
  <c r="AC34" i="7" s="1"/>
  <c r="C35" i="7"/>
  <c r="W34" i="7"/>
  <c r="X34" i="7" s="1"/>
  <c r="AG34" i="7"/>
  <c r="M34" i="7"/>
  <c r="N34" i="7" s="1"/>
  <c r="R34" i="7"/>
  <c r="H34" i="7"/>
  <c r="I34" i="7" s="1"/>
  <c r="C37" i="5"/>
  <c r="C51" i="5"/>
  <c r="C65" i="5"/>
  <c r="C79" i="5"/>
  <c r="C180" i="4"/>
  <c r="D180" i="4" s="1"/>
  <c r="C132" i="4"/>
  <c r="D132" i="4" s="1"/>
  <c r="C84" i="4"/>
  <c r="D84" i="4" s="1"/>
  <c r="C108" i="4"/>
  <c r="D108" i="4" s="1"/>
  <c r="C156" i="4"/>
  <c r="D156" i="4" s="1"/>
  <c r="D83" i="4"/>
  <c r="E64" i="4"/>
  <c r="G63" i="4"/>
  <c r="AC33" i="23" l="1"/>
  <c r="X33" i="23"/>
  <c r="S33" i="23"/>
  <c r="N33" i="23"/>
  <c r="I33" i="23"/>
  <c r="C35" i="23"/>
  <c r="H34" i="23"/>
  <c r="M34" i="23"/>
  <c r="R34" i="23"/>
  <c r="W34" i="23"/>
  <c r="AB34" i="23"/>
  <c r="AC34" i="18"/>
  <c r="X34" i="18"/>
  <c r="S34" i="18"/>
  <c r="N34" i="18"/>
  <c r="I34" i="18"/>
  <c r="C36" i="18"/>
  <c r="H35" i="18"/>
  <c r="M35" i="18"/>
  <c r="R35" i="18"/>
  <c r="W35" i="18"/>
  <c r="AB35" i="18"/>
  <c r="AC33" i="21"/>
  <c r="X33" i="21"/>
  <c r="S33" i="21"/>
  <c r="N33" i="21"/>
  <c r="I33" i="21"/>
  <c r="C35" i="21"/>
  <c r="H34" i="21"/>
  <c r="M34" i="21"/>
  <c r="R34" i="21"/>
  <c r="W34" i="21"/>
  <c r="AB34" i="21"/>
  <c r="AH38" i="22"/>
  <c r="AC38" i="22"/>
  <c r="X38" i="22"/>
  <c r="S38" i="22"/>
  <c r="N38" i="22"/>
  <c r="I38" i="22"/>
  <c r="C40" i="22"/>
  <c r="H39" i="22"/>
  <c r="M39" i="22"/>
  <c r="R39" i="22"/>
  <c r="W39" i="22"/>
  <c r="AB39" i="22"/>
  <c r="AG39" i="22"/>
  <c r="AC35" i="20"/>
  <c r="X35" i="20"/>
  <c r="S35" i="20"/>
  <c r="I35" i="20"/>
  <c r="N35" i="20"/>
  <c r="C37" i="20"/>
  <c r="M36" i="20"/>
  <c r="H36" i="20"/>
  <c r="R36" i="20"/>
  <c r="W36" i="20"/>
  <c r="AB36" i="20"/>
  <c r="AH37" i="19"/>
  <c r="AC37" i="19"/>
  <c r="X37" i="19"/>
  <c r="I37" i="19"/>
  <c r="S37" i="19"/>
  <c r="N37" i="19"/>
  <c r="C39" i="19"/>
  <c r="AB38" i="19"/>
  <c r="M38" i="19"/>
  <c r="R38" i="19"/>
  <c r="H38" i="19"/>
  <c r="W38" i="19"/>
  <c r="AG38" i="19"/>
  <c r="H35" i="7"/>
  <c r="I35" i="7" s="1"/>
  <c r="C36" i="7"/>
  <c r="AG35" i="7"/>
  <c r="AH35" i="7" s="1"/>
  <c r="M35" i="7"/>
  <c r="N35" i="7" s="1"/>
  <c r="R35" i="7"/>
  <c r="S35" i="7" s="1"/>
  <c r="W35" i="7"/>
  <c r="X35" i="7" s="1"/>
  <c r="AB35" i="7"/>
  <c r="AC35" i="7" s="1"/>
  <c r="S34" i="7"/>
  <c r="AH34" i="7"/>
  <c r="D79" i="5"/>
  <c r="D80" i="5" s="1"/>
  <c r="C80" i="5"/>
  <c r="D65" i="5"/>
  <c r="D66" i="5" s="1"/>
  <c r="C66" i="5"/>
  <c r="D51" i="5"/>
  <c r="D52" i="5" s="1"/>
  <c r="C52" i="5"/>
  <c r="D37" i="5"/>
  <c r="D38" i="5" s="1"/>
  <c r="C38" i="5"/>
  <c r="A40" i="5" s="1"/>
  <c r="A54" i="5" s="1"/>
  <c r="A68" i="5" s="1"/>
  <c r="C82" i="5" s="1"/>
  <c r="E65" i="4"/>
  <c r="G64" i="4"/>
  <c r="C85" i="4"/>
  <c r="C157" i="4"/>
  <c r="D157" i="4" s="1"/>
  <c r="C109" i="4"/>
  <c r="D109" i="4" s="1"/>
  <c r="C181" i="4"/>
  <c r="D181" i="4" s="1"/>
  <c r="C133" i="4"/>
  <c r="D133" i="4" s="1"/>
  <c r="AH38" i="19" l="1"/>
  <c r="X38" i="19"/>
  <c r="I38" i="19"/>
  <c r="S38" i="19"/>
  <c r="N38" i="19"/>
  <c r="AC38" i="19"/>
  <c r="C40" i="19"/>
  <c r="H39" i="19"/>
  <c r="M39" i="19"/>
  <c r="R39" i="19"/>
  <c r="W39" i="19"/>
  <c r="AB39" i="19"/>
  <c r="AG39" i="19"/>
  <c r="AC36" i="20"/>
  <c r="X36" i="20"/>
  <c r="S36" i="20"/>
  <c r="I36" i="20"/>
  <c r="N36" i="20"/>
  <c r="C38" i="20"/>
  <c r="H37" i="20"/>
  <c r="M37" i="20"/>
  <c r="R37" i="20"/>
  <c r="W37" i="20"/>
  <c r="AB37" i="20"/>
  <c r="AH39" i="22"/>
  <c r="AC39" i="22"/>
  <c r="X39" i="22"/>
  <c r="S39" i="22"/>
  <c r="N39" i="22"/>
  <c r="I39" i="22"/>
  <c r="C41" i="22"/>
  <c r="H40" i="22"/>
  <c r="M40" i="22"/>
  <c r="R40" i="22"/>
  <c r="W40" i="22"/>
  <c r="AB40" i="22"/>
  <c r="AG40" i="22"/>
  <c r="AC34" i="21"/>
  <c r="X34" i="21"/>
  <c r="S34" i="21"/>
  <c r="N34" i="21"/>
  <c r="I34" i="21"/>
  <c r="C36" i="21"/>
  <c r="H35" i="21"/>
  <c r="M35" i="21"/>
  <c r="R35" i="21"/>
  <c r="W35" i="21"/>
  <c r="AB35" i="21"/>
  <c r="AC35" i="18"/>
  <c r="X35" i="18"/>
  <c r="S35" i="18"/>
  <c r="N35" i="18"/>
  <c r="I35" i="18"/>
  <c r="C37" i="18"/>
  <c r="H36" i="18"/>
  <c r="M36" i="18"/>
  <c r="R36" i="18"/>
  <c r="W36" i="18"/>
  <c r="AB36" i="18"/>
  <c r="AC34" i="23"/>
  <c r="X34" i="23"/>
  <c r="S34" i="23"/>
  <c r="N34" i="23"/>
  <c r="I34" i="23"/>
  <c r="H35" i="23"/>
  <c r="M35" i="23"/>
  <c r="R35" i="23"/>
  <c r="W35" i="23"/>
  <c r="AB35" i="23"/>
  <c r="C37" i="7"/>
  <c r="AG36" i="7"/>
  <c r="AH36" i="7" s="1"/>
  <c r="M36" i="7"/>
  <c r="N36" i="7" s="1"/>
  <c r="R36" i="7"/>
  <c r="S36" i="7" s="1"/>
  <c r="W36" i="7"/>
  <c r="X36" i="7" s="1"/>
  <c r="H36" i="7"/>
  <c r="I36" i="7" s="1"/>
  <c r="AB36" i="7"/>
  <c r="AC36" i="7" s="1"/>
  <c r="C110" i="4"/>
  <c r="D110" i="4" s="1"/>
  <c r="C134" i="4"/>
  <c r="D134" i="4" s="1"/>
  <c r="C158" i="4"/>
  <c r="D158" i="4" s="1"/>
  <c r="C86" i="4"/>
  <c r="D86" i="4" s="1"/>
  <c r="C182" i="4"/>
  <c r="D182" i="4" s="1"/>
  <c r="D85" i="4"/>
  <c r="G65" i="4"/>
  <c r="E66" i="4"/>
  <c r="AC35" i="23" l="1"/>
  <c r="AC40" i="23" s="1"/>
  <c r="AB40" i="23"/>
  <c r="X35" i="23"/>
  <c r="X40" i="23" s="1"/>
  <c r="W40" i="23"/>
  <c r="S35" i="23"/>
  <c r="S40" i="23" s="1"/>
  <c r="R40" i="23"/>
  <c r="N35" i="23"/>
  <c r="N40" i="23" s="1"/>
  <c r="M40" i="23"/>
  <c r="I35" i="23"/>
  <c r="I40" i="23" s="1"/>
  <c r="H40" i="23"/>
  <c r="AC36" i="18"/>
  <c r="X36" i="18"/>
  <c r="S36" i="18"/>
  <c r="N36" i="18"/>
  <c r="I36" i="18"/>
  <c r="C38" i="18"/>
  <c r="H37" i="18"/>
  <c r="M37" i="18"/>
  <c r="R37" i="18"/>
  <c r="W37" i="18"/>
  <c r="AB37" i="18"/>
  <c r="AC35" i="21"/>
  <c r="X35" i="21"/>
  <c r="S35" i="21"/>
  <c r="N35" i="21"/>
  <c r="I35" i="21"/>
  <c r="C37" i="21"/>
  <c r="H36" i="21"/>
  <c r="M36" i="21"/>
  <c r="R36" i="21"/>
  <c r="W36" i="21"/>
  <c r="AB36" i="21"/>
  <c r="AH40" i="22"/>
  <c r="AC40" i="22"/>
  <c r="X40" i="22"/>
  <c r="S40" i="22"/>
  <c r="N40" i="22"/>
  <c r="I40" i="22"/>
  <c r="C42" i="22"/>
  <c r="H41" i="22"/>
  <c r="M41" i="22"/>
  <c r="R41" i="22"/>
  <c r="W41" i="22"/>
  <c r="AB41" i="22"/>
  <c r="AG41" i="22"/>
  <c r="AC37" i="20"/>
  <c r="X37" i="20"/>
  <c r="S37" i="20"/>
  <c r="N37" i="20"/>
  <c r="I37" i="20"/>
  <c r="C39" i="20"/>
  <c r="M38" i="20"/>
  <c r="H38" i="20"/>
  <c r="R38" i="20"/>
  <c r="W38" i="20"/>
  <c r="AB38" i="20"/>
  <c r="AH39" i="19"/>
  <c r="AC39" i="19"/>
  <c r="X39" i="19"/>
  <c r="S39" i="19"/>
  <c r="N39" i="19"/>
  <c r="I39" i="19"/>
  <c r="C41" i="19"/>
  <c r="AB40" i="19"/>
  <c r="M40" i="19"/>
  <c r="R40" i="19"/>
  <c r="H40" i="19"/>
  <c r="W40" i="19"/>
  <c r="AG40" i="19"/>
  <c r="H37" i="7"/>
  <c r="I37" i="7" s="1"/>
  <c r="W37" i="7"/>
  <c r="X37" i="7" s="1"/>
  <c r="C38" i="7"/>
  <c r="AG37" i="7"/>
  <c r="AH37" i="7" s="1"/>
  <c r="M37" i="7"/>
  <c r="N37" i="7" s="1"/>
  <c r="R37" i="7"/>
  <c r="S37" i="7" s="1"/>
  <c r="AB37" i="7"/>
  <c r="AC37" i="7" s="1"/>
  <c r="C183" i="4"/>
  <c r="D183" i="4" s="1"/>
  <c r="C111" i="4"/>
  <c r="D111" i="4" s="1"/>
  <c r="C159" i="4"/>
  <c r="D159" i="4" s="1"/>
  <c r="C87" i="4"/>
  <c r="D87" i="4" s="1"/>
  <c r="C135" i="4"/>
  <c r="D135" i="4" s="1"/>
  <c r="E67" i="4"/>
  <c r="G66" i="4"/>
  <c r="L24" i="23" l="1"/>
  <c r="Q24" i="23" s="1"/>
  <c r="V24" i="23" s="1"/>
  <c r="AA24" i="23" s="1"/>
  <c r="B21" i="23" s="1"/>
  <c r="AH40" i="19"/>
  <c r="X40" i="19"/>
  <c r="I40" i="19"/>
  <c r="S40" i="19"/>
  <c r="N40" i="19"/>
  <c r="AC40" i="19"/>
  <c r="C42" i="19"/>
  <c r="AB41" i="19"/>
  <c r="M41" i="19"/>
  <c r="R41" i="19"/>
  <c r="H41" i="19"/>
  <c r="W41" i="19"/>
  <c r="AG41" i="19"/>
  <c r="AC38" i="20"/>
  <c r="X38" i="20"/>
  <c r="S38" i="20"/>
  <c r="I38" i="20"/>
  <c r="N38" i="20"/>
  <c r="C40" i="20"/>
  <c r="M39" i="20"/>
  <c r="H39" i="20"/>
  <c r="R39" i="20"/>
  <c r="W39" i="20"/>
  <c r="AB39" i="20"/>
  <c r="AH41" i="22"/>
  <c r="AC41" i="22"/>
  <c r="X41" i="22"/>
  <c r="S41" i="22"/>
  <c r="N41" i="22"/>
  <c r="I41" i="22"/>
  <c r="C43" i="22"/>
  <c r="H42" i="22"/>
  <c r="M42" i="22"/>
  <c r="R42" i="22"/>
  <c r="W42" i="22"/>
  <c r="AB42" i="22"/>
  <c r="AG42" i="22"/>
  <c r="AC36" i="21"/>
  <c r="X36" i="21"/>
  <c r="S36" i="21"/>
  <c r="N36" i="21"/>
  <c r="I36" i="21"/>
  <c r="C38" i="21"/>
  <c r="H37" i="21"/>
  <c r="M37" i="21"/>
  <c r="R37" i="21"/>
  <c r="W37" i="21"/>
  <c r="AB37" i="21"/>
  <c r="AC37" i="18"/>
  <c r="X37" i="18"/>
  <c r="S37" i="18"/>
  <c r="N37" i="18"/>
  <c r="I37" i="18"/>
  <c r="C39" i="18"/>
  <c r="H38" i="18"/>
  <c r="M38" i="18"/>
  <c r="R38" i="18"/>
  <c r="W38" i="18"/>
  <c r="AB38" i="18"/>
  <c r="C39" i="7"/>
  <c r="W38" i="7"/>
  <c r="X38" i="7" s="1"/>
  <c r="H38" i="7"/>
  <c r="I38" i="7" s="1"/>
  <c r="M38" i="7"/>
  <c r="N38" i="7" s="1"/>
  <c r="AB38" i="7"/>
  <c r="AC38" i="7" s="1"/>
  <c r="AG38" i="7"/>
  <c r="AH38" i="7" s="1"/>
  <c r="R38" i="7"/>
  <c r="S38" i="7" s="1"/>
  <c r="C112" i="4"/>
  <c r="D112" i="4" s="1"/>
  <c r="C184" i="4"/>
  <c r="D184" i="4" s="1"/>
  <c r="C88" i="4"/>
  <c r="D88" i="4" s="1"/>
  <c r="C160" i="4"/>
  <c r="D160" i="4" s="1"/>
  <c r="C136" i="4"/>
  <c r="D136" i="4" s="1"/>
  <c r="E68" i="4"/>
  <c r="G67" i="4"/>
  <c r="AC38" i="18" l="1"/>
  <c r="X38" i="18"/>
  <c r="S38" i="18"/>
  <c r="N38" i="18"/>
  <c r="I38" i="18"/>
  <c r="C40" i="18"/>
  <c r="H39" i="18"/>
  <c r="M39" i="18"/>
  <c r="R39" i="18"/>
  <c r="W39" i="18"/>
  <c r="AB39" i="18"/>
  <c r="AC37" i="21"/>
  <c r="X37" i="21"/>
  <c r="S37" i="21"/>
  <c r="N37" i="21"/>
  <c r="I37" i="21"/>
  <c r="C39" i="21"/>
  <c r="H38" i="21"/>
  <c r="M38" i="21"/>
  <c r="R38" i="21"/>
  <c r="W38" i="21"/>
  <c r="AB38" i="21"/>
  <c r="AH42" i="22"/>
  <c r="AC42" i="22"/>
  <c r="X42" i="22"/>
  <c r="S42" i="22"/>
  <c r="N42" i="22"/>
  <c r="I42" i="22"/>
  <c r="C44" i="22"/>
  <c r="H43" i="22"/>
  <c r="M43" i="22"/>
  <c r="R43" i="22"/>
  <c r="W43" i="22"/>
  <c r="AB43" i="22"/>
  <c r="AG43" i="22"/>
  <c r="AC39" i="20"/>
  <c r="X39" i="20"/>
  <c r="S39" i="20"/>
  <c r="I39" i="20"/>
  <c r="N39" i="20"/>
  <c r="C41" i="20"/>
  <c r="H40" i="20"/>
  <c r="M40" i="20"/>
  <c r="R40" i="20"/>
  <c r="W40" i="20"/>
  <c r="AB40" i="20"/>
  <c r="AH41" i="19"/>
  <c r="X41" i="19"/>
  <c r="I41" i="19"/>
  <c r="S41" i="19"/>
  <c r="N41" i="19"/>
  <c r="AC41" i="19"/>
  <c r="C43" i="19"/>
  <c r="AB42" i="19"/>
  <c r="M42" i="19"/>
  <c r="R42" i="19"/>
  <c r="H42" i="19"/>
  <c r="W42" i="19"/>
  <c r="AG42" i="19"/>
  <c r="M39" i="7"/>
  <c r="N39" i="7" s="1"/>
  <c r="C40" i="7"/>
  <c r="W39" i="7"/>
  <c r="X39" i="7" s="1"/>
  <c r="H39" i="7"/>
  <c r="I39" i="7" s="1"/>
  <c r="R39" i="7"/>
  <c r="S39" i="7" s="1"/>
  <c r="AG39" i="7"/>
  <c r="AH39" i="7" s="1"/>
  <c r="AB39" i="7"/>
  <c r="AC39" i="7" s="1"/>
  <c r="E69" i="4"/>
  <c r="G68" i="4"/>
  <c r="C137" i="4"/>
  <c r="D137" i="4" s="1"/>
  <c r="C161" i="4"/>
  <c r="D161" i="4" s="1"/>
  <c r="C185" i="4"/>
  <c r="D185" i="4" s="1"/>
  <c r="C113" i="4"/>
  <c r="D113" i="4" s="1"/>
  <c r="C89" i="4"/>
  <c r="D89" i="4" s="1"/>
  <c r="AH42" i="19" l="1"/>
  <c r="X42" i="19"/>
  <c r="I42" i="19"/>
  <c r="S42" i="19"/>
  <c r="N42" i="19"/>
  <c r="AC42" i="19"/>
  <c r="C44" i="19"/>
  <c r="M43" i="19"/>
  <c r="R43" i="19"/>
  <c r="H43" i="19"/>
  <c r="W43" i="19"/>
  <c r="AB43" i="19"/>
  <c r="AG43" i="19"/>
  <c r="AC40" i="20"/>
  <c r="X40" i="20"/>
  <c r="S40" i="20"/>
  <c r="N40" i="20"/>
  <c r="I40" i="20"/>
  <c r="C42" i="20"/>
  <c r="H41" i="20"/>
  <c r="M41" i="20"/>
  <c r="R41" i="20"/>
  <c r="W41" i="20"/>
  <c r="AB41" i="20"/>
  <c r="AH43" i="22"/>
  <c r="AC43" i="22"/>
  <c r="X43" i="22"/>
  <c r="S43" i="22"/>
  <c r="N43" i="22"/>
  <c r="I43" i="22"/>
  <c r="C45" i="22"/>
  <c r="H44" i="22"/>
  <c r="M44" i="22"/>
  <c r="R44" i="22"/>
  <c r="W44" i="22"/>
  <c r="AB44" i="22"/>
  <c r="AG44" i="22"/>
  <c r="AC38" i="21"/>
  <c r="X38" i="21"/>
  <c r="S38" i="21"/>
  <c r="N38" i="21"/>
  <c r="I38" i="21"/>
  <c r="C40" i="21"/>
  <c r="H39" i="21"/>
  <c r="M39" i="21"/>
  <c r="R39" i="21"/>
  <c r="W39" i="21"/>
  <c r="AB39" i="21"/>
  <c r="AC39" i="18"/>
  <c r="X39" i="18"/>
  <c r="S39" i="18"/>
  <c r="N39" i="18"/>
  <c r="I39" i="18"/>
  <c r="C41" i="18"/>
  <c r="H40" i="18"/>
  <c r="M40" i="18"/>
  <c r="R40" i="18"/>
  <c r="W40" i="18"/>
  <c r="AB40" i="18"/>
  <c r="R40" i="7"/>
  <c r="S40" i="7" s="1"/>
  <c r="W40" i="7"/>
  <c r="X40" i="7" s="1"/>
  <c r="C41" i="7"/>
  <c r="AG40" i="7"/>
  <c r="AH40" i="7" s="1"/>
  <c r="M40" i="7"/>
  <c r="N40" i="7" s="1"/>
  <c r="AB40" i="7"/>
  <c r="AC40" i="7" s="1"/>
  <c r="H40" i="7"/>
  <c r="I40" i="7" s="1"/>
  <c r="C186" i="4"/>
  <c r="D186" i="4" s="1"/>
  <c r="C138" i="4"/>
  <c r="D138" i="4" s="1"/>
  <c r="C162" i="4"/>
  <c r="D162" i="4" s="1"/>
  <c r="C114" i="4"/>
  <c r="D114" i="4" s="1"/>
  <c r="C90" i="4"/>
  <c r="D90" i="4" s="1"/>
  <c r="G69" i="4"/>
  <c r="E70" i="4"/>
  <c r="AC40" i="18" l="1"/>
  <c r="X40" i="18"/>
  <c r="S40" i="18"/>
  <c r="N40" i="18"/>
  <c r="I40" i="18"/>
  <c r="C42" i="18"/>
  <c r="H41" i="18"/>
  <c r="M41" i="18"/>
  <c r="R41" i="18"/>
  <c r="W41" i="18"/>
  <c r="AB41" i="18"/>
  <c r="AC39" i="21"/>
  <c r="X39" i="21"/>
  <c r="S39" i="21"/>
  <c r="N39" i="21"/>
  <c r="I39" i="21"/>
  <c r="C41" i="21"/>
  <c r="H40" i="21"/>
  <c r="M40" i="21"/>
  <c r="R40" i="21"/>
  <c r="W40" i="21"/>
  <c r="AB40" i="21"/>
  <c r="AH44" i="22"/>
  <c r="AC44" i="22"/>
  <c r="X44" i="22"/>
  <c r="S44" i="22"/>
  <c r="N44" i="22"/>
  <c r="I44" i="22"/>
  <c r="C46" i="22"/>
  <c r="H45" i="22"/>
  <c r="M45" i="22"/>
  <c r="R45" i="22"/>
  <c r="W45" i="22"/>
  <c r="AB45" i="22"/>
  <c r="AG45" i="22"/>
  <c r="AC41" i="20"/>
  <c r="X41" i="20"/>
  <c r="S41" i="20"/>
  <c r="N41" i="20"/>
  <c r="I41" i="20"/>
  <c r="C43" i="20"/>
  <c r="H42" i="20"/>
  <c r="M42" i="20"/>
  <c r="R42" i="20"/>
  <c r="W42" i="20"/>
  <c r="AB42" i="20"/>
  <c r="AH43" i="19"/>
  <c r="AC43" i="19"/>
  <c r="X43" i="19"/>
  <c r="I43" i="19"/>
  <c r="S43" i="19"/>
  <c r="N43" i="19"/>
  <c r="C45" i="19"/>
  <c r="M44" i="19"/>
  <c r="R44" i="19"/>
  <c r="H44" i="19"/>
  <c r="W44" i="19"/>
  <c r="AB44" i="19"/>
  <c r="AG44" i="19"/>
  <c r="W41" i="7"/>
  <c r="X41" i="7" s="1"/>
  <c r="C42" i="7"/>
  <c r="AB41" i="7"/>
  <c r="AC41" i="7" s="1"/>
  <c r="AG41" i="7"/>
  <c r="AH41" i="7" s="1"/>
  <c r="R41" i="7"/>
  <c r="S41" i="7" s="1"/>
  <c r="M41" i="7"/>
  <c r="N41" i="7" s="1"/>
  <c r="H41" i="7"/>
  <c r="I41" i="7" s="1"/>
  <c r="E71" i="4"/>
  <c r="G70" i="4"/>
  <c r="C91" i="4"/>
  <c r="D91" i="4" s="1"/>
  <c r="C115" i="4"/>
  <c r="D115" i="4" s="1"/>
  <c r="C139" i="4"/>
  <c r="D139" i="4" s="1"/>
  <c r="C187" i="4"/>
  <c r="D187" i="4" s="1"/>
  <c r="C163" i="4"/>
  <c r="D163" i="4" s="1"/>
  <c r="AH44" i="19" l="1"/>
  <c r="AC44" i="19"/>
  <c r="X44" i="19"/>
  <c r="I44" i="19"/>
  <c r="S44" i="19"/>
  <c r="N44" i="19"/>
  <c r="C46" i="19"/>
  <c r="M45" i="19"/>
  <c r="R45" i="19"/>
  <c r="H45" i="19"/>
  <c r="W45" i="19"/>
  <c r="AB45" i="19"/>
  <c r="AG45" i="19"/>
  <c r="AC42" i="20"/>
  <c r="X42" i="20"/>
  <c r="S42" i="20"/>
  <c r="N42" i="20"/>
  <c r="I42" i="20"/>
  <c r="C44" i="20"/>
  <c r="M43" i="20"/>
  <c r="H43" i="20"/>
  <c r="R43" i="20"/>
  <c r="W43" i="20"/>
  <c r="AB43" i="20"/>
  <c r="AH45" i="22"/>
  <c r="AC45" i="22"/>
  <c r="X45" i="22"/>
  <c r="S45" i="22"/>
  <c r="N45" i="22"/>
  <c r="I45" i="22"/>
  <c r="C47" i="22"/>
  <c r="H46" i="22"/>
  <c r="M46" i="22"/>
  <c r="R46" i="22"/>
  <c r="W46" i="22"/>
  <c r="AB46" i="22"/>
  <c r="AG46" i="22"/>
  <c r="AC40" i="21"/>
  <c r="X40" i="21"/>
  <c r="S40" i="21"/>
  <c r="N40" i="21"/>
  <c r="I40" i="21"/>
  <c r="C42" i="21"/>
  <c r="H41" i="21"/>
  <c r="M41" i="21"/>
  <c r="R41" i="21"/>
  <c r="W41" i="21"/>
  <c r="AB41" i="21"/>
  <c r="AC41" i="18"/>
  <c r="X41" i="18"/>
  <c r="S41" i="18"/>
  <c r="N41" i="18"/>
  <c r="I41" i="18"/>
  <c r="C43" i="18"/>
  <c r="H42" i="18"/>
  <c r="M42" i="18"/>
  <c r="R42" i="18"/>
  <c r="W42" i="18"/>
  <c r="AB42" i="18"/>
  <c r="AB42" i="7"/>
  <c r="AC42" i="7" s="1"/>
  <c r="C43" i="7"/>
  <c r="W42" i="7"/>
  <c r="X42" i="7" s="1"/>
  <c r="AG42" i="7"/>
  <c r="AH42" i="7" s="1"/>
  <c r="M42" i="7"/>
  <c r="N42" i="7" s="1"/>
  <c r="H42" i="7"/>
  <c r="I42" i="7" s="1"/>
  <c r="R42" i="7"/>
  <c r="S42" i="7" s="1"/>
  <c r="C188" i="4"/>
  <c r="D188" i="4" s="1"/>
  <c r="C140" i="4"/>
  <c r="D140" i="4" s="1"/>
  <c r="C92" i="4"/>
  <c r="D92" i="4" s="1"/>
  <c r="C116" i="4"/>
  <c r="D116" i="4" s="1"/>
  <c r="C164" i="4"/>
  <c r="D164" i="4" s="1"/>
  <c r="E72" i="4"/>
  <c r="G71" i="4"/>
  <c r="AC42" i="18" l="1"/>
  <c r="X42" i="18"/>
  <c r="S42" i="18"/>
  <c r="N42" i="18"/>
  <c r="I42" i="18"/>
  <c r="C44" i="18"/>
  <c r="H43" i="18"/>
  <c r="M43" i="18"/>
  <c r="R43" i="18"/>
  <c r="W43" i="18"/>
  <c r="AB43" i="18"/>
  <c r="AC41" i="21"/>
  <c r="X41" i="21"/>
  <c r="S41" i="21"/>
  <c r="N41" i="21"/>
  <c r="I41" i="21"/>
  <c r="C43" i="21"/>
  <c r="H42" i="21"/>
  <c r="M42" i="21"/>
  <c r="R42" i="21"/>
  <c r="W42" i="21"/>
  <c r="AB42" i="21"/>
  <c r="AH46" i="22"/>
  <c r="AC46" i="22"/>
  <c r="X46" i="22"/>
  <c r="S46" i="22"/>
  <c r="N46" i="22"/>
  <c r="I46" i="22"/>
  <c r="C48" i="22"/>
  <c r="H47" i="22"/>
  <c r="M47" i="22"/>
  <c r="R47" i="22"/>
  <c r="W47" i="22"/>
  <c r="AB47" i="22"/>
  <c r="AG47" i="22"/>
  <c r="AC43" i="20"/>
  <c r="X43" i="20"/>
  <c r="S43" i="20"/>
  <c r="I43" i="20"/>
  <c r="N43" i="20"/>
  <c r="C45" i="20"/>
  <c r="M44" i="20"/>
  <c r="H44" i="20"/>
  <c r="R44" i="20"/>
  <c r="W44" i="20"/>
  <c r="AB44" i="20"/>
  <c r="AH45" i="19"/>
  <c r="AC45" i="19"/>
  <c r="X45" i="19"/>
  <c r="I45" i="19"/>
  <c r="S45" i="19"/>
  <c r="N45" i="19"/>
  <c r="C47" i="19"/>
  <c r="AB46" i="19"/>
  <c r="M46" i="19"/>
  <c r="R46" i="19"/>
  <c r="H46" i="19"/>
  <c r="W46" i="19"/>
  <c r="AG46" i="19"/>
  <c r="AG43" i="7"/>
  <c r="AH43" i="7" s="1"/>
  <c r="C44" i="7"/>
  <c r="M43" i="7"/>
  <c r="N43" i="7" s="1"/>
  <c r="H43" i="7"/>
  <c r="I43" i="7" s="1"/>
  <c r="AB43" i="7"/>
  <c r="AC43" i="7" s="1"/>
  <c r="W43" i="7"/>
  <c r="X43" i="7" s="1"/>
  <c r="R43" i="7"/>
  <c r="S43" i="7" s="1"/>
  <c r="E73" i="4"/>
  <c r="G72" i="4"/>
  <c r="C93" i="4"/>
  <c r="D93" i="4" s="1"/>
  <c r="C165" i="4"/>
  <c r="D165" i="4" s="1"/>
  <c r="C117" i="4"/>
  <c r="D117" i="4" s="1"/>
  <c r="C189" i="4"/>
  <c r="D189" i="4" s="1"/>
  <c r="C141" i="4"/>
  <c r="D141" i="4" s="1"/>
  <c r="AH46" i="19" l="1"/>
  <c r="X46" i="19"/>
  <c r="I46" i="19"/>
  <c r="S46" i="19"/>
  <c r="N46" i="19"/>
  <c r="AC46" i="19"/>
  <c r="C48" i="19"/>
  <c r="H47" i="19"/>
  <c r="M47" i="19"/>
  <c r="R47" i="19"/>
  <c r="W47" i="19"/>
  <c r="AB47" i="19"/>
  <c r="AG47" i="19"/>
  <c r="AC44" i="20"/>
  <c r="X44" i="20"/>
  <c r="S44" i="20"/>
  <c r="I44" i="20"/>
  <c r="N44" i="20"/>
  <c r="C46" i="20"/>
  <c r="H45" i="20"/>
  <c r="M45" i="20"/>
  <c r="R45" i="20"/>
  <c r="W45" i="20"/>
  <c r="AB45" i="20"/>
  <c r="AH47" i="22"/>
  <c r="AC47" i="22"/>
  <c r="X47" i="22"/>
  <c r="S47" i="22"/>
  <c r="N47" i="22"/>
  <c r="I47" i="22"/>
  <c r="C49" i="22"/>
  <c r="H48" i="22"/>
  <c r="M48" i="22"/>
  <c r="R48" i="22"/>
  <c r="W48" i="22"/>
  <c r="AB48" i="22"/>
  <c r="AG48" i="22"/>
  <c r="AC42" i="21"/>
  <c r="X42" i="21"/>
  <c r="S42" i="21"/>
  <c r="N42" i="21"/>
  <c r="I42" i="21"/>
  <c r="C44" i="21"/>
  <c r="H43" i="21"/>
  <c r="M43" i="21"/>
  <c r="R43" i="21"/>
  <c r="W43" i="21"/>
  <c r="AB43" i="21"/>
  <c r="AC43" i="18"/>
  <c r="X43" i="18"/>
  <c r="S43" i="18"/>
  <c r="N43" i="18"/>
  <c r="I43" i="18"/>
  <c r="C45" i="18"/>
  <c r="H44" i="18"/>
  <c r="M44" i="18"/>
  <c r="R44" i="18"/>
  <c r="W44" i="18"/>
  <c r="AB44" i="18"/>
  <c r="C45" i="7"/>
  <c r="M44" i="7"/>
  <c r="N44" i="7" s="1"/>
  <c r="H44" i="7"/>
  <c r="I44" i="7" s="1"/>
  <c r="R44" i="7"/>
  <c r="S44" i="7" s="1"/>
  <c r="W44" i="7"/>
  <c r="X44" i="7" s="1"/>
  <c r="AG44" i="7"/>
  <c r="AH44" i="7" s="1"/>
  <c r="AB44" i="7"/>
  <c r="AC44" i="7" s="1"/>
  <c r="C118" i="4"/>
  <c r="D118" i="4" s="1"/>
  <c r="C142" i="4"/>
  <c r="D142" i="4" s="1"/>
  <c r="C166" i="4"/>
  <c r="D166" i="4" s="1"/>
  <c r="C94" i="4"/>
  <c r="D94" i="4" s="1"/>
  <c r="C190" i="4"/>
  <c r="D190" i="4" s="1"/>
  <c r="G73" i="4"/>
  <c r="E74" i="4"/>
  <c r="G74" i="4" s="1"/>
  <c r="AC44" i="18" l="1"/>
  <c r="X44" i="18"/>
  <c r="S44" i="18"/>
  <c r="N44" i="18"/>
  <c r="I44" i="18"/>
  <c r="H45" i="18"/>
  <c r="M45" i="18"/>
  <c r="R45" i="18"/>
  <c r="W45" i="18"/>
  <c r="AB45" i="18"/>
  <c r="AC43" i="21"/>
  <c r="X43" i="21"/>
  <c r="S43" i="21"/>
  <c r="N43" i="21"/>
  <c r="I43" i="21"/>
  <c r="C45" i="21"/>
  <c r="H44" i="21"/>
  <c r="M44" i="21"/>
  <c r="R44" i="21"/>
  <c r="W44" i="21"/>
  <c r="AB44" i="21"/>
  <c r="AH48" i="22"/>
  <c r="AC48" i="22"/>
  <c r="X48" i="22"/>
  <c r="S48" i="22"/>
  <c r="N48" i="22"/>
  <c r="I48" i="22"/>
  <c r="C50" i="22"/>
  <c r="H49" i="22"/>
  <c r="M49" i="22"/>
  <c r="R49" i="22"/>
  <c r="W49" i="22"/>
  <c r="AB49" i="22"/>
  <c r="AG49" i="22"/>
  <c r="AC45" i="20"/>
  <c r="X45" i="20"/>
  <c r="S45" i="20"/>
  <c r="N45" i="20"/>
  <c r="I45" i="20"/>
  <c r="M46" i="20"/>
  <c r="H46" i="20"/>
  <c r="R46" i="20"/>
  <c r="W46" i="20"/>
  <c r="AB46" i="20"/>
  <c r="AH47" i="19"/>
  <c r="AC47" i="19"/>
  <c r="X47" i="19"/>
  <c r="S47" i="19"/>
  <c r="N47" i="19"/>
  <c r="I47" i="19"/>
  <c r="C49" i="19"/>
  <c r="AB48" i="19"/>
  <c r="M48" i="19"/>
  <c r="R48" i="19"/>
  <c r="H48" i="19"/>
  <c r="W48" i="19"/>
  <c r="AG48" i="19"/>
  <c r="R45" i="7"/>
  <c r="AG45" i="7"/>
  <c r="H45" i="7"/>
  <c r="M45" i="7"/>
  <c r="AB45" i="7"/>
  <c r="W45" i="7"/>
  <c r="C96" i="4"/>
  <c r="C120" i="4"/>
  <c r="C144" i="4"/>
  <c r="C168" i="4"/>
  <c r="C192" i="4"/>
  <c r="C191" i="4"/>
  <c r="D191" i="4" s="1"/>
  <c r="C167" i="4"/>
  <c r="D167" i="4" s="1"/>
  <c r="C119" i="4"/>
  <c r="D119" i="4" s="1"/>
  <c r="C95" i="4"/>
  <c r="D95" i="4" s="1"/>
  <c r="C143" i="4"/>
  <c r="D143" i="4" s="1"/>
  <c r="AH48" i="19" l="1"/>
  <c r="X48" i="19"/>
  <c r="I48" i="19"/>
  <c r="S48" i="19"/>
  <c r="N48" i="19"/>
  <c r="AC48" i="19"/>
  <c r="C50" i="19"/>
  <c r="AB49" i="19"/>
  <c r="M49" i="19"/>
  <c r="R49" i="19"/>
  <c r="H49" i="19"/>
  <c r="W49" i="19"/>
  <c r="AG49" i="19"/>
  <c r="AC46" i="20"/>
  <c r="AC51" i="20" s="1"/>
  <c r="AB51" i="20"/>
  <c r="X46" i="20"/>
  <c r="X51" i="20" s="1"/>
  <c r="W51" i="20"/>
  <c r="S46" i="20"/>
  <c r="S51" i="20" s="1"/>
  <c r="R51" i="20"/>
  <c r="I46" i="20"/>
  <c r="H51" i="20"/>
  <c r="N46" i="20"/>
  <c r="N51" i="20" s="1"/>
  <c r="M51" i="20"/>
  <c r="I51" i="20"/>
  <c r="AH49" i="22"/>
  <c r="AC49" i="22"/>
  <c r="X49" i="22"/>
  <c r="S49" i="22"/>
  <c r="N49" i="22"/>
  <c r="I49" i="22"/>
  <c r="C51" i="22"/>
  <c r="H50" i="22"/>
  <c r="M50" i="22"/>
  <c r="R50" i="22"/>
  <c r="W50" i="22"/>
  <c r="AB50" i="22"/>
  <c r="AG50" i="22"/>
  <c r="AC44" i="21"/>
  <c r="X44" i="21"/>
  <c r="S44" i="21"/>
  <c r="N44" i="21"/>
  <c r="I44" i="21"/>
  <c r="H45" i="21"/>
  <c r="M45" i="21"/>
  <c r="R45" i="21"/>
  <c r="W45" i="21"/>
  <c r="AB45" i="21"/>
  <c r="AC45" i="18"/>
  <c r="AB50" i="18"/>
  <c r="X45" i="18"/>
  <c r="W50" i="18"/>
  <c r="S45" i="18"/>
  <c r="S50" i="18" s="1"/>
  <c r="R50" i="18"/>
  <c r="N45" i="18"/>
  <c r="M50" i="18"/>
  <c r="I45" i="18"/>
  <c r="H50" i="18"/>
  <c r="I50" i="18"/>
  <c r="N50" i="18"/>
  <c r="X50" i="18"/>
  <c r="AC50" i="18"/>
  <c r="AC45" i="7"/>
  <c r="AC50" i="7" s="1"/>
  <c r="AB50" i="7"/>
  <c r="AH45" i="7"/>
  <c r="AH50" i="7" s="1"/>
  <c r="AG50" i="7"/>
  <c r="X45" i="7"/>
  <c r="X50" i="7" s="1"/>
  <c r="W50" i="7"/>
  <c r="N45" i="7"/>
  <c r="N50" i="7" s="1"/>
  <c r="M50" i="7"/>
  <c r="I45" i="7"/>
  <c r="I50" i="7" s="1"/>
  <c r="H50" i="7"/>
  <c r="L23" i="7" s="1"/>
  <c r="S45" i="7"/>
  <c r="S50" i="7" s="1"/>
  <c r="R50" i="7"/>
  <c r="D168" i="4"/>
  <c r="D169" i="4" s="1"/>
  <c r="C169" i="4"/>
  <c r="B171" i="4" s="1"/>
  <c r="D144" i="4"/>
  <c r="D145" i="4" s="1"/>
  <c r="C145" i="4"/>
  <c r="B147" i="4" s="1"/>
  <c r="D192" i="4"/>
  <c r="D193" i="4" s="1"/>
  <c r="C193" i="4"/>
  <c r="B195" i="4" s="1"/>
  <c r="D120" i="4"/>
  <c r="D121" i="4" s="1"/>
  <c r="C121" i="4"/>
  <c r="B123" i="4" s="1"/>
  <c r="D96" i="4"/>
  <c r="D97" i="4" s="1"/>
  <c r="C97" i="4"/>
  <c r="B99" i="4" s="1"/>
  <c r="L24" i="18" l="1"/>
  <c r="Q24" i="18" s="1"/>
  <c r="V24" i="18"/>
  <c r="AA24" i="18" s="1"/>
  <c r="B21" i="18" s="1"/>
  <c r="AC45" i="21"/>
  <c r="AC50" i="21" s="1"/>
  <c r="AB50" i="21"/>
  <c r="X45" i="21"/>
  <c r="X50" i="21" s="1"/>
  <c r="W50" i="21"/>
  <c r="S45" i="21"/>
  <c r="S50" i="21" s="1"/>
  <c r="R50" i="21"/>
  <c r="N45" i="21"/>
  <c r="N50" i="21" s="1"/>
  <c r="M50" i="21"/>
  <c r="I45" i="21"/>
  <c r="I50" i="21" s="1"/>
  <c r="H50" i="21"/>
  <c r="L24" i="21" s="1"/>
  <c r="Q24" i="21" s="1"/>
  <c r="V24" i="21" s="1"/>
  <c r="AA24" i="21" s="1"/>
  <c r="B21" i="21" s="1"/>
  <c r="AH50" i="22"/>
  <c r="AC50" i="22"/>
  <c r="X50" i="22"/>
  <c r="S50" i="22"/>
  <c r="N50" i="22"/>
  <c r="I50" i="22"/>
  <c r="C52" i="22"/>
  <c r="H51" i="22"/>
  <c r="M51" i="22"/>
  <c r="R51" i="22"/>
  <c r="W51" i="22"/>
  <c r="AB51" i="22"/>
  <c r="AG51" i="22"/>
  <c r="L24" i="20"/>
  <c r="Q24" i="20" s="1"/>
  <c r="V24" i="20" s="1"/>
  <c r="AA24" i="20" s="1"/>
  <c r="B21" i="20" s="1"/>
  <c r="AH49" i="19"/>
  <c r="X49" i="19"/>
  <c r="I49" i="19"/>
  <c r="S49" i="19"/>
  <c r="N49" i="19"/>
  <c r="AC49" i="19"/>
  <c r="C51" i="19"/>
  <c r="AB50" i="19"/>
  <c r="M50" i="19"/>
  <c r="R50" i="19"/>
  <c r="H50" i="19"/>
  <c r="W50" i="19"/>
  <c r="AG50" i="19"/>
  <c r="Q23" i="7"/>
  <c r="V23" i="7" s="1"/>
  <c r="AA23" i="7" s="1"/>
  <c r="AH50" i="19" l="1"/>
  <c r="X50" i="19"/>
  <c r="I50" i="19"/>
  <c r="S50" i="19"/>
  <c r="N50" i="19"/>
  <c r="AC50" i="19"/>
  <c r="C52" i="19"/>
  <c r="M51" i="19"/>
  <c r="R51" i="19"/>
  <c r="H51" i="19"/>
  <c r="W51" i="19"/>
  <c r="AB51" i="19"/>
  <c r="AG51" i="19"/>
  <c r="AH51" i="22"/>
  <c r="AC51" i="22"/>
  <c r="X51" i="22"/>
  <c r="S51" i="22"/>
  <c r="N51" i="22"/>
  <c r="I51" i="22"/>
  <c r="C53" i="22"/>
  <c r="H52" i="22"/>
  <c r="M52" i="22"/>
  <c r="R52" i="22"/>
  <c r="W52" i="22"/>
  <c r="AB52" i="22"/>
  <c r="AG52" i="22"/>
  <c r="B19" i="7"/>
  <c r="AF23" i="7"/>
  <c r="AH52" i="22" l="1"/>
  <c r="AC52" i="22"/>
  <c r="X52" i="22"/>
  <c r="S52" i="22"/>
  <c r="N52" i="22"/>
  <c r="I52" i="22"/>
  <c r="C54" i="22"/>
  <c r="H53" i="22"/>
  <c r="M53" i="22"/>
  <c r="R53" i="22"/>
  <c r="W53" i="22"/>
  <c r="AB53" i="22"/>
  <c r="AG53" i="22"/>
  <c r="AH51" i="19"/>
  <c r="AC51" i="19"/>
  <c r="X51" i="19"/>
  <c r="I51" i="19"/>
  <c r="S51" i="19"/>
  <c r="N51" i="19"/>
  <c r="C53" i="19"/>
  <c r="M52" i="19"/>
  <c r="R52" i="19"/>
  <c r="H52" i="19"/>
  <c r="W52" i="19"/>
  <c r="AB52" i="19"/>
  <c r="AG52" i="19"/>
  <c r="AH52" i="19" l="1"/>
  <c r="AC52" i="19"/>
  <c r="X52" i="19"/>
  <c r="I52" i="19"/>
  <c r="S52" i="19"/>
  <c r="N52" i="19"/>
  <c r="C54" i="19"/>
  <c r="M53" i="19"/>
  <c r="R53" i="19"/>
  <c r="H53" i="19"/>
  <c r="W53" i="19"/>
  <c r="AB53" i="19"/>
  <c r="AG53" i="19"/>
  <c r="AH53" i="22"/>
  <c r="AC53" i="22"/>
  <c r="X53" i="22"/>
  <c r="S53" i="22"/>
  <c r="N53" i="22"/>
  <c r="I53" i="22"/>
  <c r="C55" i="22"/>
  <c r="H54" i="22"/>
  <c r="M54" i="22"/>
  <c r="R54" i="22"/>
  <c r="W54" i="22"/>
  <c r="AB54" i="22"/>
  <c r="AG54" i="22"/>
  <c r="AH54" i="22" l="1"/>
  <c r="AC54" i="22"/>
  <c r="X54" i="22"/>
  <c r="S54" i="22"/>
  <c r="N54" i="22"/>
  <c r="I54" i="22"/>
  <c r="C56" i="22"/>
  <c r="H55" i="22"/>
  <c r="M55" i="22"/>
  <c r="R55" i="22"/>
  <c r="W55" i="22"/>
  <c r="AB55" i="22"/>
  <c r="AG55" i="22"/>
  <c r="AH53" i="19"/>
  <c r="AC53" i="19"/>
  <c r="X53" i="19"/>
  <c r="I53" i="19"/>
  <c r="S53" i="19"/>
  <c r="N53" i="19"/>
  <c r="C55" i="19"/>
  <c r="AB54" i="19"/>
  <c r="M54" i="19"/>
  <c r="R54" i="19"/>
  <c r="H54" i="19"/>
  <c r="W54" i="19"/>
  <c r="AG54" i="19"/>
  <c r="AH54" i="19" l="1"/>
  <c r="X54" i="19"/>
  <c r="I54" i="19"/>
  <c r="S54" i="19"/>
  <c r="N54" i="19"/>
  <c r="AC54" i="19"/>
  <c r="C56" i="19"/>
  <c r="R55" i="19"/>
  <c r="H55" i="19"/>
  <c r="M55" i="19"/>
  <c r="W55" i="19"/>
  <c r="AB55" i="19"/>
  <c r="AG55" i="19"/>
  <c r="AH55" i="22"/>
  <c r="AC55" i="22"/>
  <c r="X55" i="22"/>
  <c r="S55" i="22"/>
  <c r="N55" i="22"/>
  <c r="I55" i="22"/>
  <c r="C57" i="22"/>
  <c r="H56" i="22"/>
  <c r="M56" i="22"/>
  <c r="R56" i="22"/>
  <c r="W56" i="22"/>
  <c r="AB56" i="22"/>
  <c r="AG56" i="22"/>
  <c r="AH56" i="22" l="1"/>
  <c r="AC56" i="22"/>
  <c r="X56" i="22"/>
  <c r="S56" i="22"/>
  <c r="N56" i="22"/>
  <c r="I56" i="22"/>
  <c r="C58" i="22"/>
  <c r="H57" i="22"/>
  <c r="M57" i="22"/>
  <c r="R57" i="22"/>
  <c r="W57" i="22"/>
  <c r="AB57" i="22"/>
  <c r="AG57" i="22"/>
  <c r="AH55" i="19"/>
  <c r="AC55" i="19"/>
  <c r="X55" i="19"/>
  <c r="N55" i="19"/>
  <c r="I55" i="19"/>
  <c r="S55" i="19"/>
  <c r="C57" i="19"/>
  <c r="AB56" i="19"/>
  <c r="M56" i="19"/>
  <c r="R56" i="19"/>
  <c r="H56" i="19"/>
  <c r="W56" i="19"/>
  <c r="AG56" i="19"/>
  <c r="AH56" i="19" l="1"/>
  <c r="X56" i="19"/>
  <c r="I56" i="19"/>
  <c r="S56" i="19"/>
  <c r="N56" i="19"/>
  <c r="AC56" i="19"/>
  <c r="C58" i="19"/>
  <c r="AB57" i="19"/>
  <c r="M57" i="19"/>
  <c r="R57" i="19"/>
  <c r="H57" i="19"/>
  <c r="W57" i="19"/>
  <c r="AG57" i="19"/>
  <c r="AH57" i="22"/>
  <c r="AC57" i="22"/>
  <c r="X57" i="22"/>
  <c r="S57" i="22"/>
  <c r="N57" i="22"/>
  <c r="I57" i="22"/>
  <c r="C59" i="22"/>
  <c r="H58" i="22"/>
  <c r="M58" i="22"/>
  <c r="R58" i="22"/>
  <c r="W58" i="22"/>
  <c r="AB58" i="22"/>
  <c r="AG58" i="22"/>
  <c r="AH58" i="22" l="1"/>
  <c r="AC58" i="22"/>
  <c r="X58" i="22"/>
  <c r="S58" i="22"/>
  <c r="N58" i="22"/>
  <c r="I58" i="22"/>
  <c r="C60" i="22"/>
  <c r="H59" i="22"/>
  <c r="M59" i="22"/>
  <c r="R59" i="22"/>
  <c r="W59" i="22"/>
  <c r="AB59" i="22"/>
  <c r="AG59" i="22"/>
  <c r="AH57" i="19"/>
  <c r="X57" i="19"/>
  <c r="I57" i="19"/>
  <c r="S57" i="19"/>
  <c r="N57" i="19"/>
  <c r="AC57" i="19"/>
  <c r="C59" i="19"/>
  <c r="AB58" i="19"/>
  <c r="M58" i="19"/>
  <c r="R58" i="19"/>
  <c r="H58" i="19"/>
  <c r="W58" i="19"/>
  <c r="AG58" i="19"/>
  <c r="AH58" i="19" l="1"/>
  <c r="X58" i="19"/>
  <c r="I58" i="19"/>
  <c r="S58" i="19"/>
  <c r="N58" i="19"/>
  <c r="AC58" i="19"/>
  <c r="C60" i="19"/>
  <c r="M59" i="19"/>
  <c r="R59" i="19"/>
  <c r="H59" i="19"/>
  <c r="W59" i="19"/>
  <c r="AB59" i="19"/>
  <c r="AG59" i="19"/>
  <c r="AH59" i="22"/>
  <c r="AC59" i="22"/>
  <c r="X59" i="22"/>
  <c r="S59" i="22"/>
  <c r="N59" i="22"/>
  <c r="I59" i="22"/>
  <c r="C61" i="22"/>
  <c r="H60" i="22"/>
  <c r="M60" i="22"/>
  <c r="R60" i="22"/>
  <c r="W60" i="22"/>
  <c r="AB60" i="22"/>
  <c r="AG60" i="22"/>
  <c r="AH60" i="22" l="1"/>
  <c r="AC60" i="22"/>
  <c r="X60" i="22"/>
  <c r="S60" i="22"/>
  <c r="N60" i="22"/>
  <c r="I60" i="22"/>
  <c r="C62" i="22"/>
  <c r="H61" i="22"/>
  <c r="M61" i="22"/>
  <c r="R61" i="22"/>
  <c r="W61" i="22"/>
  <c r="AB61" i="22"/>
  <c r="AG61" i="22"/>
  <c r="AH59" i="19"/>
  <c r="AC59" i="19"/>
  <c r="X59" i="19"/>
  <c r="I59" i="19"/>
  <c r="S59" i="19"/>
  <c r="N59" i="19"/>
  <c r="C61" i="19"/>
  <c r="M60" i="19"/>
  <c r="R60" i="19"/>
  <c r="H60" i="19"/>
  <c r="W60" i="19"/>
  <c r="AB60" i="19"/>
  <c r="AG60" i="19"/>
  <c r="AH60" i="19" l="1"/>
  <c r="AC60" i="19"/>
  <c r="X60" i="19"/>
  <c r="I60" i="19"/>
  <c r="S60" i="19"/>
  <c r="N60" i="19"/>
  <c r="C62" i="19"/>
  <c r="M61" i="19"/>
  <c r="R61" i="19"/>
  <c r="H61" i="19"/>
  <c r="W61" i="19"/>
  <c r="AB61" i="19"/>
  <c r="AG61" i="19"/>
  <c r="AH61" i="22"/>
  <c r="AC61" i="22"/>
  <c r="X61" i="22"/>
  <c r="S61" i="22"/>
  <c r="N61" i="22"/>
  <c r="I61" i="22"/>
  <c r="C63" i="22"/>
  <c r="H62" i="22"/>
  <c r="M62" i="22"/>
  <c r="R62" i="22"/>
  <c r="W62" i="22"/>
  <c r="AB62" i="22"/>
  <c r="AG62" i="22"/>
  <c r="AH62" i="22" l="1"/>
  <c r="AC62" i="22"/>
  <c r="X62" i="22"/>
  <c r="S62" i="22"/>
  <c r="N62" i="22"/>
  <c r="I62" i="22"/>
  <c r="C64" i="22"/>
  <c r="H63" i="22"/>
  <c r="M63" i="22"/>
  <c r="R63" i="22"/>
  <c r="W63" i="22"/>
  <c r="AB63" i="22"/>
  <c r="AG63" i="22"/>
  <c r="AH61" i="19"/>
  <c r="AC61" i="19"/>
  <c r="X61" i="19"/>
  <c r="I61" i="19"/>
  <c r="S61" i="19"/>
  <c r="N61" i="19"/>
  <c r="C63" i="19"/>
  <c r="AB62" i="19"/>
  <c r="M62" i="19"/>
  <c r="R62" i="19"/>
  <c r="H62" i="19"/>
  <c r="W62" i="19"/>
  <c r="AG62" i="19"/>
  <c r="AH62" i="19" l="1"/>
  <c r="X62" i="19"/>
  <c r="I62" i="19"/>
  <c r="S62" i="19"/>
  <c r="N62" i="19"/>
  <c r="AC62" i="19"/>
  <c r="C64" i="19"/>
  <c r="AB63" i="19"/>
  <c r="H63" i="19"/>
  <c r="M63" i="19"/>
  <c r="R63" i="19"/>
  <c r="W63" i="19"/>
  <c r="AG63" i="19"/>
  <c r="AH63" i="22"/>
  <c r="AC63" i="22"/>
  <c r="X63" i="22"/>
  <c r="S63" i="22"/>
  <c r="N63" i="22"/>
  <c r="I63" i="22"/>
  <c r="C65" i="22"/>
  <c r="H64" i="22"/>
  <c r="M64" i="22"/>
  <c r="R64" i="22"/>
  <c r="W64" i="22"/>
  <c r="AB64" i="22"/>
  <c r="AG64" i="22"/>
  <c r="AH64" i="22" l="1"/>
  <c r="AC64" i="22"/>
  <c r="X64" i="22"/>
  <c r="S64" i="22"/>
  <c r="N64" i="22"/>
  <c r="I64" i="22"/>
  <c r="C66" i="22"/>
  <c r="H65" i="22"/>
  <c r="M65" i="22"/>
  <c r="R65" i="22"/>
  <c r="W65" i="22"/>
  <c r="AB65" i="22"/>
  <c r="AG65" i="22"/>
  <c r="AH63" i="19"/>
  <c r="X63" i="19"/>
  <c r="S63" i="19"/>
  <c r="N63" i="19"/>
  <c r="I63" i="19"/>
  <c r="AC63" i="19"/>
  <c r="C65" i="19"/>
  <c r="AB64" i="19"/>
  <c r="M64" i="19"/>
  <c r="R64" i="19"/>
  <c r="H64" i="19"/>
  <c r="W64" i="19"/>
  <c r="AG64" i="19"/>
  <c r="AH64" i="19" l="1"/>
  <c r="X64" i="19"/>
  <c r="I64" i="19"/>
  <c r="S64" i="19"/>
  <c r="N64" i="19"/>
  <c r="AC64" i="19"/>
  <c r="C66" i="19"/>
  <c r="AB65" i="19"/>
  <c r="M65" i="19"/>
  <c r="R65" i="19"/>
  <c r="H65" i="19"/>
  <c r="W65" i="19"/>
  <c r="AG65" i="19"/>
  <c r="AH65" i="22"/>
  <c r="AC65" i="22"/>
  <c r="X65" i="22"/>
  <c r="S65" i="22"/>
  <c r="N65" i="22"/>
  <c r="I65" i="22"/>
  <c r="C67" i="22"/>
  <c r="H66" i="22"/>
  <c r="M66" i="22"/>
  <c r="R66" i="22"/>
  <c r="W66" i="22"/>
  <c r="AB66" i="22"/>
  <c r="AG66" i="22"/>
  <c r="AH66" i="22" l="1"/>
  <c r="AC66" i="22"/>
  <c r="X66" i="22"/>
  <c r="S66" i="22"/>
  <c r="N66" i="22"/>
  <c r="I66" i="22"/>
  <c r="C68" i="22"/>
  <c r="H67" i="22"/>
  <c r="M67" i="22"/>
  <c r="R67" i="22"/>
  <c r="W67" i="22"/>
  <c r="AB67" i="22"/>
  <c r="AG67" i="22"/>
  <c r="AH65" i="19"/>
  <c r="X65" i="19"/>
  <c r="I65" i="19"/>
  <c r="S65" i="19"/>
  <c r="N65" i="19"/>
  <c r="AC65" i="19"/>
  <c r="AB66" i="19"/>
  <c r="M66" i="19"/>
  <c r="R66" i="19"/>
  <c r="H66" i="19"/>
  <c r="W66" i="19"/>
  <c r="AG66" i="19"/>
  <c r="AH66" i="19" l="1"/>
  <c r="AG71" i="19"/>
  <c r="X66" i="19"/>
  <c r="W71" i="19"/>
  <c r="I66" i="19"/>
  <c r="H71" i="19"/>
  <c r="S66" i="19"/>
  <c r="R71" i="19"/>
  <c r="N66" i="19"/>
  <c r="M71" i="19"/>
  <c r="AC66" i="19"/>
  <c r="AB71" i="19"/>
  <c r="AC71" i="19"/>
  <c r="N71" i="19"/>
  <c r="S71" i="19"/>
  <c r="I71" i="19"/>
  <c r="X71" i="19"/>
  <c r="AH71" i="19"/>
  <c r="AH67" i="22"/>
  <c r="AC67" i="22"/>
  <c r="X67" i="22"/>
  <c r="S67" i="22"/>
  <c r="N67" i="22"/>
  <c r="I67" i="22"/>
  <c r="C69" i="22"/>
  <c r="H68" i="22"/>
  <c r="M68" i="22"/>
  <c r="R68" i="22"/>
  <c r="W68" i="22"/>
  <c r="AB68" i="22"/>
  <c r="AG68" i="22"/>
  <c r="AH68" i="22" l="1"/>
  <c r="AC68" i="22"/>
  <c r="X68" i="22"/>
  <c r="S68" i="22"/>
  <c r="N68" i="22"/>
  <c r="I68" i="22"/>
  <c r="C70" i="22"/>
  <c r="H69" i="22"/>
  <c r="M69" i="22"/>
  <c r="R69" i="22"/>
  <c r="W69" i="22"/>
  <c r="AB69" i="22"/>
  <c r="AG69" i="22"/>
  <c r="L24" i="19"/>
  <c r="Q24" i="19" s="1"/>
  <c r="V24" i="19" s="1"/>
  <c r="AA24" i="19" s="1"/>
  <c r="AF24" i="19" s="1"/>
  <c r="B21" i="19" s="1"/>
  <c r="AH69" i="22" l="1"/>
  <c r="AC69" i="22"/>
  <c r="X69" i="22"/>
  <c r="S69" i="22"/>
  <c r="N69" i="22"/>
  <c r="I69" i="22"/>
  <c r="C71" i="22"/>
  <c r="H70" i="22"/>
  <c r="M70" i="22"/>
  <c r="R70" i="22"/>
  <c r="W70" i="22"/>
  <c r="AB70" i="22"/>
  <c r="AG70" i="22"/>
  <c r="AH70" i="22" l="1"/>
  <c r="AC70" i="22"/>
  <c r="X70" i="22"/>
  <c r="S70" i="22"/>
  <c r="N70" i="22"/>
  <c r="I70" i="22"/>
  <c r="C72" i="22"/>
  <c r="H71" i="22"/>
  <c r="M71" i="22"/>
  <c r="R71" i="22"/>
  <c r="W71" i="22"/>
  <c r="AB71" i="22"/>
  <c r="AG71" i="22"/>
  <c r="AH71" i="22" l="1"/>
  <c r="AC71" i="22"/>
  <c r="X71" i="22"/>
  <c r="S71" i="22"/>
  <c r="N71" i="22"/>
  <c r="I71" i="22"/>
  <c r="C73" i="22"/>
  <c r="H72" i="22"/>
  <c r="M72" i="22"/>
  <c r="R72" i="22"/>
  <c r="W72" i="22"/>
  <c r="AB72" i="22"/>
  <c r="AG72" i="22"/>
  <c r="AH72" i="22" l="1"/>
  <c r="AC72" i="22"/>
  <c r="X72" i="22"/>
  <c r="S72" i="22"/>
  <c r="N72" i="22"/>
  <c r="I72" i="22"/>
  <c r="C74" i="22"/>
  <c r="H73" i="22"/>
  <c r="M73" i="22"/>
  <c r="R73" i="22"/>
  <c r="W73" i="22"/>
  <c r="AB73" i="22"/>
  <c r="AG73" i="22"/>
  <c r="AH73" i="22" l="1"/>
  <c r="AC73" i="22"/>
  <c r="X73" i="22"/>
  <c r="S73" i="22"/>
  <c r="N73" i="22"/>
  <c r="I73" i="22"/>
  <c r="C75" i="22"/>
  <c r="H74" i="22"/>
  <c r="M74" i="22"/>
  <c r="R74" i="22"/>
  <c r="W74" i="22"/>
  <c r="AB74" i="22"/>
  <c r="AG74" i="22"/>
  <c r="AH74" i="22" l="1"/>
  <c r="AC74" i="22"/>
  <c r="X74" i="22"/>
  <c r="S74" i="22"/>
  <c r="N74" i="22"/>
  <c r="I74" i="22"/>
  <c r="C76" i="22"/>
  <c r="H75" i="22"/>
  <c r="M75" i="22"/>
  <c r="R75" i="22"/>
  <c r="W75" i="22"/>
  <c r="AB75" i="22"/>
  <c r="AG75" i="22"/>
  <c r="AH75" i="22" l="1"/>
  <c r="AC75" i="22"/>
  <c r="X75" i="22"/>
  <c r="S75" i="22"/>
  <c r="N75" i="22"/>
  <c r="I75" i="22"/>
  <c r="C77" i="22"/>
  <c r="H76" i="22"/>
  <c r="M76" i="22"/>
  <c r="R76" i="22"/>
  <c r="W76" i="22"/>
  <c r="AB76" i="22"/>
  <c r="AG76" i="22"/>
  <c r="AH76" i="22" l="1"/>
  <c r="AC76" i="22"/>
  <c r="X76" i="22"/>
  <c r="S76" i="22"/>
  <c r="N76" i="22"/>
  <c r="I76" i="22"/>
  <c r="C78" i="22"/>
  <c r="H77" i="22"/>
  <c r="M77" i="22"/>
  <c r="R77" i="22"/>
  <c r="W77" i="22"/>
  <c r="AB77" i="22"/>
  <c r="AG77" i="22"/>
  <c r="AH77" i="22" l="1"/>
  <c r="AC77" i="22"/>
  <c r="X77" i="22"/>
  <c r="S77" i="22"/>
  <c r="N77" i="22"/>
  <c r="I77" i="22"/>
  <c r="C79" i="22"/>
  <c r="H78" i="22"/>
  <c r="M78" i="22"/>
  <c r="R78" i="22"/>
  <c r="W78" i="22"/>
  <c r="AB78" i="22"/>
  <c r="AG78" i="22"/>
  <c r="AH78" i="22" l="1"/>
  <c r="AC78" i="22"/>
  <c r="X78" i="22"/>
  <c r="S78" i="22"/>
  <c r="N78" i="22"/>
  <c r="I78" i="22"/>
  <c r="C80" i="22"/>
  <c r="H79" i="22"/>
  <c r="M79" i="22"/>
  <c r="R79" i="22"/>
  <c r="W79" i="22"/>
  <c r="AB79" i="22"/>
  <c r="AG79" i="22"/>
  <c r="AH79" i="22" l="1"/>
  <c r="AC79" i="22"/>
  <c r="X79" i="22"/>
  <c r="S79" i="22"/>
  <c r="N79" i="22"/>
  <c r="I79" i="22"/>
  <c r="C81" i="22"/>
  <c r="H80" i="22"/>
  <c r="M80" i="22"/>
  <c r="R80" i="22"/>
  <c r="W80" i="22"/>
  <c r="AB80" i="22"/>
  <c r="AG80" i="22"/>
  <c r="AH80" i="22" l="1"/>
  <c r="AC80" i="22"/>
  <c r="X80" i="22"/>
  <c r="S80" i="22"/>
  <c r="N80" i="22"/>
  <c r="I80" i="22"/>
  <c r="C82" i="22"/>
  <c r="H81" i="22"/>
  <c r="M81" i="22"/>
  <c r="R81" i="22"/>
  <c r="W81" i="22"/>
  <c r="AB81" i="22"/>
  <c r="AG81" i="22"/>
  <c r="AH81" i="22" l="1"/>
  <c r="AC81" i="22"/>
  <c r="X81" i="22"/>
  <c r="S81" i="22"/>
  <c r="N81" i="22"/>
  <c r="I81" i="22"/>
  <c r="C83" i="22"/>
  <c r="H82" i="22"/>
  <c r="M82" i="22"/>
  <c r="R82" i="22"/>
  <c r="W82" i="22"/>
  <c r="AB82" i="22"/>
  <c r="AG82" i="22"/>
  <c r="AH82" i="22" l="1"/>
  <c r="AC82" i="22"/>
  <c r="X82" i="22"/>
  <c r="S82" i="22"/>
  <c r="N82" i="22"/>
  <c r="I82" i="22"/>
  <c r="C84" i="22"/>
  <c r="H83" i="22"/>
  <c r="M83" i="22"/>
  <c r="R83" i="22"/>
  <c r="W83" i="22"/>
  <c r="AB83" i="22"/>
  <c r="AG83" i="22"/>
  <c r="AH83" i="22" l="1"/>
  <c r="AC83" i="22"/>
  <c r="X83" i="22"/>
  <c r="S83" i="22"/>
  <c r="N83" i="22"/>
  <c r="I83" i="22"/>
  <c r="C85" i="22"/>
  <c r="H84" i="22"/>
  <c r="M84" i="22"/>
  <c r="R84" i="22"/>
  <c r="W84" i="22"/>
  <c r="AB84" i="22"/>
  <c r="AG84" i="22"/>
  <c r="AH84" i="22" l="1"/>
  <c r="AC84" i="22"/>
  <c r="X84" i="22"/>
  <c r="S84" i="22"/>
  <c r="N84" i="22"/>
  <c r="I84" i="22"/>
  <c r="H85" i="22"/>
  <c r="M85" i="22"/>
  <c r="R85" i="22"/>
  <c r="W85" i="22"/>
  <c r="AB85" i="22"/>
  <c r="AG85" i="22"/>
  <c r="AH85" i="22" l="1"/>
  <c r="AG90" i="22"/>
  <c r="AC85" i="22"/>
  <c r="AB90" i="22"/>
  <c r="X85" i="22"/>
  <c r="W90" i="22"/>
  <c r="S85" i="22"/>
  <c r="R90" i="22"/>
  <c r="N85" i="22"/>
  <c r="M90" i="22"/>
  <c r="I85" i="22"/>
  <c r="H90" i="22"/>
  <c r="I90" i="22"/>
  <c r="N90" i="22"/>
  <c r="S90" i="22"/>
  <c r="X90" i="22"/>
  <c r="AC90" i="22"/>
  <c r="AH90" i="22"/>
  <c r="L24" i="22" l="1"/>
  <c r="Q24" i="22" s="1"/>
  <c r="V24" i="22" s="1"/>
  <c r="AA24" i="22" s="1"/>
  <c r="AF24" i="22" s="1"/>
  <c r="B21" i="22" s="1"/>
</calcChain>
</file>

<file path=xl/sharedStrings.xml><?xml version="1.0" encoding="utf-8"?>
<sst xmlns="http://schemas.openxmlformats.org/spreadsheetml/2006/main" count="889" uniqueCount="226">
  <si>
    <t>Cashflows</t>
  </si>
  <si>
    <t>t</t>
  </si>
  <si>
    <t xml:space="preserve">Coupon rate </t>
  </si>
  <si>
    <t>initial investment</t>
  </si>
  <si>
    <t>FV</t>
  </si>
  <si>
    <t>Time to maturity(years)</t>
  </si>
  <si>
    <t>Coupon per year</t>
  </si>
  <si>
    <t>Bond Price</t>
  </si>
  <si>
    <t>Coupon payments</t>
  </si>
  <si>
    <t>Time periods</t>
  </si>
  <si>
    <t>YTM Using Rate function</t>
  </si>
  <si>
    <t>&gt;8% as bond price&lt;FV(below par)</t>
  </si>
  <si>
    <t>semiannually</t>
  </si>
  <si>
    <t>YTM Using Rate function(Reannualized)</t>
  </si>
  <si>
    <t>annually,&lt;10% as bond price&gt; FV(Premium)</t>
  </si>
  <si>
    <t>maturity</t>
  </si>
  <si>
    <t>YTM Using IRR</t>
  </si>
  <si>
    <t xml:space="preserve">Settlement date: </t>
  </si>
  <si>
    <t xml:space="preserve">Maturity date: </t>
  </si>
  <si>
    <t>FV/Redemption value</t>
  </si>
  <si>
    <t xml:space="preserve">coupon rate: </t>
  </si>
  <si>
    <t>bond price:</t>
  </si>
  <si>
    <t xml:space="preserve">Redemption value: </t>
  </si>
  <si>
    <t>(negative in rate formula because outflows are -ve)</t>
  </si>
  <si>
    <t xml:space="preserve">Bond price: </t>
  </si>
  <si>
    <t>(per 100) i.e. percentage</t>
  </si>
  <si>
    <t>(per 100)</t>
  </si>
  <si>
    <t xml:space="preserve">Coupon frequency: </t>
  </si>
  <si>
    <t>YTM Using YIELD Function:</t>
  </si>
  <si>
    <t>number of coupon payments</t>
  </si>
  <si>
    <t>Note: yield using any formula is always calculated wrt the coupon frequency and then it has to be later annualized to BEY but in Newton Raphson the annualization is accounted for.</t>
  </si>
  <si>
    <t>With ref to the above note, similarly here used are coupon rates (semiannual as coupon freq=2) and not annual/annualized coupon rates</t>
  </si>
  <si>
    <t>settlement date</t>
  </si>
  <si>
    <t>coupon dates</t>
  </si>
  <si>
    <t>interest</t>
  </si>
  <si>
    <t>year fraction</t>
  </si>
  <si>
    <t>Compounding freq</t>
  </si>
  <si>
    <t>maturity date</t>
  </si>
  <si>
    <t>coupon rate</t>
  </si>
  <si>
    <t>frequency of coupon</t>
  </si>
  <si>
    <t xml:space="preserve">bond price when traded </t>
  </si>
  <si>
    <t>first coupon date</t>
  </si>
  <si>
    <t>last coupon date</t>
  </si>
  <si>
    <t>day count convention</t>
  </si>
  <si>
    <t>30/360</t>
  </si>
  <si>
    <t>coupon</t>
  </si>
  <si>
    <t>Day count fraction</t>
  </si>
  <si>
    <t>yield1</t>
  </si>
  <si>
    <t>dDf</t>
  </si>
  <si>
    <t>PV</t>
  </si>
  <si>
    <t>dDer</t>
  </si>
  <si>
    <t>By Newton Raphson Method YTM=</t>
  </si>
  <si>
    <t>price</t>
  </si>
  <si>
    <t>yield2=</t>
  </si>
  <si>
    <t>yield2</t>
  </si>
  <si>
    <t>yield3=</t>
  </si>
  <si>
    <t>yield3</t>
  </si>
  <si>
    <t>yield4=</t>
  </si>
  <si>
    <t>yield4</t>
  </si>
  <si>
    <t>yield5=</t>
  </si>
  <si>
    <t>yield5</t>
  </si>
  <si>
    <t>yield6=</t>
  </si>
  <si>
    <t>issue date</t>
  </si>
  <si>
    <t>YTM by Newton Raphson=</t>
  </si>
  <si>
    <t>number of years</t>
  </si>
  <si>
    <t>Current bond price</t>
  </si>
  <si>
    <t>bond price(at par)</t>
  </si>
  <si>
    <t>coupon freq</t>
  </si>
  <si>
    <t>coupon payment</t>
  </si>
  <si>
    <t>YTM using yield</t>
  </si>
  <si>
    <t>number of extra days</t>
  </si>
  <si>
    <t>day count fraction</t>
  </si>
  <si>
    <t>accured interest</t>
  </si>
  <si>
    <t>new trade price</t>
  </si>
  <si>
    <t>new settlement date</t>
  </si>
  <si>
    <t>YTM&gt;Coupon rate</t>
  </si>
  <si>
    <t>YTM=Coupon rate</t>
  </si>
  <si>
    <t>YTM&lt;Coupon rate</t>
  </si>
  <si>
    <t>Accrued Interest (AI) = Principal Amount * Rate (Per Annum Basis) * DCF (1)</t>
  </si>
  <si>
    <t>discount bond</t>
  </si>
  <si>
    <t>bond at par</t>
  </si>
  <si>
    <t>premium bond</t>
  </si>
  <si>
    <t>numer of years=</t>
  </si>
  <si>
    <t>first call date</t>
  </si>
  <si>
    <t>call price</t>
  </si>
  <si>
    <t>NC/1</t>
  </si>
  <si>
    <t>PV(current bond price)</t>
  </si>
  <si>
    <t>bond quote(% of par)</t>
  </si>
  <si>
    <t>coupon rate(%)</t>
  </si>
  <si>
    <t>annual/annualized coupon</t>
  </si>
  <si>
    <t>YTM</t>
  </si>
  <si>
    <t>YTC</t>
  </si>
  <si>
    <t>YTW</t>
  </si>
  <si>
    <t>YTC&gt;YTM</t>
  </si>
  <si>
    <t>YTC&lt;YTM</t>
  </si>
  <si>
    <t>YTW=YTM</t>
  </si>
  <si>
    <t>YTW=YTC</t>
  </si>
  <si>
    <t>Decision/Result</t>
  </si>
  <si>
    <t>redeem at call price</t>
  </si>
  <si>
    <t>hold to maturity</t>
  </si>
  <si>
    <t>yield 1</t>
  </si>
  <si>
    <t>answer:</t>
  </si>
  <si>
    <t>YTM=</t>
  </si>
  <si>
    <t>YTM by yield function=</t>
  </si>
  <si>
    <t>issue date=settlement date</t>
  </si>
  <si>
    <t>call date</t>
  </si>
  <si>
    <t xml:space="preserve">bond price </t>
  </si>
  <si>
    <t>why are the results changing when yield function is replaced by mathematical formula?</t>
  </si>
  <si>
    <t>YTC=</t>
  </si>
  <si>
    <t>YTC by yield function=</t>
  </si>
  <si>
    <t>Issue Date</t>
  </si>
  <si>
    <t>Settlement Date</t>
  </si>
  <si>
    <t>Call Date</t>
  </si>
  <si>
    <t>Maturity Date</t>
  </si>
  <si>
    <t>First Coupon Date</t>
  </si>
  <si>
    <t>Last Coupon Date</t>
  </si>
  <si>
    <t>Trade Price</t>
  </si>
  <si>
    <t>FIX</t>
  </si>
  <si>
    <t>FLT</t>
  </si>
  <si>
    <t>Day Count Conventions</t>
  </si>
  <si>
    <t>ACT/360</t>
  </si>
  <si>
    <t>Coupon Frequency</t>
  </si>
  <si>
    <t>Start Date</t>
  </si>
  <si>
    <t>End Date</t>
  </si>
  <si>
    <t>Coupon</t>
  </si>
  <si>
    <t>Accrued Interest</t>
  </si>
  <si>
    <t>Price(TradePrice+Accrued Interest)</t>
  </si>
  <si>
    <t>Yield Calculated(Call)</t>
  </si>
  <si>
    <t>Yield Calculated(YTM)</t>
  </si>
  <si>
    <t>BBG Yield(Call)</t>
  </si>
  <si>
    <t>BBG Yield(YTM)</t>
  </si>
  <si>
    <t>yield1=</t>
  </si>
  <si>
    <t>Coupon Dates</t>
  </si>
  <si>
    <t>Interest</t>
  </si>
  <si>
    <t>Year Fraction</t>
  </si>
  <si>
    <t>Compounding Freq</t>
  </si>
  <si>
    <t>yield</t>
  </si>
  <si>
    <t>Dates</t>
  </si>
  <si>
    <t>Day count convention</t>
  </si>
  <si>
    <t>Description</t>
  </si>
  <si>
    <t>DCF</t>
  </si>
  <si>
    <t>to</t>
  </si>
  <si>
    <t>Act/Act</t>
  </si>
  <si>
    <t>DCF = Days1 /366 + Days2 / 365</t>
  </si>
  <si>
    <t>Days1 = Actual number of days in period that fall in a leap year.</t>
  </si>
  <si>
    <t>Days2 = Actual number of days in period that fall in a normal year.</t>
  </si>
  <si>
    <t>Act/365F</t>
  </si>
  <si>
    <t>DCF = Num/Den</t>
  </si>
  <si>
    <t>Num = Actual number of days within the accrual period</t>
  </si>
  <si>
    <t>Den = 365</t>
  </si>
  <si>
    <t>Act/360</t>
  </si>
  <si>
    <t>Den = 360</t>
  </si>
  <si>
    <t>Act/365A</t>
  </si>
  <si>
    <t>Den = 366 if the Leap day (29th Feb) falls within the accrual period else 365</t>
  </si>
  <si>
    <t>Act/365L</t>
  </si>
  <si>
    <t>Den = 366 if the accrual period end date (D2.M2.Y2) falls in a leap year else 365</t>
  </si>
  <si>
    <t>NL/365</t>
  </si>
  <si>
    <t>Num: If the Leap day (29th Feb) does not fall within the accrual period then,</t>
  </si>
  <si>
    <t>Actual number of days within the accrual period</t>
  </si>
  <si>
    <t>Otherwise,</t>
  </si>
  <si>
    <t>Actual number of days within the accrual period -1</t>
  </si>
  <si>
    <t>Den=365</t>
  </si>
  <si>
    <t>30/360 ISDA</t>
  </si>
  <si>
    <t>Num:</t>
  </si>
  <si>
    <t>1. If D1 = 31, Set D1 = 30</t>
  </si>
  <si>
    <t>2. If D1 = 30 after applying 1 and D2 = 31, Set D2 = 30</t>
  </si>
  <si>
    <t>3. Num = (D2 – D1) + 30 * (M2 – M1) + 360 * (Y2 – Y1)</t>
  </si>
  <si>
    <t>30E/360</t>
  </si>
  <si>
    <t>2. If D2 = 31, Set D2 = 30</t>
  </si>
  <si>
    <t>3. Last day of February not treated specially</t>
  </si>
  <si>
    <t>4. Num = (D2 – D1) + 30 * (M2 – M1) + 360 * (Y2 – Y1)</t>
  </si>
  <si>
    <t>30E+/360</t>
  </si>
  <si>
    <t xml:space="preserve">DCF = Num/Den </t>
  </si>
  <si>
    <t>2. If D2 = 31, Set D2.M2.Y2 to the 1st day of the next month - (D2 = 1, Y2 = Y2 + Integer part of (M2+1)/12, M2= M2 + 1 Mod 12)</t>
  </si>
  <si>
    <t>30/360 German</t>
  </si>
  <si>
    <t>1. If D1 (and/or D2) = 31, Set D1 (and/or D2) = 30</t>
  </si>
  <si>
    <t>2. If D1.M1.Y1 (and/or D2.M2.Y2) falls on the last day of the February set use D1 = 30 (and/or D2 = 30)</t>
  </si>
  <si>
    <t>30/360 US</t>
  </si>
  <si>
    <t>1. If D2.M2.Y2 is the last day of February (28 in a non leap year; 29 in a leap year) and</t>
  </si>
  <si>
    <t>D1.M1.Y1 is the last day of February, Set D2 = 30</t>
  </si>
  <si>
    <t>2. If D1 is the last day of February, Set D1 = 30</t>
  </si>
  <si>
    <t>3. If D2 = 31 and D1 = 30 or 31, Set D2 = 30</t>
  </si>
  <si>
    <t>4. If D1 = 31, Set D1 = 30</t>
  </si>
  <si>
    <t>Cusip</t>
  </si>
  <si>
    <t>Price</t>
  </si>
  <si>
    <t>Maturity</t>
  </si>
  <si>
    <t>daycount</t>
  </si>
  <si>
    <t>freq</t>
  </si>
  <si>
    <t>Start Dates(1st FIX, rest FLT)</t>
  </si>
  <si>
    <t>End Dates(1st FIX, rest FLT)</t>
  </si>
  <si>
    <t>FIX cpn</t>
  </si>
  <si>
    <t>flt cpn</t>
  </si>
  <si>
    <t>Ref Rate</t>
  </si>
  <si>
    <t>Spread</t>
  </si>
  <si>
    <t>Rate</t>
  </si>
  <si>
    <t>Issue date</t>
  </si>
  <si>
    <t>first coupon</t>
  </si>
  <si>
    <t>last coupon</t>
  </si>
  <si>
    <t>38141GZN7</t>
  </si>
  <si>
    <t>30/360,ACT/360</t>
  </si>
  <si>
    <t>Semi,Qrtrly</t>
  </si>
  <si>
    <t>2022-01-24,2042-02-24</t>
  </si>
  <si>
    <t>2042-02-23,2043-02-23</t>
  </si>
  <si>
    <t>SOFR O/N</t>
  </si>
  <si>
    <t>55608JBG2</t>
  </si>
  <si>
    <t>ISMA-30/360,ACT/360</t>
  </si>
  <si>
    <t>2022-08-09,2032-11-09</t>
  </si>
  <si>
    <t>2032-11-08,2033-11-08</t>
  </si>
  <si>
    <t>61747YFE0</t>
  </si>
  <si>
    <t>30/360,ACT/360,ACT/360</t>
  </si>
  <si>
    <t>Semi,Qrtrly,Qrtrly</t>
  </si>
  <si>
    <t>2023-04-21,2033-04-21,2034-01-21</t>
  </si>
  <si>
    <t>2033-04-20,2034-01-20,2034-04-20</t>
  </si>
  <si>
    <t>46647PCE4</t>
  </si>
  <si>
    <t>2021-04-22,2051-04-22</t>
  </si>
  <si>
    <t>2051-04-21,2052-04-21</t>
  </si>
  <si>
    <t>172967PA3</t>
  </si>
  <si>
    <t>2022-11-17,2032-11-17,2033-08-17</t>
  </si>
  <si>
    <t>2032-11-16,2033-08-16,2033-11-16</t>
  </si>
  <si>
    <t>06051GLS6</t>
  </si>
  <si>
    <t>2023-09-15,2028-09-15,2029-06-15</t>
  </si>
  <si>
    <t>2028-09-14,2029-06-14,2029-09-14</t>
  </si>
  <si>
    <t>Accrual period</t>
  </si>
  <si>
    <t>ISMA-30/360</t>
  </si>
  <si>
    <t>FLT1</t>
  </si>
  <si>
    <t>FLT2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</si>
</sst>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D0D0D"/>
      <name val="Segoe UI"/>
      <family val="2"/>
    </font>
    <font>
      <b/>
      <sz val="12"/>
      <color rgb="FF0066CC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113">
    <xf numFmtId="0" fontId="0" fillId="0" borderId="0" xfId="0"/>
    <xf numFmtId="9" fontId="0" fillId="0" borderId="0" xfId="0" applyNumberFormat="1"/>
    <xf numFmtId="6" fontId="0" fillId="0" borderId="0" xfId="0" applyNumberFormat="1"/>
    <xf numFmtId="8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0" borderId="2" xfId="0" applyBorder="1" applyAlignment="1">
      <alignment horizontal="center"/>
    </xf>
    <xf numFmtId="14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0" xfId="1"/>
    <xf numFmtId="0" fontId="2" fillId="2" borderId="0" xfId="1" applyAlignment="1"/>
    <xf numFmtId="0" fontId="0" fillId="0" borderId="0" xfId="0" applyAlignment="1">
      <alignment horizontal="right"/>
    </xf>
    <xf numFmtId="0" fontId="2" fillId="2" borderId="4" xfId="1" applyBorder="1" applyAlignment="1">
      <alignment horizontal="center"/>
    </xf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/>
    </xf>
    <xf numFmtId="0" fontId="5" fillId="0" borderId="2" xfId="0" applyFont="1" applyBorder="1" applyAlignment="1">
      <alignment horizontal="left" vertical="center" indent="1"/>
    </xf>
    <xf numFmtId="14" fontId="0" fillId="0" borderId="6" xfId="0" applyNumberFormat="1" applyBorder="1"/>
    <xf numFmtId="0" fontId="0" fillId="0" borderId="2" xfId="0" applyBorder="1"/>
    <xf numFmtId="9" fontId="0" fillId="0" borderId="3" xfId="0" applyNumberFormat="1" applyBorder="1"/>
    <xf numFmtId="0" fontId="0" fillId="0" borderId="6" xfId="0" applyBorder="1"/>
    <xf numFmtId="0" fontId="5" fillId="0" borderId="4" xfId="0" applyFont="1" applyBorder="1" applyAlignment="1">
      <alignment horizontal="left" vertical="center" indent="1"/>
    </xf>
    <xf numFmtId="14" fontId="0" fillId="0" borderId="7" xfId="0" applyNumberFormat="1" applyBorder="1"/>
    <xf numFmtId="0" fontId="0" fillId="0" borderId="4" xfId="0" applyBorder="1"/>
    <xf numFmtId="0" fontId="0" fillId="0" borderId="7" xfId="0" applyBorder="1"/>
    <xf numFmtId="9" fontId="0" fillId="0" borderId="7" xfId="0" applyNumberFormat="1" applyBorder="1"/>
    <xf numFmtId="0" fontId="0" fillId="0" borderId="7" xfId="0" applyBorder="1" applyAlignment="1">
      <alignment horizontal="left" wrapText="1"/>
    </xf>
    <xf numFmtId="0" fontId="2" fillId="2" borderId="8" xfId="1" applyBorder="1" applyAlignment="1">
      <alignment horizontal="left" vertical="center" indent="1"/>
    </xf>
    <xf numFmtId="10" fontId="2" fillId="2" borderId="9" xfId="1" applyNumberFormat="1" applyBorder="1"/>
    <xf numFmtId="10" fontId="0" fillId="0" borderId="10" xfId="0" applyNumberFormat="1" applyBorder="1"/>
    <xf numFmtId="0" fontId="2" fillId="2" borderId="8" xfId="1" applyBorder="1"/>
    <xf numFmtId="9" fontId="2" fillId="2" borderId="9" xfId="1" applyNumberFormat="1" applyBorder="1"/>
    <xf numFmtId="0" fontId="0" fillId="0" borderId="10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0" fontId="5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2" borderId="8" xfId="1" applyBorder="1" applyAlignment="1">
      <alignment horizontal="center"/>
    </xf>
    <xf numFmtId="9" fontId="2" fillId="2" borderId="10" xfId="1" applyNumberFormat="1" applyBorder="1" applyAlignment="1">
      <alignment horizontal="center"/>
    </xf>
    <xf numFmtId="14" fontId="0" fillId="0" borderId="11" xfId="0" applyNumberFormat="1" applyBorder="1"/>
    <xf numFmtId="14" fontId="0" fillId="0" borderId="12" xfId="0" applyNumberFormat="1" applyBorder="1"/>
    <xf numFmtId="9" fontId="0" fillId="0" borderId="12" xfId="0" applyNumberFormat="1" applyBorder="1"/>
    <xf numFmtId="0" fontId="0" fillId="0" borderId="12" xfId="0" applyBorder="1"/>
    <xf numFmtId="0" fontId="0" fillId="0" borderId="12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14" fontId="0" fillId="0" borderId="9" xfId="0" applyNumberFormat="1" applyBorder="1"/>
    <xf numFmtId="0" fontId="0" fillId="0" borderId="10" xfId="0" applyBorder="1"/>
    <xf numFmtId="0" fontId="3" fillId="3" borderId="1" xfId="2"/>
    <xf numFmtId="0" fontId="6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9" fontId="3" fillId="3" borderId="1" xfId="2" applyNumberFormat="1"/>
    <xf numFmtId="8" fontId="3" fillId="3" borderId="1" xfId="2" applyNumberFormat="1"/>
    <xf numFmtId="6" fontId="3" fillId="3" borderId="1" xfId="2" applyNumberFormat="1"/>
    <xf numFmtId="0" fontId="2" fillId="2" borderId="0" xfId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5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4" borderId="0" xfId="3" applyFont="1" applyAlignment="1">
      <alignment horizontal="center" vertical="center"/>
    </xf>
    <xf numFmtId="0" fontId="2" fillId="2" borderId="14" xfId="1" applyBorder="1"/>
    <xf numFmtId="0" fontId="2" fillId="2" borderId="15" xfId="1" applyBorder="1"/>
    <xf numFmtId="0" fontId="4" fillId="4" borderId="4" xfId="3" applyFont="1" applyBorder="1" applyAlignment="1">
      <alignment horizontal="center" vertical="center"/>
    </xf>
    <xf numFmtId="0" fontId="4" fillId="4" borderId="0" xfId="3" applyFont="1" applyBorder="1" applyAlignment="1">
      <alignment horizontal="center" vertical="center"/>
    </xf>
    <xf numFmtId="0" fontId="4" fillId="4" borderId="7" xfId="3" applyFont="1" applyBorder="1" applyAlignment="1">
      <alignment horizontal="center" vertical="center"/>
    </xf>
    <xf numFmtId="15" fontId="0" fillId="0" borderId="0" xfId="0" applyNumberFormat="1"/>
    <xf numFmtId="15" fontId="8" fillId="0" borderId="0" xfId="0" applyNumberFormat="1" applyFont="1" applyAlignment="1">
      <alignment horizontal="right" vertical="center"/>
    </xf>
    <xf numFmtId="0" fontId="0" fillId="0" borderId="0" xfId="0" applyAlignment="1">
      <alignment wrapText="1"/>
    </xf>
    <xf numFmtId="0" fontId="4" fillId="4" borderId="2" xfId="3" applyFont="1" applyBorder="1" applyAlignment="1">
      <alignment horizontal="center" vertical="center"/>
    </xf>
    <xf numFmtId="0" fontId="4" fillId="4" borderId="3" xfId="3" applyFont="1" applyBorder="1" applyAlignment="1">
      <alignment horizontal="center" vertical="center"/>
    </xf>
    <xf numFmtId="0" fontId="4" fillId="4" borderId="6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6" xfId="3" applyFont="1" applyBorder="1" applyAlignment="1">
      <alignment horizontal="center" vertical="center"/>
    </xf>
    <xf numFmtId="0" fontId="4" fillId="4" borderId="16" xfId="3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164" fontId="0" fillId="0" borderId="0" xfId="0" applyNumberFormat="1"/>
    <xf numFmtId="164" fontId="8" fillId="0" borderId="0" xfId="0" applyNumberFormat="1" applyFont="1" applyAlignment="1">
      <alignment horizontal="center" vertical="center"/>
    </xf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0" fontId="0" fillId="11" borderId="0" xfId="0" applyFill="1"/>
    <xf numFmtId="164" fontId="0" fillId="11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4">
    <cellStyle name="60% - Accent3" xfId="3" builtinId="40"/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2674-B44A-4052-BDB6-63DF23A1F258}">
  <dimension ref="A1:L198"/>
  <sheetViews>
    <sheetView workbookViewId="0">
      <selection activeCell="G23" sqref="G23"/>
    </sheetView>
  </sheetViews>
  <sheetFormatPr defaultRowHeight="14.4" x14ac:dyDescent="0.3"/>
  <cols>
    <col min="1" max="1" width="30" bestFit="1" customWidth="1"/>
    <col min="2" max="2" width="8.5546875" bestFit="1" customWidth="1"/>
    <col min="3" max="3" width="21" bestFit="1" customWidth="1"/>
    <col min="4" max="4" width="14" bestFit="1" customWidth="1"/>
    <col min="5" max="5" width="12" bestFit="1" customWidth="1"/>
    <col min="6" max="6" width="30" bestFit="1" customWidth="1"/>
    <col min="7" max="7" width="11.44140625" bestFit="1" customWidth="1"/>
    <col min="8" max="8" width="28.33203125" bestFit="1" customWidth="1"/>
    <col min="10" max="10" width="33.44140625" bestFit="1" customWidth="1"/>
    <col min="11" max="11" width="9.5546875" bestFit="1" customWidth="1"/>
    <col min="12" max="12" width="36.33203125" bestFit="1" customWidth="1"/>
  </cols>
  <sheetData>
    <row r="1" spans="1:12" x14ac:dyDescent="0.3">
      <c r="A1" s="18" t="s">
        <v>0</v>
      </c>
      <c r="B1" s="18" t="s">
        <v>1</v>
      </c>
      <c r="C1" s="18"/>
      <c r="D1" s="18"/>
      <c r="F1" t="s">
        <v>2</v>
      </c>
      <c r="G1" s="1">
        <v>0.08</v>
      </c>
      <c r="J1" t="s">
        <v>2</v>
      </c>
      <c r="K1" s="1">
        <v>0.1</v>
      </c>
      <c r="L1" s="19"/>
    </row>
    <row r="2" spans="1:12" x14ac:dyDescent="0.3">
      <c r="A2" s="18">
        <v>-950</v>
      </c>
      <c r="B2" s="18">
        <v>0</v>
      </c>
      <c r="C2" s="18" t="s">
        <v>3</v>
      </c>
      <c r="F2" t="s">
        <v>4</v>
      </c>
      <c r="G2" s="2">
        <v>1000</v>
      </c>
      <c r="J2" t="s">
        <v>4</v>
      </c>
      <c r="K2" s="2">
        <v>1000</v>
      </c>
    </row>
    <row r="3" spans="1:12" x14ac:dyDescent="0.3">
      <c r="A3" s="18">
        <v>50</v>
      </c>
      <c r="B3" s="18">
        <f>B2+1</f>
        <v>1</v>
      </c>
      <c r="C3" s="18"/>
      <c r="D3" s="18"/>
      <c r="F3" t="s">
        <v>5</v>
      </c>
      <c r="G3">
        <v>6</v>
      </c>
      <c r="J3" t="s">
        <v>5</v>
      </c>
      <c r="K3">
        <v>20</v>
      </c>
    </row>
    <row r="4" spans="1:12" x14ac:dyDescent="0.3">
      <c r="A4" s="18">
        <v>50</v>
      </c>
      <c r="B4" s="18">
        <f t="shared" ref="B4:B13" si="0">B3+1</f>
        <v>2</v>
      </c>
      <c r="C4" s="18"/>
      <c r="D4" s="18"/>
      <c r="F4" t="s">
        <v>6</v>
      </c>
      <c r="G4">
        <v>1</v>
      </c>
      <c r="J4" t="s">
        <v>6</v>
      </c>
      <c r="K4">
        <v>2</v>
      </c>
    </row>
    <row r="5" spans="1:12" x14ac:dyDescent="0.3">
      <c r="A5" s="18">
        <v>50</v>
      </c>
      <c r="B5" s="18">
        <f t="shared" si="0"/>
        <v>3</v>
      </c>
      <c r="C5" s="18"/>
      <c r="D5" s="18"/>
      <c r="F5" t="s">
        <v>7</v>
      </c>
      <c r="G5" s="3">
        <v>955.14</v>
      </c>
      <c r="J5" t="s">
        <v>7</v>
      </c>
      <c r="K5" s="3">
        <v>1197.93</v>
      </c>
    </row>
    <row r="6" spans="1:12" x14ac:dyDescent="0.3">
      <c r="A6" s="18">
        <v>50</v>
      </c>
      <c r="B6" s="18">
        <f t="shared" si="0"/>
        <v>4</v>
      </c>
      <c r="C6" s="18"/>
      <c r="D6" s="18"/>
      <c r="F6" t="s">
        <v>8</v>
      </c>
      <c r="G6" s="2">
        <f>G2*G1</f>
        <v>80</v>
      </c>
      <c r="J6" t="s">
        <v>8</v>
      </c>
      <c r="K6" s="2">
        <f>K2*K1/K4</f>
        <v>50</v>
      </c>
    </row>
    <row r="7" spans="1:12" x14ac:dyDescent="0.3">
      <c r="A7" s="18">
        <v>50</v>
      </c>
      <c r="B7" s="18">
        <f t="shared" si="0"/>
        <v>5</v>
      </c>
      <c r="C7" s="18"/>
      <c r="D7" s="18"/>
      <c r="F7" t="s">
        <v>9</v>
      </c>
      <c r="G7">
        <f>G3*G4</f>
        <v>6</v>
      </c>
      <c r="J7" t="s">
        <v>9</v>
      </c>
      <c r="K7">
        <f>K3*K4</f>
        <v>40</v>
      </c>
    </row>
    <row r="8" spans="1:12" x14ac:dyDescent="0.3">
      <c r="A8" s="18">
        <v>50</v>
      </c>
      <c r="B8" s="18">
        <f t="shared" si="0"/>
        <v>6</v>
      </c>
      <c r="C8" s="18"/>
      <c r="D8" s="18"/>
    </row>
    <row r="9" spans="1:12" x14ac:dyDescent="0.3">
      <c r="A9" s="18">
        <v>50</v>
      </c>
      <c r="B9" s="18">
        <f t="shared" si="0"/>
        <v>7</v>
      </c>
      <c r="C9" s="18"/>
      <c r="D9" s="18"/>
      <c r="F9" t="s">
        <v>10</v>
      </c>
      <c r="G9" s="1">
        <f>RATE(G7,G6,-G5,G2)</f>
        <v>9.000018705566061E-2</v>
      </c>
      <c r="H9" t="s">
        <v>11</v>
      </c>
      <c r="J9" t="s">
        <v>10</v>
      </c>
      <c r="K9" s="1">
        <f>RATE(K7,K6,-K5,K2)</f>
        <v>3.9999900556610894E-2</v>
      </c>
      <c r="L9" t="s">
        <v>12</v>
      </c>
    </row>
    <row r="10" spans="1:12" x14ac:dyDescent="0.3">
      <c r="A10" s="18">
        <v>50</v>
      </c>
      <c r="B10" s="18">
        <f t="shared" si="0"/>
        <v>8</v>
      </c>
      <c r="C10" s="18"/>
      <c r="D10" s="18"/>
      <c r="J10" t="s">
        <v>13</v>
      </c>
      <c r="K10" s="1">
        <f>K9*K4</f>
        <v>7.9999801113221788E-2</v>
      </c>
      <c r="L10" t="s">
        <v>14</v>
      </c>
    </row>
    <row r="11" spans="1:12" x14ac:dyDescent="0.3">
      <c r="A11" s="18">
        <v>50</v>
      </c>
      <c r="B11" s="18">
        <f t="shared" si="0"/>
        <v>9</v>
      </c>
      <c r="C11" s="18"/>
      <c r="D11" s="18"/>
    </row>
    <row r="12" spans="1:12" x14ac:dyDescent="0.3">
      <c r="A12" s="18">
        <v>50</v>
      </c>
      <c r="B12" s="18">
        <f t="shared" si="0"/>
        <v>10</v>
      </c>
      <c r="C12" s="18"/>
      <c r="D12" s="18"/>
    </row>
    <row r="13" spans="1:12" x14ac:dyDescent="0.3">
      <c r="A13" s="18">
        <v>50</v>
      </c>
      <c r="B13" s="18">
        <f t="shared" si="0"/>
        <v>11</v>
      </c>
      <c r="C13" s="18"/>
      <c r="D13" s="18"/>
    </row>
    <row r="14" spans="1:12" x14ac:dyDescent="0.3">
      <c r="A14" s="18">
        <v>1050</v>
      </c>
      <c r="B14" s="18">
        <f>B13+1</f>
        <v>12</v>
      </c>
      <c r="C14" s="18" t="s">
        <v>15</v>
      </c>
    </row>
    <row r="15" spans="1:12" x14ac:dyDescent="0.3">
      <c r="A15" s="18" t="s">
        <v>16</v>
      </c>
      <c r="B15" s="20">
        <f>IRR(A2:A14)</f>
        <v>5.5828209019299857E-2</v>
      </c>
      <c r="C15" s="20"/>
      <c r="D15" s="18"/>
    </row>
    <row r="16" spans="1:12" x14ac:dyDescent="0.3">
      <c r="A16" s="18"/>
      <c r="B16" s="20"/>
      <c r="C16" s="20"/>
      <c r="D16" s="18"/>
    </row>
    <row r="17" spans="1:9" ht="15" thickBot="1" x14ac:dyDescent="0.35"/>
    <row r="18" spans="1:9" ht="15" x14ac:dyDescent="0.3">
      <c r="A18" s="21" t="s">
        <v>17</v>
      </c>
      <c r="B18" s="7">
        <v>45292</v>
      </c>
      <c r="C18" s="22"/>
      <c r="F18" s="23" t="s">
        <v>2</v>
      </c>
      <c r="G18" s="24">
        <f>B20</f>
        <v>0.05</v>
      </c>
      <c r="H18" s="25"/>
    </row>
    <row r="19" spans="1:9" ht="15" x14ac:dyDescent="0.3">
      <c r="A19" s="26" t="s">
        <v>18</v>
      </c>
      <c r="B19" s="4">
        <v>48945</v>
      </c>
      <c r="C19" s="27"/>
      <c r="F19" s="28" t="s">
        <v>19</v>
      </c>
      <c r="G19">
        <f>B22</f>
        <v>1000</v>
      </c>
      <c r="H19" s="29"/>
    </row>
    <row r="20" spans="1:9" ht="15" x14ac:dyDescent="0.3">
      <c r="A20" s="26" t="s">
        <v>20</v>
      </c>
      <c r="B20" s="1">
        <v>0.05</v>
      </c>
      <c r="C20" s="30"/>
      <c r="D20" s="1"/>
      <c r="F20" s="28" t="s">
        <v>5</v>
      </c>
      <c r="G20">
        <f>DATEDIF(B18,B19,"y")</f>
        <v>10</v>
      </c>
      <c r="H20" s="29"/>
    </row>
    <row r="21" spans="1:9" ht="15" x14ac:dyDescent="0.3">
      <c r="A21" s="26" t="s">
        <v>21</v>
      </c>
      <c r="B21">
        <v>950</v>
      </c>
      <c r="C21" s="29"/>
      <c r="D21" s="1"/>
      <c r="F21" s="28" t="s">
        <v>6</v>
      </c>
      <c r="G21">
        <f>B25</f>
        <v>2</v>
      </c>
      <c r="H21" s="29"/>
    </row>
    <row r="22" spans="1:9" ht="28.8" x14ac:dyDescent="0.3">
      <c r="A22" s="26" t="s">
        <v>22</v>
      </c>
      <c r="B22">
        <v>1000</v>
      </c>
      <c r="C22" s="29"/>
      <c r="D22" s="1"/>
      <c r="F22" s="28" t="s">
        <v>7</v>
      </c>
      <c r="G22">
        <f>B21</f>
        <v>950</v>
      </c>
      <c r="H22" s="31" t="s">
        <v>23</v>
      </c>
    </row>
    <row r="23" spans="1:9" ht="15" x14ac:dyDescent="0.3">
      <c r="A23" s="26" t="s">
        <v>24</v>
      </c>
      <c r="B23">
        <v>95</v>
      </c>
      <c r="C23" s="29" t="s">
        <v>25</v>
      </c>
      <c r="F23" s="28" t="s">
        <v>8</v>
      </c>
      <c r="G23">
        <f>G18*G19</f>
        <v>50</v>
      </c>
      <c r="H23" s="29"/>
    </row>
    <row r="24" spans="1:9" ht="15" x14ac:dyDescent="0.3">
      <c r="A24" s="26" t="s">
        <v>22</v>
      </c>
      <c r="B24">
        <v>100</v>
      </c>
      <c r="C24" s="29" t="s">
        <v>26</v>
      </c>
      <c r="F24" s="28" t="s">
        <v>9</v>
      </c>
      <c r="G24">
        <f>G21*G20</f>
        <v>20</v>
      </c>
      <c r="H24" s="29"/>
    </row>
    <row r="25" spans="1:9" ht="15" x14ac:dyDescent="0.3">
      <c r="A25" s="26" t="s">
        <v>27</v>
      </c>
      <c r="B25">
        <v>2</v>
      </c>
      <c r="C25" s="29"/>
      <c r="F25" s="28"/>
      <c r="H25" s="29"/>
    </row>
    <row r="26" spans="1:9" ht="15" thickBot="1" x14ac:dyDescent="0.35">
      <c r="A26" s="32" t="s">
        <v>28</v>
      </c>
      <c r="B26" s="33">
        <f>YIELD(B18,B19,B20,B23,B24,2)*B25</f>
        <v>0.11323378153950153</v>
      </c>
      <c r="C26" s="34"/>
      <c r="F26" s="35" t="s">
        <v>10</v>
      </c>
      <c r="G26" s="36">
        <f>RATE(G24,G23,-G22,G19)*G21</f>
        <v>0.10830934339578932</v>
      </c>
      <c r="H26" s="37"/>
    </row>
    <row r="27" spans="1:9" ht="15.6" thickBot="1" x14ac:dyDescent="0.35">
      <c r="A27" s="38"/>
      <c r="B27" s="5"/>
      <c r="C27" s="5"/>
    </row>
    <row r="28" spans="1:9" ht="15" x14ac:dyDescent="0.3">
      <c r="A28" s="21" t="s">
        <v>29</v>
      </c>
      <c r="B28" s="25">
        <f>B25*DATEDIF(B18,B19,"y")</f>
        <v>20</v>
      </c>
    </row>
    <row r="29" spans="1:9" ht="15" customHeight="1" x14ac:dyDescent="0.3">
      <c r="A29" s="39" t="s">
        <v>0</v>
      </c>
      <c r="B29" s="40" t="s">
        <v>1</v>
      </c>
      <c r="C29" s="18"/>
      <c r="D29" s="105" t="s">
        <v>30</v>
      </c>
      <c r="E29" s="105"/>
      <c r="F29" s="105"/>
      <c r="G29" s="105"/>
      <c r="H29" s="105"/>
      <c r="I29" s="105"/>
    </row>
    <row r="30" spans="1:9" x14ac:dyDescent="0.3">
      <c r="A30" s="8">
        <v>-950</v>
      </c>
      <c r="B30" s="40">
        <v>0</v>
      </c>
      <c r="C30" s="18"/>
      <c r="D30" s="105"/>
      <c r="E30" s="105"/>
      <c r="F30" s="105"/>
      <c r="G30" s="105"/>
      <c r="H30" s="105"/>
      <c r="I30" s="105"/>
    </row>
    <row r="31" spans="1:9" x14ac:dyDescent="0.3">
      <c r="A31" s="8">
        <f>B20*G19</f>
        <v>50</v>
      </c>
      <c r="B31" s="40">
        <f>B30+1</f>
        <v>1</v>
      </c>
      <c r="C31" s="18"/>
    </row>
    <row r="32" spans="1:9" x14ac:dyDescent="0.3">
      <c r="A32" s="8">
        <v>50</v>
      </c>
      <c r="B32" s="40">
        <f t="shared" ref="B32:B50" si="1">B31+1</f>
        <v>2</v>
      </c>
      <c r="C32" s="18"/>
      <c r="D32" s="106" t="s">
        <v>31</v>
      </c>
      <c r="E32" s="106"/>
      <c r="F32" s="106"/>
      <c r="G32" s="106"/>
      <c r="H32" s="106"/>
      <c r="I32" s="106"/>
    </row>
    <row r="33" spans="1:9" x14ac:dyDescent="0.3">
      <c r="A33" s="8">
        <v>50</v>
      </c>
      <c r="B33" s="40">
        <f t="shared" si="1"/>
        <v>3</v>
      </c>
      <c r="C33" s="18"/>
      <c r="D33" s="106"/>
      <c r="E33" s="106"/>
      <c r="F33" s="106"/>
      <c r="G33" s="106"/>
      <c r="H33" s="106"/>
      <c r="I33" s="106"/>
    </row>
    <row r="34" spans="1:9" x14ac:dyDescent="0.3">
      <c r="A34" s="8">
        <v>50</v>
      </c>
      <c r="B34" s="40">
        <f t="shared" si="1"/>
        <v>4</v>
      </c>
      <c r="C34" s="18"/>
    </row>
    <row r="35" spans="1:9" x14ac:dyDescent="0.3">
      <c r="A35" s="8">
        <v>50</v>
      </c>
      <c r="B35" s="40">
        <f t="shared" si="1"/>
        <v>5</v>
      </c>
      <c r="C35" s="18"/>
    </row>
    <row r="36" spans="1:9" x14ac:dyDescent="0.3">
      <c r="A36" s="8">
        <v>50</v>
      </c>
      <c r="B36" s="40">
        <f t="shared" si="1"/>
        <v>6</v>
      </c>
      <c r="C36" s="18"/>
    </row>
    <row r="37" spans="1:9" x14ac:dyDescent="0.3">
      <c r="A37" s="8">
        <v>50</v>
      </c>
      <c r="B37" s="40">
        <f t="shared" si="1"/>
        <v>7</v>
      </c>
      <c r="C37" s="18"/>
    </row>
    <row r="38" spans="1:9" x14ac:dyDescent="0.3">
      <c r="A38" s="8">
        <v>50</v>
      </c>
      <c r="B38" s="40">
        <f t="shared" si="1"/>
        <v>8</v>
      </c>
      <c r="C38" s="18"/>
    </row>
    <row r="39" spans="1:9" x14ac:dyDescent="0.3">
      <c r="A39" s="8">
        <v>50</v>
      </c>
      <c r="B39" s="40">
        <f t="shared" si="1"/>
        <v>9</v>
      </c>
      <c r="C39" s="18"/>
    </row>
    <row r="40" spans="1:9" x14ac:dyDescent="0.3">
      <c r="A40" s="8">
        <v>50</v>
      </c>
      <c r="B40" s="40">
        <f t="shared" si="1"/>
        <v>10</v>
      </c>
      <c r="C40" s="18"/>
    </row>
    <row r="41" spans="1:9" x14ac:dyDescent="0.3">
      <c r="A41" s="8">
        <v>50</v>
      </c>
      <c r="B41" s="40">
        <f t="shared" si="1"/>
        <v>11</v>
      </c>
      <c r="C41" s="18"/>
    </row>
    <row r="42" spans="1:9" x14ac:dyDescent="0.3">
      <c r="A42" s="8">
        <v>50</v>
      </c>
      <c r="B42" s="40">
        <f t="shared" si="1"/>
        <v>12</v>
      </c>
      <c r="C42" s="18"/>
    </row>
    <row r="43" spans="1:9" x14ac:dyDescent="0.3">
      <c r="A43" s="8">
        <v>50</v>
      </c>
      <c r="B43" s="40">
        <f t="shared" si="1"/>
        <v>13</v>
      </c>
      <c r="C43" s="18"/>
    </row>
    <row r="44" spans="1:9" x14ac:dyDescent="0.3">
      <c r="A44" s="8">
        <v>50</v>
      </c>
      <c r="B44" s="40">
        <f t="shared" si="1"/>
        <v>14</v>
      </c>
      <c r="C44" s="18"/>
    </row>
    <row r="45" spans="1:9" x14ac:dyDescent="0.3">
      <c r="A45" s="8">
        <v>50</v>
      </c>
      <c r="B45" s="40">
        <f t="shared" si="1"/>
        <v>15</v>
      </c>
      <c r="C45" s="18"/>
    </row>
    <row r="46" spans="1:9" x14ac:dyDescent="0.3">
      <c r="A46" s="8">
        <v>50</v>
      </c>
      <c r="B46" s="40">
        <f t="shared" si="1"/>
        <v>16</v>
      </c>
      <c r="C46" s="18"/>
    </row>
    <row r="47" spans="1:9" x14ac:dyDescent="0.3">
      <c r="A47" s="8">
        <v>50</v>
      </c>
      <c r="B47" s="40">
        <f t="shared" si="1"/>
        <v>17</v>
      </c>
      <c r="C47" s="18"/>
    </row>
    <row r="48" spans="1:9" x14ac:dyDescent="0.3">
      <c r="A48" s="8">
        <v>50</v>
      </c>
      <c r="B48" s="40">
        <f t="shared" si="1"/>
        <v>18</v>
      </c>
      <c r="C48" s="18"/>
    </row>
    <row r="49" spans="1:8" x14ac:dyDescent="0.3">
      <c r="A49" s="8">
        <v>50</v>
      </c>
      <c r="B49" s="40">
        <f t="shared" si="1"/>
        <v>19</v>
      </c>
      <c r="C49" s="18"/>
    </row>
    <row r="50" spans="1:8" x14ac:dyDescent="0.3">
      <c r="A50" s="8">
        <f>50+B24*10</f>
        <v>1050</v>
      </c>
      <c r="B50" s="40">
        <f t="shared" si="1"/>
        <v>20</v>
      </c>
      <c r="C50" s="18"/>
    </row>
    <row r="51" spans="1:8" ht="15" thickBot="1" x14ac:dyDescent="0.35">
      <c r="A51" s="41" t="s">
        <v>16</v>
      </c>
      <c r="B51" s="42">
        <f>IRR(A30:A50)*B25</f>
        <v>0.10830934339578446</v>
      </c>
      <c r="C51" s="20"/>
    </row>
    <row r="52" spans="1:8" x14ac:dyDescent="0.3">
      <c r="A52" s="18"/>
      <c r="B52" s="18"/>
      <c r="C52" s="18"/>
    </row>
    <row r="53" spans="1:8" ht="15" thickBot="1" x14ac:dyDescent="0.35">
      <c r="A53" s="18"/>
    </row>
    <row r="54" spans="1:8" x14ac:dyDescent="0.3">
      <c r="A54" s="6" t="s">
        <v>32</v>
      </c>
      <c r="B54" s="7">
        <f>B18</f>
        <v>45292</v>
      </c>
      <c r="C54" s="43"/>
      <c r="D54" s="10" t="s">
        <v>32</v>
      </c>
      <c r="E54" s="10" t="s">
        <v>33</v>
      </c>
      <c r="F54" s="11" t="s">
        <v>34</v>
      </c>
      <c r="G54" s="11" t="s">
        <v>35</v>
      </c>
      <c r="H54" s="12" t="s">
        <v>36</v>
      </c>
    </row>
    <row r="55" spans="1:8" x14ac:dyDescent="0.3">
      <c r="A55" s="8" t="s">
        <v>37</v>
      </c>
      <c r="B55" s="4">
        <f>B19</f>
        <v>48945</v>
      </c>
      <c r="C55" s="44"/>
      <c r="D55" s="4">
        <v>45292</v>
      </c>
      <c r="E55" s="4">
        <f>B59</f>
        <v>45474</v>
      </c>
      <c r="F55">
        <v>50</v>
      </c>
      <c r="G55">
        <f>(DATEDIF(D55,E55,"md")+DATEDIF(D55,E55,"ym")*30+DATEDIF(D55,E55,"y")*360)/360</f>
        <v>0.5</v>
      </c>
      <c r="H55" s="29">
        <v>2</v>
      </c>
    </row>
    <row r="56" spans="1:8" x14ac:dyDescent="0.3">
      <c r="A56" s="8" t="s">
        <v>38</v>
      </c>
      <c r="B56" s="1">
        <f>B20</f>
        <v>0.05</v>
      </c>
      <c r="C56" s="45"/>
      <c r="D56" s="4">
        <v>45292</v>
      </c>
      <c r="E56" s="4">
        <f>EDATE(E55,6)</f>
        <v>45658</v>
      </c>
      <c r="F56">
        <v>50</v>
      </c>
      <c r="G56">
        <f t="shared" ref="G56:G74" si="2">(DATEDIF(D56,E56,"md")+DATEDIF(D56,E56,"ym")*30+DATEDIF(D56,E56,"y")*360)/360</f>
        <v>1</v>
      </c>
      <c r="H56" s="29">
        <v>2</v>
      </c>
    </row>
    <row r="57" spans="1:8" x14ac:dyDescent="0.3">
      <c r="A57" s="8" t="s">
        <v>39</v>
      </c>
      <c r="B57">
        <f>B25</f>
        <v>2</v>
      </c>
      <c r="C57" s="46"/>
      <c r="D57" s="4">
        <v>45292</v>
      </c>
      <c r="E57" s="4">
        <f t="shared" ref="E57:E74" si="3">EDATE(E56,6)</f>
        <v>45839</v>
      </c>
      <c r="F57">
        <v>50</v>
      </c>
      <c r="G57">
        <f t="shared" si="2"/>
        <v>1.5</v>
      </c>
      <c r="H57" s="29">
        <v>2</v>
      </c>
    </row>
    <row r="58" spans="1:8" x14ac:dyDescent="0.3">
      <c r="A58" s="8" t="s">
        <v>40</v>
      </c>
      <c r="B58">
        <f>B21</f>
        <v>950</v>
      </c>
      <c r="C58" s="46"/>
      <c r="D58" s="4">
        <v>45292</v>
      </c>
      <c r="E58" s="4">
        <f t="shared" si="3"/>
        <v>46023</v>
      </c>
      <c r="F58">
        <v>50</v>
      </c>
      <c r="G58">
        <f t="shared" si="2"/>
        <v>2</v>
      </c>
      <c r="H58" s="29">
        <v>2</v>
      </c>
    </row>
    <row r="59" spans="1:8" x14ac:dyDescent="0.3">
      <c r="A59" s="8" t="s">
        <v>41</v>
      </c>
      <c r="B59" s="4">
        <f>DATE(2024,7,1)</f>
        <v>45474</v>
      </c>
      <c r="C59" s="44"/>
      <c r="D59" s="4">
        <v>45292</v>
      </c>
      <c r="E59" s="4">
        <f t="shared" si="3"/>
        <v>46204</v>
      </c>
      <c r="F59">
        <v>50</v>
      </c>
      <c r="G59">
        <f t="shared" si="2"/>
        <v>2.5</v>
      </c>
      <c r="H59" s="29">
        <v>2</v>
      </c>
    </row>
    <row r="60" spans="1:8" x14ac:dyDescent="0.3">
      <c r="A60" s="8" t="s">
        <v>42</v>
      </c>
      <c r="B60" s="4">
        <f>B55</f>
        <v>48945</v>
      </c>
      <c r="C60" s="44"/>
      <c r="D60" s="4">
        <v>45292</v>
      </c>
      <c r="E60" s="4">
        <f t="shared" si="3"/>
        <v>46388</v>
      </c>
      <c r="F60">
        <v>50</v>
      </c>
      <c r="G60">
        <f t="shared" si="2"/>
        <v>3</v>
      </c>
      <c r="H60" s="29">
        <v>2</v>
      </c>
    </row>
    <row r="61" spans="1:8" x14ac:dyDescent="0.3">
      <c r="A61" s="8" t="s">
        <v>43</v>
      </c>
      <c r="B61" s="15" t="s">
        <v>44</v>
      </c>
      <c r="C61" s="47"/>
      <c r="D61" s="4">
        <v>45292</v>
      </c>
      <c r="E61" s="4">
        <f t="shared" si="3"/>
        <v>46569</v>
      </c>
      <c r="F61">
        <v>50</v>
      </c>
      <c r="G61">
        <f t="shared" si="2"/>
        <v>3.5</v>
      </c>
      <c r="H61" s="29">
        <v>2</v>
      </c>
    </row>
    <row r="62" spans="1:8" x14ac:dyDescent="0.3">
      <c r="A62" s="8" t="s">
        <v>45</v>
      </c>
      <c r="B62">
        <f>B56*B64</f>
        <v>50</v>
      </c>
      <c r="C62" s="46"/>
      <c r="D62" s="4">
        <v>45292</v>
      </c>
      <c r="E62" s="4">
        <f t="shared" si="3"/>
        <v>46753</v>
      </c>
      <c r="F62">
        <v>50</v>
      </c>
      <c r="G62">
        <f t="shared" si="2"/>
        <v>4</v>
      </c>
      <c r="H62" s="29">
        <v>2</v>
      </c>
    </row>
    <row r="63" spans="1:8" x14ac:dyDescent="0.3">
      <c r="A63" s="8" t="s">
        <v>46</v>
      </c>
      <c r="B63">
        <f>((1-1)+(1-1)*30+(2034-2024)*360)/360</f>
        <v>10</v>
      </c>
      <c r="C63" s="46"/>
      <c r="D63" s="4">
        <v>45292</v>
      </c>
      <c r="E63" s="4">
        <f t="shared" si="3"/>
        <v>46935</v>
      </c>
      <c r="F63">
        <v>50</v>
      </c>
      <c r="G63">
        <f t="shared" si="2"/>
        <v>4.5</v>
      </c>
      <c r="H63" s="29">
        <v>2</v>
      </c>
    </row>
    <row r="64" spans="1:8" x14ac:dyDescent="0.3">
      <c r="A64" s="8" t="s">
        <v>19</v>
      </c>
      <c r="B64">
        <f>B22</f>
        <v>1000</v>
      </c>
      <c r="C64" s="46"/>
      <c r="D64" s="4">
        <v>45292</v>
      </c>
      <c r="E64" s="4">
        <f t="shared" si="3"/>
        <v>47119</v>
      </c>
      <c r="F64">
        <v>50</v>
      </c>
      <c r="G64">
        <f t="shared" si="2"/>
        <v>5</v>
      </c>
      <c r="H64" s="29">
        <v>2</v>
      </c>
    </row>
    <row r="65" spans="1:8" x14ac:dyDescent="0.3">
      <c r="A65" s="28"/>
      <c r="C65" s="46"/>
      <c r="D65" s="4">
        <v>45292</v>
      </c>
      <c r="E65" s="4">
        <f t="shared" si="3"/>
        <v>47300</v>
      </c>
      <c r="F65">
        <v>50</v>
      </c>
      <c r="G65">
        <f t="shared" si="2"/>
        <v>5.5</v>
      </c>
      <c r="H65" s="29">
        <v>2</v>
      </c>
    </row>
    <row r="66" spans="1:8" x14ac:dyDescent="0.3">
      <c r="A66" s="28"/>
      <c r="C66" s="46"/>
      <c r="D66" s="4">
        <v>45292</v>
      </c>
      <c r="E66" s="4">
        <f t="shared" si="3"/>
        <v>47484</v>
      </c>
      <c r="F66">
        <v>50</v>
      </c>
      <c r="G66">
        <f t="shared" si="2"/>
        <v>6</v>
      </c>
      <c r="H66" s="29">
        <v>2</v>
      </c>
    </row>
    <row r="67" spans="1:8" x14ac:dyDescent="0.3">
      <c r="A67" s="28"/>
      <c r="C67" s="46"/>
      <c r="D67" s="4">
        <v>45292</v>
      </c>
      <c r="E67" s="4">
        <f t="shared" si="3"/>
        <v>47665</v>
      </c>
      <c r="F67">
        <v>50</v>
      </c>
      <c r="G67">
        <f t="shared" si="2"/>
        <v>6.5</v>
      </c>
      <c r="H67" s="29">
        <v>2</v>
      </c>
    </row>
    <row r="68" spans="1:8" x14ac:dyDescent="0.3">
      <c r="A68" s="28"/>
      <c r="C68" s="46"/>
      <c r="D68" s="4">
        <v>45292</v>
      </c>
      <c r="E68" s="4">
        <f t="shared" si="3"/>
        <v>47849</v>
      </c>
      <c r="F68">
        <v>50</v>
      </c>
      <c r="G68">
        <f t="shared" si="2"/>
        <v>7</v>
      </c>
      <c r="H68" s="29">
        <v>2</v>
      </c>
    </row>
    <row r="69" spans="1:8" x14ac:dyDescent="0.3">
      <c r="A69" s="28"/>
      <c r="C69" s="46"/>
      <c r="D69" s="4">
        <v>45292</v>
      </c>
      <c r="E69" s="4">
        <f t="shared" si="3"/>
        <v>48030</v>
      </c>
      <c r="F69">
        <v>50</v>
      </c>
      <c r="G69">
        <f t="shared" si="2"/>
        <v>7.5</v>
      </c>
      <c r="H69" s="29">
        <v>2</v>
      </c>
    </row>
    <row r="70" spans="1:8" x14ac:dyDescent="0.3">
      <c r="A70" s="28"/>
      <c r="C70" s="46"/>
      <c r="D70" s="4">
        <v>45292</v>
      </c>
      <c r="E70" s="4">
        <f t="shared" si="3"/>
        <v>48214</v>
      </c>
      <c r="F70">
        <v>50</v>
      </c>
      <c r="G70">
        <f t="shared" si="2"/>
        <v>8</v>
      </c>
      <c r="H70" s="29">
        <v>2</v>
      </c>
    </row>
    <row r="71" spans="1:8" x14ac:dyDescent="0.3">
      <c r="A71" s="28"/>
      <c r="C71" s="46"/>
      <c r="D71" s="4">
        <v>45292</v>
      </c>
      <c r="E71" s="4">
        <f t="shared" si="3"/>
        <v>48396</v>
      </c>
      <c r="F71">
        <v>50</v>
      </c>
      <c r="G71">
        <f t="shared" si="2"/>
        <v>8.5</v>
      </c>
      <c r="H71" s="29">
        <v>2</v>
      </c>
    </row>
    <row r="72" spans="1:8" x14ac:dyDescent="0.3">
      <c r="A72" s="28"/>
      <c r="C72" s="46"/>
      <c r="D72" s="4">
        <v>45292</v>
      </c>
      <c r="E72" s="4">
        <f t="shared" si="3"/>
        <v>48580</v>
      </c>
      <c r="F72">
        <v>50</v>
      </c>
      <c r="G72">
        <f t="shared" si="2"/>
        <v>9</v>
      </c>
      <c r="H72" s="29">
        <v>2</v>
      </c>
    </row>
    <row r="73" spans="1:8" x14ac:dyDescent="0.3">
      <c r="A73" s="28"/>
      <c r="C73" s="46"/>
      <c r="D73" s="4">
        <v>45292</v>
      </c>
      <c r="E73" s="4">
        <f t="shared" si="3"/>
        <v>48761</v>
      </c>
      <c r="F73">
        <v>50</v>
      </c>
      <c r="G73">
        <f t="shared" si="2"/>
        <v>9.5</v>
      </c>
      <c r="H73" s="29">
        <v>2</v>
      </c>
    </row>
    <row r="74" spans="1:8" ht="15" thickBot="1" x14ac:dyDescent="0.35">
      <c r="A74" s="48"/>
      <c r="B74" s="49"/>
      <c r="C74" s="50"/>
      <c r="D74" s="51">
        <v>45292</v>
      </c>
      <c r="E74" s="51">
        <f t="shared" si="3"/>
        <v>48945</v>
      </c>
      <c r="F74" s="49">
        <f>50+B64</f>
        <v>1050</v>
      </c>
      <c r="G74" s="49">
        <f t="shared" si="2"/>
        <v>10</v>
      </c>
      <c r="H74" s="52">
        <v>2</v>
      </c>
    </row>
    <row r="76" spans="1:8" x14ac:dyDescent="0.3">
      <c r="A76" s="53" t="s">
        <v>47</v>
      </c>
      <c r="B76" s="53" t="s">
        <v>48</v>
      </c>
      <c r="C76" s="53" t="s">
        <v>49</v>
      </c>
      <c r="D76" s="53" t="s">
        <v>50</v>
      </c>
      <c r="E76" s="13"/>
      <c r="F76" s="13"/>
      <c r="G76" s="13"/>
      <c r="H76" s="13"/>
    </row>
    <row r="77" spans="1:8" x14ac:dyDescent="0.3">
      <c r="A77" s="53">
        <v>0</v>
      </c>
      <c r="B77" s="53">
        <f>1/(1+A77/(100*H55))</f>
        <v>1</v>
      </c>
      <c r="C77" s="53">
        <f>F55*POWER(B77,G55*H55)</f>
        <v>50</v>
      </c>
      <c r="D77" s="53">
        <f>-1*0.01*B77*C77*G55</f>
        <v>-0.25</v>
      </c>
      <c r="E77" s="13"/>
      <c r="F77" s="13" t="s">
        <v>51</v>
      </c>
      <c r="G77" s="13">
        <f>B197</f>
        <v>10.830924779187633</v>
      </c>
      <c r="H77" s="13"/>
    </row>
    <row r="78" spans="1:8" x14ac:dyDescent="0.3">
      <c r="A78" s="53">
        <v>0</v>
      </c>
      <c r="B78" s="53">
        <f t="shared" ref="B78:B95" si="4">1/(1+A78/(100*H56))</f>
        <v>1</v>
      </c>
      <c r="C78" s="53">
        <f t="shared" ref="C78:C96" si="5">F56*POWER(B78,G56*H56)</f>
        <v>50</v>
      </c>
      <c r="D78" s="53">
        <f t="shared" ref="D78:D96" si="6">-1*0.01*B78*C78*G56</f>
        <v>-0.5</v>
      </c>
      <c r="E78" s="13"/>
      <c r="F78" s="13"/>
      <c r="G78" s="13"/>
      <c r="H78" s="13"/>
    </row>
    <row r="79" spans="1:8" x14ac:dyDescent="0.3">
      <c r="A79" s="53">
        <v>0</v>
      </c>
      <c r="B79" s="53">
        <f t="shared" si="4"/>
        <v>1</v>
      </c>
      <c r="C79" s="53">
        <f t="shared" si="5"/>
        <v>50</v>
      </c>
      <c r="D79" s="53">
        <f t="shared" si="6"/>
        <v>-0.75</v>
      </c>
    </row>
    <row r="80" spans="1:8" x14ac:dyDescent="0.3">
      <c r="A80" s="53">
        <v>0</v>
      </c>
      <c r="B80" s="53">
        <f t="shared" si="4"/>
        <v>1</v>
      </c>
      <c r="C80" s="53">
        <f t="shared" si="5"/>
        <v>50</v>
      </c>
      <c r="D80" s="53">
        <f t="shared" si="6"/>
        <v>-1</v>
      </c>
    </row>
    <row r="81" spans="1:4" x14ac:dyDescent="0.3">
      <c r="A81" s="53">
        <v>0</v>
      </c>
      <c r="B81" s="53">
        <f t="shared" si="4"/>
        <v>1</v>
      </c>
      <c r="C81" s="53">
        <f t="shared" si="5"/>
        <v>50</v>
      </c>
      <c r="D81" s="53">
        <f t="shared" si="6"/>
        <v>-1.25</v>
      </c>
    </row>
    <row r="82" spans="1:4" x14ac:dyDescent="0.3">
      <c r="A82" s="53">
        <v>0</v>
      </c>
      <c r="B82" s="53">
        <f t="shared" si="4"/>
        <v>1</v>
      </c>
      <c r="C82" s="53">
        <f t="shared" si="5"/>
        <v>50</v>
      </c>
      <c r="D82" s="53">
        <f t="shared" si="6"/>
        <v>-1.5</v>
      </c>
    </row>
    <row r="83" spans="1:4" x14ac:dyDescent="0.3">
      <c r="A83" s="53">
        <v>0</v>
      </c>
      <c r="B83" s="53">
        <f t="shared" si="4"/>
        <v>1</v>
      </c>
      <c r="C83" s="53">
        <f t="shared" si="5"/>
        <v>50</v>
      </c>
      <c r="D83" s="53">
        <f t="shared" si="6"/>
        <v>-1.75</v>
      </c>
    </row>
    <row r="84" spans="1:4" x14ac:dyDescent="0.3">
      <c r="A84" s="53">
        <v>0</v>
      </c>
      <c r="B84" s="53">
        <f t="shared" si="4"/>
        <v>1</v>
      </c>
      <c r="C84" s="53">
        <f t="shared" si="5"/>
        <v>50</v>
      </c>
      <c r="D84" s="53">
        <f t="shared" si="6"/>
        <v>-2</v>
      </c>
    </row>
    <row r="85" spans="1:4" x14ac:dyDescent="0.3">
      <c r="A85" s="53">
        <v>0</v>
      </c>
      <c r="B85" s="53">
        <f t="shared" si="4"/>
        <v>1</v>
      </c>
      <c r="C85" s="53">
        <f t="shared" si="5"/>
        <v>50</v>
      </c>
      <c r="D85" s="53">
        <f t="shared" si="6"/>
        <v>-2.25</v>
      </c>
    </row>
    <row r="86" spans="1:4" x14ac:dyDescent="0.3">
      <c r="A86" s="53">
        <v>0</v>
      </c>
      <c r="B86" s="53">
        <f t="shared" si="4"/>
        <v>1</v>
      </c>
      <c r="C86" s="53">
        <f t="shared" si="5"/>
        <v>50</v>
      </c>
      <c r="D86" s="53">
        <f t="shared" si="6"/>
        <v>-2.5</v>
      </c>
    </row>
    <row r="87" spans="1:4" x14ac:dyDescent="0.3">
      <c r="A87" s="53">
        <v>0</v>
      </c>
      <c r="B87" s="53">
        <f t="shared" si="4"/>
        <v>1</v>
      </c>
      <c r="C87" s="53">
        <f t="shared" si="5"/>
        <v>50</v>
      </c>
      <c r="D87" s="53">
        <f t="shared" si="6"/>
        <v>-2.75</v>
      </c>
    </row>
    <row r="88" spans="1:4" x14ac:dyDescent="0.3">
      <c r="A88" s="53">
        <v>0</v>
      </c>
      <c r="B88" s="53">
        <f t="shared" si="4"/>
        <v>1</v>
      </c>
      <c r="C88" s="53">
        <f t="shared" si="5"/>
        <v>50</v>
      </c>
      <c r="D88" s="53">
        <f t="shared" si="6"/>
        <v>-3</v>
      </c>
    </row>
    <row r="89" spans="1:4" x14ac:dyDescent="0.3">
      <c r="A89" s="53">
        <v>0</v>
      </c>
      <c r="B89" s="53">
        <f t="shared" si="4"/>
        <v>1</v>
      </c>
      <c r="C89" s="53">
        <f t="shared" si="5"/>
        <v>50</v>
      </c>
      <c r="D89" s="53">
        <f t="shared" si="6"/>
        <v>-3.25</v>
      </c>
    </row>
    <row r="90" spans="1:4" x14ac:dyDescent="0.3">
      <c r="A90" s="53">
        <v>0</v>
      </c>
      <c r="B90" s="53">
        <f t="shared" si="4"/>
        <v>1</v>
      </c>
      <c r="C90" s="53">
        <f t="shared" si="5"/>
        <v>50</v>
      </c>
      <c r="D90" s="53">
        <f t="shared" si="6"/>
        <v>-3.5</v>
      </c>
    </row>
    <row r="91" spans="1:4" x14ac:dyDescent="0.3">
      <c r="A91" s="53">
        <v>0</v>
      </c>
      <c r="B91" s="53">
        <f t="shared" si="4"/>
        <v>1</v>
      </c>
      <c r="C91" s="53">
        <f t="shared" si="5"/>
        <v>50</v>
      </c>
      <c r="D91" s="53">
        <f t="shared" si="6"/>
        <v>-3.75</v>
      </c>
    </row>
    <row r="92" spans="1:4" x14ac:dyDescent="0.3">
      <c r="A92" s="53">
        <v>0</v>
      </c>
      <c r="B92" s="53">
        <f t="shared" si="4"/>
        <v>1</v>
      </c>
      <c r="C92" s="53">
        <f t="shared" si="5"/>
        <v>50</v>
      </c>
      <c r="D92" s="53">
        <f t="shared" si="6"/>
        <v>-4</v>
      </c>
    </row>
    <row r="93" spans="1:4" x14ac:dyDescent="0.3">
      <c r="A93" s="53">
        <v>0</v>
      </c>
      <c r="B93" s="53">
        <f t="shared" si="4"/>
        <v>1</v>
      </c>
      <c r="C93" s="53">
        <f t="shared" si="5"/>
        <v>50</v>
      </c>
      <c r="D93" s="53">
        <f t="shared" si="6"/>
        <v>-4.25</v>
      </c>
    </row>
    <row r="94" spans="1:4" x14ac:dyDescent="0.3">
      <c r="A94" s="53">
        <v>0</v>
      </c>
      <c r="B94" s="53">
        <f t="shared" si="4"/>
        <v>1</v>
      </c>
      <c r="C94" s="53">
        <f t="shared" si="5"/>
        <v>50</v>
      </c>
      <c r="D94" s="53">
        <f t="shared" si="6"/>
        <v>-4.5</v>
      </c>
    </row>
    <row r="95" spans="1:4" x14ac:dyDescent="0.3">
      <c r="A95" s="53">
        <v>0</v>
      </c>
      <c r="B95" s="53">
        <f t="shared" si="4"/>
        <v>1</v>
      </c>
      <c r="C95" s="53">
        <f t="shared" si="5"/>
        <v>50</v>
      </c>
      <c r="D95" s="53">
        <f t="shared" si="6"/>
        <v>-4.75</v>
      </c>
    </row>
    <row r="96" spans="1:4" x14ac:dyDescent="0.3">
      <c r="A96" s="53">
        <v>0</v>
      </c>
      <c r="B96" s="53">
        <f>1/(1+A96/(100*H74))</f>
        <v>1</v>
      </c>
      <c r="C96" s="53">
        <f t="shared" si="5"/>
        <v>1050</v>
      </c>
      <c r="D96" s="53">
        <f t="shared" si="6"/>
        <v>-105</v>
      </c>
    </row>
    <row r="97" spans="1:4" x14ac:dyDescent="0.3">
      <c r="A97" s="53"/>
      <c r="B97" s="53" t="s">
        <v>52</v>
      </c>
      <c r="C97" s="53">
        <f>SUM(C77:C96)</f>
        <v>2000</v>
      </c>
      <c r="D97" s="53">
        <f>SUM(D77:D96)</f>
        <v>-152.5</v>
      </c>
    </row>
    <row r="99" spans="1:4" x14ac:dyDescent="0.3">
      <c r="A99" t="s">
        <v>53</v>
      </c>
      <c r="B99">
        <f>A77+(B58-C97)/D97</f>
        <v>6.8852459016393439</v>
      </c>
    </row>
    <row r="100" spans="1:4" x14ac:dyDescent="0.3">
      <c r="A100" s="53" t="s">
        <v>54</v>
      </c>
      <c r="B100" s="53" t="s">
        <v>48</v>
      </c>
      <c r="C100" s="53" t="s">
        <v>49</v>
      </c>
      <c r="D100" s="53" t="s">
        <v>50</v>
      </c>
    </row>
    <row r="101" spans="1:4" x14ac:dyDescent="0.3">
      <c r="A101" s="53">
        <v>6.8852459016393439</v>
      </c>
      <c r="B101" s="53">
        <f>1/(1+A101/(100*H55))</f>
        <v>0.9667194928684627</v>
      </c>
      <c r="C101" s="53">
        <f>F55*POWER(B101,G55*H55)</f>
        <v>48.335974643423135</v>
      </c>
      <c r="D101" s="53">
        <f>-1*0.01*B101*C101*G55</f>
        <v>-0.23363664447296445</v>
      </c>
    </row>
    <row r="102" spans="1:4" x14ac:dyDescent="0.3">
      <c r="A102" s="53">
        <v>6.8852459016393439</v>
      </c>
      <c r="B102" s="53">
        <f t="shared" ref="B102:B120" si="7">1/(1+A102/(100*H56))</f>
        <v>0.9667194928684627</v>
      </c>
      <c r="C102" s="53">
        <f t="shared" ref="C102:C120" si="8">F56*POWER(B102,G56*H56)</f>
        <v>46.727328894592887</v>
      </c>
      <c r="D102" s="53">
        <f t="shared" ref="D102:D120" si="9">-1*0.01*B102*C102*G56</f>
        <v>-0.45172219692078702</v>
      </c>
    </row>
    <row r="103" spans="1:4" x14ac:dyDescent="0.3">
      <c r="A103" s="53">
        <v>6.8852459016393439</v>
      </c>
      <c r="B103" s="53">
        <f t="shared" si="7"/>
        <v>0.9667194928684627</v>
      </c>
      <c r="C103" s="53">
        <f t="shared" si="8"/>
        <v>45.172219692078698</v>
      </c>
      <c r="D103" s="53">
        <f t="shared" si="9"/>
        <v>-0.65503297968703666</v>
      </c>
    </row>
    <row r="104" spans="1:4" x14ac:dyDescent="0.3">
      <c r="A104" s="53">
        <v>6.8852459016393439</v>
      </c>
      <c r="B104" s="53">
        <f t="shared" si="7"/>
        <v>0.9667194928684627</v>
      </c>
      <c r="C104" s="53">
        <f t="shared" si="8"/>
        <v>43.668865312469102</v>
      </c>
      <c r="D104" s="53">
        <f t="shared" si="9"/>
        <v>-0.84431086658022669</v>
      </c>
    </row>
    <row r="105" spans="1:4" x14ac:dyDescent="0.3">
      <c r="A105" s="53">
        <v>6.8852459016393439</v>
      </c>
      <c r="B105" s="53">
        <f t="shared" si="7"/>
        <v>0.9667194928684627</v>
      </c>
      <c r="C105" s="53">
        <f t="shared" si="8"/>
        <v>42.215543329011332</v>
      </c>
      <c r="D105" s="53">
        <f t="shared" si="9"/>
        <v>-1.0202647159547114</v>
      </c>
    </row>
    <row r="106" spans="1:4" x14ac:dyDescent="0.3">
      <c r="A106" s="53">
        <v>6.8852459016393439</v>
      </c>
      <c r="B106" s="53">
        <f t="shared" si="7"/>
        <v>0.9667194928684627</v>
      </c>
      <c r="C106" s="53">
        <f t="shared" si="8"/>
        <v>40.810588638188449</v>
      </c>
      <c r="D106" s="53">
        <f t="shared" si="9"/>
        <v>-1.1835717465591897</v>
      </c>
    </row>
    <row r="107" spans="1:4" x14ac:dyDescent="0.3">
      <c r="A107" s="53">
        <v>6.8852459016393439</v>
      </c>
      <c r="B107" s="53">
        <f t="shared" si="7"/>
        <v>0.9667194928684627</v>
      </c>
      <c r="C107" s="53">
        <f t="shared" si="8"/>
        <v>39.45239155197298</v>
      </c>
      <c r="D107" s="53">
        <f t="shared" si="9"/>
        <v>-1.3348788583749971</v>
      </c>
    </row>
    <row r="108" spans="1:4" x14ac:dyDescent="0.3">
      <c r="A108" s="53">
        <v>6.8852459016393439</v>
      </c>
      <c r="B108" s="53">
        <f t="shared" si="7"/>
        <v>0.9667194928684627</v>
      </c>
      <c r="C108" s="53">
        <f t="shared" si="8"/>
        <v>38.139395953571345</v>
      </c>
      <c r="D108" s="53">
        <f t="shared" si="9"/>
        <v>-1.4748039005818396</v>
      </c>
    </row>
    <row r="109" spans="1:4" x14ac:dyDescent="0.3">
      <c r="A109" s="53">
        <v>6.8852459016393439</v>
      </c>
      <c r="B109" s="53">
        <f t="shared" si="7"/>
        <v>0.9667194928684627</v>
      </c>
      <c r="C109" s="53">
        <f t="shared" si="8"/>
        <v>36.870097514545982</v>
      </c>
      <c r="D109" s="53">
        <f t="shared" si="9"/>
        <v>-1.6039368887072696</v>
      </c>
    </row>
    <row r="110" spans="1:4" x14ac:dyDescent="0.3">
      <c r="A110" s="53">
        <v>6.8852459016393439</v>
      </c>
      <c r="B110" s="53">
        <f t="shared" si="7"/>
        <v>0.9667194928684627</v>
      </c>
      <c r="C110" s="53">
        <f t="shared" si="8"/>
        <v>35.643041971272659</v>
      </c>
      <c r="D110" s="53">
        <f t="shared" si="9"/>
        <v>-1.7228411729379021</v>
      </c>
    </row>
    <row r="111" spans="1:4" x14ac:dyDescent="0.3">
      <c r="A111" s="53">
        <v>6.8852459016393439</v>
      </c>
      <c r="B111" s="53">
        <f t="shared" si="7"/>
        <v>0.9667194928684627</v>
      </c>
      <c r="C111" s="53">
        <f t="shared" si="8"/>
        <v>34.456823458758038</v>
      </c>
      <c r="D111" s="53">
        <f t="shared" si="9"/>
        <v>-1.8320545594949798</v>
      </c>
    </row>
    <row r="112" spans="1:4" x14ac:dyDescent="0.3">
      <c r="A112" s="53">
        <v>6.8852459016393439</v>
      </c>
      <c r="B112" s="53">
        <f t="shared" si="7"/>
        <v>0.9667194928684627</v>
      </c>
      <c r="C112" s="53">
        <f t="shared" si="8"/>
        <v>33.310082899908721</v>
      </c>
      <c r="D112" s="53">
        <f t="shared" si="9"/>
        <v>-1.9320903869043728</v>
      </c>
    </row>
    <row r="113" spans="1:4" x14ac:dyDescent="0.3">
      <c r="A113" s="53">
        <v>6.8852459016393439</v>
      </c>
      <c r="B113" s="53">
        <f t="shared" si="7"/>
        <v>0.9667194928684627</v>
      </c>
      <c r="C113" s="53">
        <f t="shared" si="8"/>
        <v>32.201506448406214</v>
      </c>
      <c r="D113" s="53">
        <f t="shared" si="9"/>
        <v>-2.0234385589212462</v>
      </c>
    </row>
    <row r="114" spans="1:4" x14ac:dyDescent="0.3">
      <c r="A114" s="53">
        <v>6.8852459016393439</v>
      </c>
      <c r="B114" s="53">
        <f t="shared" si="7"/>
        <v>0.9667194928684627</v>
      </c>
      <c r="C114" s="53">
        <f t="shared" si="8"/>
        <v>31.129823983403782</v>
      </c>
      <c r="D114" s="53">
        <f t="shared" si="9"/>
        <v>-2.1065665358024432</v>
      </c>
    </row>
    <row r="115" spans="1:4" x14ac:dyDescent="0.3">
      <c r="A115" s="53">
        <v>6.8852459016393439</v>
      </c>
      <c r="B115" s="53">
        <f t="shared" si="7"/>
        <v>0.9667194928684627</v>
      </c>
      <c r="C115" s="53">
        <f t="shared" si="8"/>
        <v>30.09380765432061</v>
      </c>
      <c r="D115" s="53">
        <f t="shared" si="9"/>
        <v>-2.1819202855549413</v>
      </c>
    </row>
    <row r="116" spans="1:4" x14ac:dyDescent="0.3">
      <c r="A116" s="53">
        <v>6.8852459016393439</v>
      </c>
      <c r="B116" s="53">
        <f t="shared" si="7"/>
        <v>0.9667194928684627</v>
      </c>
      <c r="C116" s="53">
        <f t="shared" si="8"/>
        <v>29.092270474065877</v>
      </c>
      <c r="D116" s="53">
        <f t="shared" si="9"/>
        <v>-2.2499251967264895</v>
      </c>
    </row>
    <row r="117" spans="1:4" x14ac:dyDescent="0.3">
      <c r="A117" s="53">
        <v>6.8852459016393439</v>
      </c>
      <c r="B117" s="53">
        <f t="shared" si="7"/>
        <v>0.9667194928684627</v>
      </c>
      <c r="C117" s="53">
        <f t="shared" si="8"/>
        <v>28.124064959081117</v>
      </c>
      <c r="D117" s="53">
        <f t="shared" si="9"/>
        <v>-2.3109869542446209</v>
      </c>
    </row>
    <row r="118" spans="1:4" x14ac:dyDescent="0.3">
      <c r="A118" s="53">
        <v>6.8852459016393439</v>
      </c>
      <c r="B118" s="53">
        <f t="shared" si="7"/>
        <v>0.9667194928684627</v>
      </c>
      <c r="C118" s="53">
        <f t="shared" si="8"/>
        <v>27.188081814642601</v>
      </c>
      <c r="D118" s="53">
        <f t="shared" si="9"/>
        <v>-2.3654923797525811</v>
      </c>
    </row>
    <row r="119" spans="1:4" x14ac:dyDescent="0.3">
      <c r="A119" s="53">
        <v>6.8852459016393439</v>
      </c>
      <c r="B119" s="53">
        <f t="shared" si="7"/>
        <v>0.9667194928684627</v>
      </c>
      <c r="C119" s="53">
        <f t="shared" si="8"/>
        <v>26.283248663917568</v>
      </c>
      <c r="D119" s="53">
        <f t="shared" si="9"/>
        <v>-2.4138102378352189</v>
      </c>
    </row>
    <row r="120" spans="1:4" x14ac:dyDescent="0.3">
      <c r="A120" s="53">
        <v>6.8852459016393439</v>
      </c>
      <c r="B120" s="53">
        <f t="shared" si="7"/>
        <v>0.9667194928684627</v>
      </c>
      <c r="C120" s="53">
        <f t="shared" si="8"/>
        <v>533.57910520567987</v>
      </c>
      <c r="D120" s="53">
        <f t="shared" si="9"/>
        <v>-51.582132198964302</v>
      </c>
    </row>
    <row r="121" spans="1:4" x14ac:dyDescent="0.3">
      <c r="A121" s="53"/>
      <c r="B121" s="53" t="s">
        <v>52</v>
      </c>
      <c r="C121" s="53">
        <f>SUM(C101:C120)</f>
        <v>1222.4942630633109</v>
      </c>
      <c r="D121" s="53">
        <f>SUM(D101:D120)</f>
        <v>-81.523417264978121</v>
      </c>
    </row>
    <row r="123" spans="1:4" x14ac:dyDescent="0.3">
      <c r="A123" t="s">
        <v>55</v>
      </c>
      <c r="B123">
        <f>A101+(B58-C121)/D121</f>
        <v>10.22777338889634</v>
      </c>
    </row>
    <row r="124" spans="1:4" x14ac:dyDescent="0.3">
      <c r="A124" s="53" t="s">
        <v>56</v>
      </c>
      <c r="B124" s="53" t="s">
        <v>48</v>
      </c>
      <c r="C124" s="53" t="s">
        <v>49</v>
      </c>
      <c r="D124" s="53" t="s">
        <v>50</v>
      </c>
    </row>
    <row r="125" spans="1:4" x14ac:dyDescent="0.3">
      <c r="A125" s="53">
        <v>10.22777338889634</v>
      </c>
      <c r="B125" s="53">
        <f>1/(1+A125/(100*H55))</f>
        <v>0.95134908568918641</v>
      </c>
      <c r="C125" s="53">
        <f>F55*POWER(B125,G55*H55)</f>
        <v>47.567454284459323</v>
      </c>
      <c r="D125" s="53">
        <f>-1*0.01*B125*C125*G55</f>
        <v>-0.22626627071041275</v>
      </c>
    </row>
    <row r="126" spans="1:4" x14ac:dyDescent="0.3">
      <c r="A126" s="53">
        <v>10.22777338889634</v>
      </c>
      <c r="B126" s="53">
        <f t="shared" ref="B126:B144" si="10">1/(1+A126/(100*H56))</f>
        <v>0.95134908568918641</v>
      </c>
      <c r="C126" s="53">
        <f t="shared" ref="C126:C144" si="11">F56*POWER(B126,G56*H56)</f>
        <v>45.253254142082547</v>
      </c>
      <c r="D126" s="53">
        <f t="shared" ref="D126:D144" si="12">-1*0.01*B126*C126*G56</f>
        <v>-0.43051641952530617</v>
      </c>
    </row>
    <row r="127" spans="1:4" x14ac:dyDescent="0.3">
      <c r="A127" s="53">
        <v>10.22777338889634</v>
      </c>
      <c r="B127" s="53">
        <f t="shared" si="10"/>
        <v>0.95134908568918641</v>
      </c>
      <c r="C127" s="53">
        <f t="shared" si="11"/>
        <v>43.051641952530623</v>
      </c>
      <c r="D127" s="53">
        <f t="shared" si="12"/>
        <v>-0.61435710313437353</v>
      </c>
    </row>
    <row r="128" spans="1:4" x14ac:dyDescent="0.3">
      <c r="A128" s="53">
        <v>10.22777338889634</v>
      </c>
      <c r="B128" s="53">
        <f t="shared" si="10"/>
        <v>0.95134908568918641</v>
      </c>
      <c r="C128" s="53">
        <f t="shared" si="11"/>
        <v>40.957140208958229</v>
      </c>
      <c r="D128" s="53">
        <f t="shared" si="12"/>
        <v>-0.77929075780472445</v>
      </c>
    </row>
    <row r="129" spans="1:4" x14ac:dyDescent="0.3">
      <c r="A129" s="53">
        <v>10.22777338889634</v>
      </c>
      <c r="B129" s="53">
        <f t="shared" si="10"/>
        <v>0.95134908568918641</v>
      </c>
      <c r="C129" s="53">
        <f t="shared" si="11"/>
        <v>38.964537890236222</v>
      </c>
      <c r="D129" s="53">
        <f t="shared" si="12"/>
        <v>-0.9267219374044473</v>
      </c>
    </row>
    <row r="130" spans="1:4" x14ac:dyDescent="0.3">
      <c r="A130" s="53">
        <v>10.22777338889634</v>
      </c>
      <c r="B130" s="53">
        <f t="shared" si="10"/>
        <v>0.95134908568918641</v>
      </c>
      <c r="C130" s="53">
        <f t="shared" si="11"/>
        <v>37.06887749617789</v>
      </c>
      <c r="D130" s="53">
        <f t="shared" si="12"/>
        <v>-1.057963281405399</v>
      </c>
    </row>
    <row r="131" spans="1:4" x14ac:dyDescent="0.3">
      <c r="A131" s="53">
        <v>10.22777338889634</v>
      </c>
      <c r="B131" s="53">
        <f t="shared" si="10"/>
        <v>0.95134908568918641</v>
      </c>
      <c r="C131" s="53">
        <f t="shared" si="11"/>
        <v>35.265442713513295</v>
      </c>
      <c r="D131" s="53">
        <f t="shared" si="12"/>
        <v>-1.1742411338673837</v>
      </c>
    </row>
    <row r="132" spans="1:4" x14ac:dyDescent="0.3">
      <c r="A132" s="53">
        <v>10.22777338889634</v>
      </c>
      <c r="B132" s="53">
        <f t="shared" si="10"/>
        <v>0.95134908568918641</v>
      </c>
      <c r="C132" s="53">
        <f t="shared" si="11"/>
        <v>33.549746681925249</v>
      </c>
      <c r="D132" s="53">
        <f t="shared" si="12"/>
        <v>-1.276700833238136</v>
      </c>
    </row>
    <row r="133" spans="1:4" x14ac:dyDescent="0.3">
      <c r="A133" s="53">
        <v>10.22777338889634</v>
      </c>
      <c r="B133" s="53">
        <f t="shared" si="10"/>
        <v>0.95134908568918641</v>
      </c>
      <c r="C133" s="53">
        <f t="shared" si="11"/>
        <v>31.917520830953407</v>
      </c>
      <c r="D133" s="53">
        <f t="shared" si="12"/>
        <v>-1.3664116916996889</v>
      </c>
    </row>
    <row r="134" spans="1:4" x14ac:dyDescent="0.3">
      <c r="A134" s="53">
        <v>10.22777338889634</v>
      </c>
      <c r="B134" s="53">
        <f t="shared" si="10"/>
        <v>0.95134908568918641</v>
      </c>
      <c r="C134" s="53">
        <f t="shared" si="11"/>
        <v>30.364704259993086</v>
      </c>
      <c r="D134" s="53">
        <f t="shared" si="12"/>
        <v>-1.4443716817483485</v>
      </c>
    </row>
    <row r="135" spans="1:4" x14ac:dyDescent="0.3">
      <c r="A135" s="53">
        <v>10.22777338889634</v>
      </c>
      <c r="B135" s="53">
        <f t="shared" si="10"/>
        <v>0.95134908568918641</v>
      </c>
      <c r="C135" s="53">
        <f t="shared" si="11"/>
        <v>28.887433634966964</v>
      </c>
      <c r="D135" s="53">
        <f t="shared" si="12"/>
        <v>-1.511511846709308</v>
      </c>
    </row>
    <row r="136" spans="1:4" x14ac:dyDescent="0.3">
      <c r="A136" s="53">
        <v>10.22777338889634</v>
      </c>
      <c r="B136" s="53">
        <f t="shared" si="10"/>
        <v>0.95134908568918641</v>
      </c>
      <c r="C136" s="53">
        <f t="shared" si="11"/>
        <v>27.482033576532871</v>
      </c>
      <c r="D136" s="53">
        <f t="shared" si="12"/>
        <v>-1.5687004509548443</v>
      </c>
    </row>
    <row r="137" spans="1:4" x14ac:dyDescent="0.3">
      <c r="A137" s="53">
        <v>10.22777338889634</v>
      </c>
      <c r="B137" s="53">
        <f t="shared" si="10"/>
        <v>0.95134908568918641</v>
      </c>
      <c r="C137" s="53">
        <f t="shared" si="11"/>
        <v>26.14500751591407</v>
      </c>
      <c r="D137" s="53">
        <f t="shared" si="12"/>
        <v>-1.6167468847141144</v>
      </c>
    </row>
    <row r="138" spans="1:4" x14ac:dyDescent="0.3">
      <c r="A138" s="53">
        <v>10.22777338889634</v>
      </c>
      <c r="B138" s="53">
        <f t="shared" si="10"/>
        <v>0.95134908568918641</v>
      </c>
      <c r="C138" s="53">
        <f t="shared" si="11"/>
        <v>24.873028995601761</v>
      </c>
      <c r="D138" s="53">
        <f t="shared" si="12"/>
        <v>-1.6564053375300452</v>
      </c>
    </row>
    <row r="139" spans="1:4" x14ac:dyDescent="0.3">
      <c r="A139" s="53">
        <v>10.22777338889634</v>
      </c>
      <c r="B139" s="53">
        <f t="shared" si="10"/>
        <v>0.95134908568918641</v>
      </c>
      <c r="C139" s="53">
        <f t="shared" si="11"/>
        <v>23.662933393286355</v>
      </c>
      <c r="D139" s="53">
        <f t="shared" si="12"/>
        <v>-1.688378253632032</v>
      </c>
    </row>
    <row r="140" spans="1:4" x14ac:dyDescent="0.3">
      <c r="A140" s="53">
        <v>10.22777338889634</v>
      </c>
      <c r="B140" s="53">
        <f t="shared" si="10"/>
        <v>0.95134908568918641</v>
      </c>
      <c r="C140" s="53">
        <f t="shared" si="11"/>
        <v>22.511710048427087</v>
      </c>
      <c r="D140" s="53">
        <f t="shared" si="12"/>
        <v>-1.7133195817496945</v>
      </c>
    </row>
    <row r="141" spans="1:4" x14ac:dyDescent="0.3">
      <c r="A141" s="53">
        <v>10.22777338889634</v>
      </c>
      <c r="B141" s="53">
        <f t="shared" si="10"/>
        <v>0.95134908568918641</v>
      </c>
      <c r="C141" s="53">
        <f t="shared" si="11"/>
        <v>21.416494771871182</v>
      </c>
      <c r="D141" s="53">
        <f t="shared" si="12"/>
        <v>-1.7318378311903857</v>
      </c>
    </row>
    <row r="142" spans="1:4" x14ac:dyDescent="0.3">
      <c r="A142" s="53">
        <v>10.22777338889634</v>
      </c>
      <c r="B142" s="53">
        <f t="shared" si="10"/>
        <v>0.95134908568918641</v>
      </c>
      <c r="C142" s="53">
        <f t="shared" si="11"/>
        <v>20.374562719886889</v>
      </c>
      <c r="D142" s="53">
        <f t="shared" si="12"/>
        <v>-1.7444989453393236</v>
      </c>
    </row>
    <row r="143" spans="1:4" x14ac:dyDescent="0.3">
      <c r="A143" s="53">
        <v>10.22777338889634</v>
      </c>
      <c r="B143" s="53">
        <f t="shared" si="10"/>
        <v>0.95134908568918641</v>
      </c>
      <c r="C143" s="53">
        <f t="shared" si="11"/>
        <v>19.383321614881378</v>
      </c>
      <c r="D143" s="53">
        <f t="shared" si="12"/>
        <v>-1.751829003114</v>
      </c>
    </row>
    <row r="144" spans="1:4" x14ac:dyDescent="0.3">
      <c r="A144" s="53">
        <v>10.22777338889634</v>
      </c>
      <c r="B144" s="53">
        <f t="shared" si="10"/>
        <v>0.95134908568918641</v>
      </c>
      <c r="C144" s="53">
        <f t="shared" si="11"/>
        <v>387.24641121467363</v>
      </c>
      <c r="D144" s="53">
        <f t="shared" si="12"/>
        <v>-36.840651924549846</v>
      </c>
    </row>
    <row r="145" spans="1:4" x14ac:dyDescent="0.3">
      <c r="A145" s="53"/>
      <c r="B145" s="53" t="s">
        <v>52</v>
      </c>
      <c r="C145" s="53">
        <f>SUM(C125:C144)</f>
        <v>985.94325794687188</v>
      </c>
      <c r="D145" s="53">
        <f>SUM(D125:D144)</f>
        <v>-61.12072117002181</v>
      </c>
    </row>
    <row r="147" spans="1:4" x14ac:dyDescent="0.3">
      <c r="A147" t="s">
        <v>57</v>
      </c>
      <c r="B147">
        <f>A125+(B58-C145)/D145</f>
        <v>10.815843314427603</v>
      </c>
    </row>
    <row r="148" spans="1:4" x14ac:dyDescent="0.3">
      <c r="A148" s="53" t="s">
        <v>58</v>
      </c>
      <c r="B148" s="53" t="s">
        <v>48</v>
      </c>
      <c r="C148" s="53" t="s">
        <v>49</v>
      </c>
      <c r="D148" s="53" t="s">
        <v>50</v>
      </c>
    </row>
    <row r="149" spans="1:4" x14ac:dyDescent="0.3">
      <c r="A149" s="53">
        <v>10.815843314427603</v>
      </c>
      <c r="B149" s="53">
        <f>1/(1+A149/(100*H55))</f>
        <v>0.94869530133797397</v>
      </c>
      <c r="C149" s="53">
        <f>F55*POWER(B149,G55*H55)</f>
        <v>47.434765066898699</v>
      </c>
      <c r="D149" s="53">
        <f>-1*0.01*B149*C149*G55</f>
        <v>-0.2250056936951873</v>
      </c>
    </row>
    <row r="150" spans="1:4" x14ac:dyDescent="0.3">
      <c r="A150" s="53">
        <v>10.815843314427603</v>
      </c>
      <c r="B150" s="53">
        <f t="shared" ref="B150:B168" si="13">1/(1+A150/(100*H56))</f>
        <v>0.94869530133797397</v>
      </c>
      <c r="C150" s="53">
        <f t="shared" ref="C150:C168" si="14">F56*POWER(B150,G56*H56)</f>
        <v>45.001138739037458</v>
      </c>
      <c r="D150" s="53">
        <f t="shared" ref="D150:D168" si="15">-1*0.01*B150*C150*G56</f>
        <v>-0.42692368876583114</v>
      </c>
    </row>
    <row r="151" spans="1:4" x14ac:dyDescent="0.3">
      <c r="A151" s="53">
        <v>10.815843314427603</v>
      </c>
      <c r="B151" s="53">
        <f t="shared" si="13"/>
        <v>0.94869530133797397</v>
      </c>
      <c r="C151" s="53">
        <f t="shared" si="14"/>
        <v>42.692368876583117</v>
      </c>
      <c r="D151" s="53">
        <f t="shared" si="15"/>
        <v>-0.60753074634302939</v>
      </c>
    </row>
    <row r="152" spans="1:4" x14ac:dyDescent="0.3">
      <c r="A152" s="53">
        <v>10.815843314427603</v>
      </c>
      <c r="B152" s="53">
        <f t="shared" si="13"/>
        <v>0.94869530133797397</v>
      </c>
      <c r="C152" s="53">
        <f t="shared" si="14"/>
        <v>40.502049756201963</v>
      </c>
      <c r="D152" s="53">
        <f t="shared" si="15"/>
        <v>-0.76848208596531264</v>
      </c>
    </row>
    <row r="153" spans="1:4" x14ac:dyDescent="0.3">
      <c r="A153" s="53">
        <v>10.815843314427603</v>
      </c>
      <c r="B153" s="53">
        <f t="shared" si="13"/>
        <v>0.94869530133797397</v>
      </c>
      <c r="C153" s="53">
        <f t="shared" si="14"/>
        <v>38.42410429826564</v>
      </c>
      <c r="D153" s="53">
        <f t="shared" si="15"/>
        <v>-0.91131918014712154</v>
      </c>
    </row>
    <row r="154" spans="1:4" x14ac:dyDescent="0.3">
      <c r="A154" s="53">
        <v>10.815843314427603</v>
      </c>
      <c r="B154" s="53">
        <f t="shared" si="13"/>
        <v>0.94869530133797397</v>
      </c>
      <c r="C154" s="53">
        <f t="shared" si="14"/>
        <v>36.452767205884854</v>
      </c>
      <c r="D154" s="53">
        <f t="shared" si="15"/>
        <v>-1.0374770690696984</v>
      </c>
    </row>
    <row r="155" spans="1:4" x14ac:dyDescent="0.3">
      <c r="A155" s="53">
        <v>10.815843314427603</v>
      </c>
      <c r="B155" s="53">
        <f t="shared" si="13"/>
        <v>0.94869530133797397</v>
      </c>
      <c r="C155" s="53">
        <f t="shared" si="14"/>
        <v>34.582568968989953</v>
      </c>
      <c r="D155" s="53">
        <f t="shared" si="15"/>
        <v>-1.1482912241177017</v>
      </c>
    </row>
    <row r="156" spans="1:4" x14ac:dyDescent="0.3">
      <c r="A156" s="53">
        <v>10.815843314427603</v>
      </c>
      <c r="B156" s="53">
        <f t="shared" si="13"/>
        <v>0.94869530133797397</v>
      </c>
      <c r="C156" s="53">
        <f t="shared" si="14"/>
        <v>32.808320689077192</v>
      </c>
      <c r="D156" s="53">
        <f t="shared" si="15"/>
        <v>-1.2450039873006788</v>
      </c>
    </row>
    <row r="157" spans="1:4" x14ac:dyDescent="0.3">
      <c r="A157" s="53">
        <v>10.815843314427603</v>
      </c>
      <c r="B157" s="53">
        <f t="shared" si="13"/>
        <v>0.94869530133797397</v>
      </c>
      <c r="C157" s="53">
        <f t="shared" si="14"/>
        <v>31.125099682516971</v>
      </c>
      <c r="D157" s="53">
        <f t="shared" si="15"/>
        <v>-1.3287706120115961</v>
      </c>
    </row>
    <row r="158" spans="1:4" x14ac:dyDescent="0.3">
      <c r="A158" s="53">
        <v>10.815843314427603</v>
      </c>
      <c r="B158" s="53">
        <f t="shared" si="13"/>
        <v>0.94869530133797397</v>
      </c>
      <c r="C158" s="53">
        <f t="shared" si="14"/>
        <v>29.528235822479914</v>
      </c>
      <c r="D158" s="53">
        <f t="shared" si="15"/>
        <v>-1.4006649290793169</v>
      </c>
    </row>
    <row r="159" spans="1:4" x14ac:dyDescent="0.3">
      <c r="A159" s="53">
        <v>10.815843314427603</v>
      </c>
      <c r="B159" s="53">
        <f t="shared" si="13"/>
        <v>0.94869530133797397</v>
      </c>
      <c r="C159" s="53">
        <f t="shared" si="14"/>
        <v>28.013298581586344</v>
      </c>
      <c r="D159" s="53">
        <f t="shared" si="15"/>
        <v>-1.461684660663078</v>
      </c>
    </row>
    <row r="160" spans="1:4" x14ac:dyDescent="0.3">
      <c r="A160" s="53">
        <v>10.815843314427603</v>
      </c>
      <c r="B160" s="53">
        <f t="shared" si="13"/>
        <v>0.94869530133797397</v>
      </c>
      <c r="C160" s="53">
        <f t="shared" si="14"/>
        <v>26.576084739328692</v>
      </c>
      <c r="D160" s="53">
        <f t="shared" si="15"/>
        <v>-1.5127564032096577</v>
      </c>
    </row>
    <row r="161" spans="1:4" x14ac:dyDescent="0.3">
      <c r="A161" s="53">
        <v>10.815843314427603</v>
      </c>
      <c r="B161" s="53">
        <f t="shared" si="13"/>
        <v>0.94869530133797397</v>
      </c>
      <c r="C161" s="53">
        <f t="shared" si="14"/>
        <v>25.21260672016097</v>
      </c>
      <c r="D161" s="53">
        <f t="shared" si="15"/>
        <v>-1.554740299443431</v>
      </c>
    </row>
    <row r="162" spans="1:4" x14ac:dyDescent="0.3">
      <c r="A162" s="53">
        <v>10.815843314427603</v>
      </c>
      <c r="B162" s="53">
        <f t="shared" si="13"/>
        <v>0.94869530133797397</v>
      </c>
      <c r="C162" s="53">
        <f t="shared" si="14"/>
        <v>23.919081529898932</v>
      </c>
      <c r="D162" s="53">
        <f t="shared" si="15"/>
        <v>-1.5884344181814525</v>
      </c>
    </row>
    <row r="163" spans="1:4" x14ac:dyDescent="0.3">
      <c r="A163" s="53">
        <v>10.815843314427603</v>
      </c>
      <c r="B163" s="53">
        <f t="shared" si="13"/>
        <v>0.94869530133797397</v>
      </c>
      <c r="C163" s="53">
        <f t="shared" si="14"/>
        <v>22.691920259735038</v>
      </c>
      <c r="D163" s="53">
        <f t="shared" si="15"/>
        <v>-1.6145788596559956</v>
      </c>
    </row>
    <row r="164" spans="1:4" x14ac:dyDescent="0.3">
      <c r="A164" s="53">
        <v>10.815843314427603</v>
      </c>
      <c r="B164" s="53">
        <f t="shared" si="13"/>
        <v>0.94869530133797397</v>
      </c>
      <c r="C164" s="53">
        <f t="shared" si="14"/>
        <v>21.52771812874661</v>
      </c>
      <c r="D164" s="53">
        <f t="shared" si="15"/>
        <v>-1.6338596029816184</v>
      </c>
    </row>
    <row r="165" spans="1:4" x14ac:dyDescent="0.3">
      <c r="A165" s="53">
        <v>10.815843314427603</v>
      </c>
      <c r="B165" s="53">
        <f t="shared" si="13"/>
        <v>0.94869530133797397</v>
      </c>
      <c r="C165" s="53">
        <f t="shared" si="14"/>
        <v>20.423245037270231</v>
      </c>
      <c r="D165" s="53">
        <f t="shared" si="15"/>
        <v>-1.6469121114192506</v>
      </c>
    </row>
    <row r="166" spans="1:4" x14ac:dyDescent="0.3">
      <c r="A166" s="53">
        <v>10.815843314427603</v>
      </c>
      <c r="B166" s="53">
        <f t="shared" si="13"/>
        <v>0.94869530133797397</v>
      </c>
      <c r="C166" s="53">
        <f t="shared" si="14"/>
        <v>19.375436604932361</v>
      </c>
      <c r="D166" s="53">
        <f t="shared" si="15"/>
        <v>-1.6543247101624006</v>
      </c>
    </row>
    <row r="167" spans="1:4" x14ac:dyDescent="0.3">
      <c r="A167" s="53">
        <v>10.815843314427603</v>
      </c>
      <c r="B167" s="53">
        <f t="shared" si="13"/>
        <v>0.94869530133797397</v>
      </c>
      <c r="C167" s="53">
        <f t="shared" si="14"/>
        <v>18.381385668471118</v>
      </c>
      <c r="D167" s="53">
        <f t="shared" si="15"/>
        <v>-1.6566417504971738</v>
      </c>
    </row>
    <row r="168" spans="1:4" x14ac:dyDescent="0.3">
      <c r="A168" s="53">
        <v>10.815843314427603</v>
      </c>
      <c r="B168" s="53">
        <f t="shared" si="13"/>
        <v>0.94869530133797397</v>
      </c>
      <c r="C168" s="53">
        <f t="shared" si="14"/>
        <v>366.20501853095419</v>
      </c>
      <c r="D168" s="53">
        <f t="shared" si="15"/>
        <v>-34.741698040670187</v>
      </c>
    </row>
    <row r="169" spans="1:4" x14ac:dyDescent="0.3">
      <c r="A169" s="53"/>
      <c r="B169" s="53" t="s">
        <v>52</v>
      </c>
      <c r="C169" s="53">
        <f>SUM(C149:C168)</f>
        <v>950.87721490702029</v>
      </c>
      <c r="D169" s="53">
        <f>SUM(D149:D168)</f>
        <v>-58.165100073379719</v>
      </c>
    </row>
    <row r="171" spans="1:4" x14ac:dyDescent="0.3">
      <c r="A171" t="s">
        <v>59</v>
      </c>
      <c r="B171">
        <f>A149+(B58-C169)/D169</f>
        <v>10.830924779187633</v>
      </c>
    </row>
    <row r="172" spans="1:4" x14ac:dyDescent="0.3">
      <c r="A172" s="53" t="s">
        <v>60</v>
      </c>
      <c r="B172" s="53" t="s">
        <v>48</v>
      </c>
      <c r="C172" s="53" t="s">
        <v>49</v>
      </c>
      <c r="D172" s="53" t="s">
        <v>50</v>
      </c>
    </row>
    <row r="173" spans="1:4" x14ac:dyDescent="0.3">
      <c r="A173" s="53">
        <v>10.830924779187633</v>
      </c>
      <c r="B173" s="53">
        <f>1/(1+A173/(100*H55))</f>
        <v>0.94862743788402337</v>
      </c>
      <c r="C173" s="53">
        <f>F55*POWER(B173,G55*H55)</f>
        <v>47.43137189420117</v>
      </c>
      <c r="D173" s="53">
        <f>-1*0.01*B173*C173*G55</f>
        <v>-0.22497350397660168</v>
      </c>
    </row>
    <row r="174" spans="1:4" x14ac:dyDescent="0.3">
      <c r="A174" s="53">
        <v>10.830924779187633</v>
      </c>
      <c r="B174" s="53">
        <f t="shared" ref="B174:B192" si="16">1/(1+A174/(100*H56))</f>
        <v>0.94862743788402337</v>
      </c>
      <c r="C174" s="53">
        <f t="shared" ref="C174:C192" si="17">F56*POWER(B174,G56*H56)</f>
        <v>44.994700795320327</v>
      </c>
      <c r="D174" s="53">
        <f t="shared" ref="D174:D192" si="18">-1*0.01*B174*C174*G56</f>
        <v>-0.42683207733822953</v>
      </c>
    </row>
    <row r="175" spans="1:4" x14ac:dyDescent="0.3">
      <c r="A175" s="53">
        <v>10.830924779187633</v>
      </c>
      <c r="B175" s="53">
        <f t="shared" si="16"/>
        <v>0.94862743788402337</v>
      </c>
      <c r="C175" s="53">
        <f t="shared" si="17"/>
        <v>42.683207733822954</v>
      </c>
      <c r="D175" s="53">
        <f t="shared" si="18"/>
        <v>-0.60735692989812007</v>
      </c>
    </row>
    <row r="176" spans="1:4" x14ac:dyDescent="0.3">
      <c r="A176" s="53">
        <v>10.830924779187633</v>
      </c>
      <c r="B176" s="53">
        <f t="shared" si="16"/>
        <v>0.94862743788402337</v>
      </c>
      <c r="C176" s="53">
        <f t="shared" si="17"/>
        <v>40.490461993208001</v>
      </c>
      <c r="D176" s="53">
        <f t="shared" si="18"/>
        <v>-0.7682072643871467</v>
      </c>
    </row>
    <row r="177" spans="1:4" x14ac:dyDescent="0.3">
      <c r="A177" s="53">
        <v>10.830924779187633</v>
      </c>
      <c r="B177" s="53">
        <f t="shared" si="16"/>
        <v>0.94862743788402337</v>
      </c>
      <c r="C177" s="53">
        <f t="shared" si="17"/>
        <v>38.410363219357329</v>
      </c>
      <c r="D177" s="53">
        <f t="shared" si="18"/>
        <v>-0.91092811122434181</v>
      </c>
    </row>
    <row r="178" spans="1:4" x14ac:dyDescent="0.3">
      <c r="A178" s="53">
        <v>10.830924779187633</v>
      </c>
      <c r="B178" s="53">
        <f t="shared" si="16"/>
        <v>0.94862743788402337</v>
      </c>
      <c r="C178" s="53">
        <f t="shared" si="17"/>
        <v>36.437124448973677</v>
      </c>
      <c r="D178" s="53">
        <f t="shared" si="18"/>
        <v>-1.0369576802967364</v>
      </c>
    </row>
    <row r="179" spans="1:4" x14ac:dyDescent="0.3">
      <c r="A179" s="53">
        <v>10.830924779187633</v>
      </c>
      <c r="B179" s="53">
        <f t="shared" si="16"/>
        <v>0.94862743788402337</v>
      </c>
      <c r="C179" s="53">
        <f t="shared" si="17"/>
        <v>34.565256009891201</v>
      </c>
      <c r="D179" s="53">
        <f t="shared" si="18"/>
        <v>-1.1476342586963952</v>
      </c>
    </row>
    <row r="180" spans="1:4" x14ac:dyDescent="0.3">
      <c r="A180" s="53">
        <v>10.830924779187633</v>
      </c>
      <c r="B180" s="53">
        <f t="shared" si="16"/>
        <v>0.94862743788402337</v>
      </c>
      <c r="C180" s="53">
        <f t="shared" si="17"/>
        <v>32.78955024846843</v>
      </c>
      <c r="D180" s="53">
        <f t="shared" si="18"/>
        <v>-1.2442026816629621</v>
      </c>
    </row>
    <row r="181" spans="1:4" x14ac:dyDescent="0.3">
      <c r="A181" s="53">
        <v>10.830924779187633</v>
      </c>
      <c r="B181" s="53">
        <f t="shared" si="16"/>
        <v>0.94862743788402337</v>
      </c>
      <c r="C181" s="53">
        <f t="shared" si="17"/>
        <v>31.105067041574046</v>
      </c>
      <c r="D181" s="53">
        <f t="shared" si="18"/>
        <v>-1.3278204023786626</v>
      </c>
    </row>
    <row r="182" spans="1:4" x14ac:dyDescent="0.3">
      <c r="A182" s="53">
        <v>10.830924779187633</v>
      </c>
      <c r="B182" s="53">
        <f t="shared" si="16"/>
        <v>0.94862743788402337</v>
      </c>
      <c r="C182" s="53">
        <f t="shared" si="17"/>
        <v>29.507120052859172</v>
      </c>
      <c r="D182" s="53">
        <f t="shared" si="18"/>
        <v>-1.3995631847540044</v>
      </c>
    </row>
    <row r="183" spans="1:4" x14ac:dyDescent="0.3">
      <c r="A183" s="53">
        <v>10.830924779187633</v>
      </c>
      <c r="B183" s="53">
        <f t="shared" si="16"/>
        <v>0.94862743788402337</v>
      </c>
      <c r="C183" s="53">
        <f t="shared" si="17"/>
        <v>27.991263695080082</v>
      </c>
      <c r="D183" s="53">
        <f t="shared" si="18"/>
        <v>-1.4604304419209948</v>
      </c>
    </row>
    <row r="184" spans="1:4" x14ac:dyDescent="0.3">
      <c r="A184" s="53">
        <v>10.830924779187633</v>
      </c>
      <c r="B184" s="53">
        <f t="shared" si="16"/>
        <v>0.94862743788402337</v>
      </c>
      <c r="C184" s="53">
        <f t="shared" si="17"/>
        <v>26.553280762199901</v>
      </c>
      <c r="D184" s="53">
        <f t="shared" si="18"/>
        <v>-1.5113502418116491</v>
      </c>
    </row>
    <row r="185" spans="1:4" x14ac:dyDescent="0.3">
      <c r="A185" s="53">
        <v>10.830924779187633</v>
      </c>
      <c r="B185" s="53">
        <f t="shared" si="16"/>
        <v>0.94862743788402337</v>
      </c>
      <c r="C185" s="53">
        <f t="shared" si="17"/>
        <v>25.189170696860813</v>
      </c>
      <c r="D185" s="53">
        <f t="shared" si="18"/>
        <v>-1.5531839999381156</v>
      </c>
    </row>
    <row r="186" spans="1:4" x14ac:dyDescent="0.3">
      <c r="A186" s="53">
        <v>10.830924779187633</v>
      </c>
      <c r="B186" s="53">
        <f t="shared" si="16"/>
        <v>0.94862743788402337</v>
      </c>
      <c r="C186" s="53">
        <f t="shared" si="17"/>
        <v>23.895138460586395</v>
      </c>
      <c r="D186" s="53">
        <f t="shared" si="18"/>
        <v>-1.5867308783025043</v>
      </c>
    </row>
    <row r="187" spans="1:4" x14ac:dyDescent="0.3">
      <c r="A187" s="53">
        <v>10.830924779187633</v>
      </c>
      <c r="B187" s="53">
        <f t="shared" si="16"/>
        <v>0.94862743788402337</v>
      </c>
      <c r="C187" s="53">
        <f t="shared" si="17"/>
        <v>22.667583975750059</v>
      </c>
      <c r="D187" s="53">
        <f t="shared" si="18"/>
        <v>-1.6127319082452545</v>
      </c>
    </row>
    <row r="188" spans="1:4" x14ac:dyDescent="0.3">
      <c r="A188" s="53">
        <v>10.830924779187633</v>
      </c>
      <c r="B188" s="53">
        <f t="shared" si="16"/>
        <v>0.94862743788402337</v>
      </c>
      <c r="C188" s="53">
        <f t="shared" si="17"/>
        <v>21.503092109936723</v>
      </c>
      <c r="D188" s="53">
        <f t="shared" si="18"/>
        <v>-1.6318738539866746</v>
      </c>
    </row>
    <row r="189" spans="1:4" x14ac:dyDescent="0.3">
      <c r="A189" s="53">
        <v>10.830924779187633</v>
      </c>
      <c r="B189" s="53">
        <f t="shared" si="16"/>
        <v>0.94862743788402337</v>
      </c>
      <c r="C189" s="53">
        <f t="shared" si="17"/>
        <v>20.398423174833429</v>
      </c>
      <c r="D189" s="53">
        <f t="shared" si="18"/>
        <v>-1.6447928326233876</v>
      </c>
    </row>
    <row r="190" spans="1:4" x14ac:dyDescent="0.3">
      <c r="A190" s="53">
        <v>10.830924779187633</v>
      </c>
      <c r="B190" s="53">
        <f t="shared" si="16"/>
        <v>0.94862743788402337</v>
      </c>
      <c r="C190" s="53">
        <f t="shared" si="17"/>
        <v>19.350503913216325</v>
      </c>
      <c r="D190" s="53">
        <f t="shared" si="18"/>
        <v>-1.6520777054063254</v>
      </c>
    </row>
    <row r="191" spans="1:4" x14ac:dyDescent="0.3">
      <c r="A191" s="53">
        <v>10.830924779187633</v>
      </c>
      <c r="B191" s="53">
        <f t="shared" si="16"/>
        <v>0.94862743788402337</v>
      </c>
      <c r="C191" s="53">
        <f t="shared" si="17"/>
        <v>18.35641894895917</v>
      </c>
      <c r="D191" s="53">
        <f t="shared" si="18"/>
        <v>-1.6542732542463032</v>
      </c>
    </row>
    <row r="192" spans="1:4" x14ac:dyDescent="0.3">
      <c r="A192" s="53">
        <v>10.830924779187633</v>
      </c>
      <c r="B192" s="53">
        <f t="shared" si="16"/>
        <v>0.94862743788402337</v>
      </c>
      <c r="C192" s="53">
        <f t="shared" si="17"/>
        <v>365.68145620181434</v>
      </c>
      <c r="D192" s="53">
        <f t="shared" si="18"/>
        <v>-34.689546287842589</v>
      </c>
    </row>
    <row r="193" spans="1:4" x14ac:dyDescent="0.3">
      <c r="A193" s="53"/>
      <c r="B193" s="53" t="s">
        <v>52</v>
      </c>
      <c r="C193" s="53">
        <f>SUM(C173:C192)</f>
        <v>950.00055537691333</v>
      </c>
      <c r="D193" s="53">
        <f>SUM(D173:D192)</f>
        <v>-58.091467498936993</v>
      </c>
    </row>
    <row r="195" spans="1:4" x14ac:dyDescent="0.3">
      <c r="A195" t="s">
        <v>61</v>
      </c>
      <c r="B195">
        <f>A173+(B58-C193)/D193</f>
        <v>10.830934339574679</v>
      </c>
    </row>
    <row r="196" spans="1:4" x14ac:dyDescent="0.3">
      <c r="A196" s="13"/>
      <c r="B196" s="13"/>
      <c r="C196" s="13"/>
    </row>
    <row r="197" spans="1:4" x14ac:dyDescent="0.3">
      <c r="A197" s="13" t="s">
        <v>51</v>
      </c>
      <c r="B197" s="13">
        <f>A173</f>
        <v>10.830924779187633</v>
      </c>
      <c r="C197" s="13"/>
    </row>
    <row r="198" spans="1:4" x14ac:dyDescent="0.3">
      <c r="A198" s="13"/>
      <c r="B198" s="13"/>
      <c r="C198" s="13"/>
    </row>
  </sheetData>
  <mergeCells count="2">
    <mergeCell ref="D29:I30"/>
    <mergeCell ref="D32:I3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7D4E-B98E-40E0-8A20-6CBA9666021A}">
  <dimension ref="A1:AH90"/>
  <sheetViews>
    <sheetView workbookViewId="0">
      <selection activeCell="B17" sqref="B17"/>
    </sheetView>
  </sheetViews>
  <sheetFormatPr defaultRowHeight="14.4" x14ac:dyDescent="0.3"/>
  <cols>
    <col min="1" max="1" width="30.6640625" bestFit="1" customWidth="1"/>
    <col min="2" max="2" width="9.88671875" bestFit="1" customWidth="1"/>
    <col min="3" max="3" width="11.88671875" bestFit="1" customWidth="1"/>
    <col min="4" max="4" width="17.33203125" bestFit="1" customWidth="1"/>
  </cols>
  <sheetData>
    <row r="1" spans="1:4" x14ac:dyDescent="0.3">
      <c r="A1" s="61" t="s">
        <v>110</v>
      </c>
      <c r="B1" s="91">
        <v>44308</v>
      </c>
      <c r="C1" s="63"/>
      <c r="D1" s="64"/>
    </row>
    <row r="2" spans="1:4" x14ac:dyDescent="0.3">
      <c r="A2" s="61" t="s">
        <v>111</v>
      </c>
      <c r="B2" s="91">
        <v>45425</v>
      </c>
      <c r="C2" s="65"/>
      <c r="D2" s="65"/>
    </row>
    <row r="3" spans="1:4" x14ac:dyDescent="0.3">
      <c r="A3" s="61" t="s">
        <v>113</v>
      </c>
      <c r="B3" s="91">
        <v>55631</v>
      </c>
      <c r="C3" s="65"/>
      <c r="D3" s="65"/>
    </row>
    <row r="4" spans="1:4" x14ac:dyDescent="0.3">
      <c r="A4" s="61" t="s">
        <v>114</v>
      </c>
      <c r="B4" s="91">
        <v>44491</v>
      </c>
      <c r="C4" s="65"/>
      <c r="D4" s="65"/>
    </row>
    <row r="5" spans="1:4" x14ac:dyDescent="0.3">
      <c r="A5" s="61" t="s">
        <v>115</v>
      </c>
      <c r="B5" s="91">
        <v>55540</v>
      </c>
      <c r="C5" s="65"/>
      <c r="D5" s="65"/>
    </row>
    <row r="6" spans="1:4" x14ac:dyDescent="0.3">
      <c r="A6" s="61" t="s">
        <v>116</v>
      </c>
      <c r="B6">
        <v>70.799000000000007</v>
      </c>
      <c r="C6" s="65"/>
      <c r="D6" s="65"/>
    </row>
    <row r="7" spans="1:4" x14ac:dyDescent="0.3">
      <c r="A7" s="61" t="s">
        <v>4</v>
      </c>
      <c r="B7" s="65">
        <v>100</v>
      </c>
      <c r="C7" s="65"/>
      <c r="D7" s="65"/>
    </row>
    <row r="8" spans="1:4" x14ac:dyDescent="0.3">
      <c r="A8" s="65"/>
      <c r="B8" s="61" t="s">
        <v>117</v>
      </c>
      <c r="C8" s="61" t="s">
        <v>118</v>
      </c>
    </row>
    <row r="9" spans="1:4" x14ac:dyDescent="0.3">
      <c r="A9" s="61" t="s">
        <v>119</v>
      </c>
      <c r="B9" s="65" t="s">
        <v>44</v>
      </c>
      <c r="C9" s="65" t="s">
        <v>120</v>
      </c>
      <c r="D9" s="65"/>
    </row>
    <row r="10" spans="1:4" x14ac:dyDescent="0.3">
      <c r="A10" s="61" t="s">
        <v>121</v>
      </c>
      <c r="B10" s="65">
        <v>2</v>
      </c>
      <c r="C10" s="65">
        <v>4</v>
      </c>
      <c r="D10" s="65"/>
    </row>
    <row r="11" spans="1:4" x14ac:dyDescent="0.3">
      <c r="A11" s="61" t="s">
        <v>122</v>
      </c>
      <c r="B11" s="62">
        <v>44308</v>
      </c>
      <c r="C11" s="62">
        <v>55265</v>
      </c>
      <c r="D11" s="65"/>
    </row>
    <row r="12" spans="1:4" x14ac:dyDescent="0.3">
      <c r="A12" s="61" t="s">
        <v>123</v>
      </c>
      <c r="B12" s="62">
        <v>55264</v>
      </c>
      <c r="C12" s="62">
        <v>55630</v>
      </c>
      <c r="D12" s="65"/>
    </row>
    <row r="13" spans="1:4" x14ac:dyDescent="0.3">
      <c r="A13" s="61" t="s">
        <v>192</v>
      </c>
      <c r="B13" s="62"/>
      <c r="C13">
        <v>5.31</v>
      </c>
      <c r="D13" s="65"/>
    </row>
    <row r="14" spans="1:4" x14ac:dyDescent="0.3">
      <c r="A14" s="61" t="s">
        <v>193</v>
      </c>
      <c r="B14" s="62"/>
      <c r="C14">
        <v>1.58</v>
      </c>
      <c r="D14" s="65"/>
    </row>
    <row r="15" spans="1:4" x14ac:dyDescent="0.3">
      <c r="A15" s="61" t="s">
        <v>124</v>
      </c>
      <c r="B15">
        <v>3.3279999999999998</v>
      </c>
      <c r="C15">
        <f>C13+C14</f>
        <v>6.89</v>
      </c>
      <c r="D15" s="65"/>
    </row>
    <row r="17" spans="1:34" x14ac:dyDescent="0.3">
      <c r="A17" s="61" t="s">
        <v>222</v>
      </c>
      <c r="B17" s="18">
        <f>(DATEDIF(A31,B2,"md")+DATEDIF(A31,B2,"ym")*30+DATEDIF(A31,B2,"y")*360)</f>
        <v>21</v>
      </c>
      <c r="C17" s="18"/>
    </row>
    <row r="18" spans="1:34" x14ac:dyDescent="0.3">
      <c r="A18" s="61" t="s">
        <v>140</v>
      </c>
      <c r="B18" s="18">
        <f>B17/360</f>
        <v>5.8333333333333334E-2</v>
      </c>
      <c r="C18" s="18"/>
    </row>
    <row r="19" spans="1:34" x14ac:dyDescent="0.3">
      <c r="A19" s="61" t="s">
        <v>125</v>
      </c>
      <c r="B19" s="18">
        <f>B18*B15</f>
        <v>0.19413333333333332</v>
      </c>
      <c r="C19" s="18"/>
    </row>
    <row r="20" spans="1:34" x14ac:dyDescent="0.3">
      <c r="A20" s="61" t="s">
        <v>126</v>
      </c>
      <c r="B20" s="18">
        <f>B19+B6</f>
        <v>70.993133333333347</v>
      </c>
    </row>
    <row r="21" spans="1:34" x14ac:dyDescent="0.3">
      <c r="A21" s="61" t="s">
        <v>128</v>
      </c>
      <c r="B21" s="18">
        <f>AF24</f>
        <v>5.3633989174056058</v>
      </c>
    </row>
    <row r="22" spans="1:34" x14ac:dyDescent="0.3">
      <c r="A22" s="61" t="s">
        <v>130</v>
      </c>
      <c r="B22" s="65"/>
    </row>
    <row r="23" spans="1:34" x14ac:dyDescent="0.3">
      <c r="A23" s="18"/>
    </row>
    <row r="24" spans="1:34" x14ac:dyDescent="0.3">
      <c r="A24" s="61" t="s">
        <v>90</v>
      </c>
      <c r="F24" t="s">
        <v>131</v>
      </c>
      <c r="G24">
        <f>0</f>
        <v>0</v>
      </c>
      <c r="K24" t="s">
        <v>53</v>
      </c>
      <c r="L24">
        <f>G24+(B20-H90)/I90</f>
        <v>2.9538123500241906</v>
      </c>
      <c r="P24" t="s">
        <v>55</v>
      </c>
      <c r="Q24">
        <f>L24+(B20-M90)/N90</f>
        <v>4.7850038424555041</v>
      </c>
      <c r="U24" t="s">
        <v>57</v>
      </c>
      <c r="V24">
        <f>Q24+(B20-R90)/S90</f>
        <v>5.3262728248005473</v>
      </c>
      <c r="Z24" t="s">
        <v>59</v>
      </c>
      <c r="AA24">
        <f>V24+(B20-W90)/X90</f>
        <v>5.3632410467402742</v>
      </c>
      <c r="AE24" s="13" t="s">
        <v>61</v>
      </c>
      <c r="AF24" s="13">
        <f>AA24+(B20-AB90)/AC90</f>
        <v>5.3633989174056058</v>
      </c>
    </row>
    <row r="25" spans="1:34" x14ac:dyDescent="0.3">
      <c r="A25" s="61" t="s">
        <v>132</v>
      </c>
      <c r="B25" s="66" t="s">
        <v>133</v>
      </c>
      <c r="C25" s="66" t="s">
        <v>134</v>
      </c>
      <c r="D25" s="66" t="s">
        <v>135</v>
      </c>
      <c r="F25" s="70" t="s">
        <v>136</v>
      </c>
      <c r="G25" s="70" t="s">
        <v>48</v>
      </c>
      <c r="H25" s="70" t="s">
        <v>49</v>
      </c>
      <c r="I25" s="70" t="s">
        <v>50</v>
      </c>
      <c r="K25" s="70" t="s">
        <v>136</v>
      </c>
      <c r="L25" s="70" t="s">
        <v>48</v>
      </c>
      <c r="M25" s="70" t="s">
        <v>49</v>
      </c>
      <c r="N25" s="70" t="s">
        <v>50</v>
      </c>
      <c r="P25" s="70" t="s">
        <v>136</v>
      </c>
      <c r="Q25" s="70" t="s">
        <v>48</v>
      </c>
      <c r="R25" s="70" t="s">
        <v>49</v>
      </c>
      <c r="S25" s="70" t="s">
        <v>50</v>
      </c>
      <c r="U25" s="70" t="s">
        <v>136</v>
      </c>
      <c r="V25" s="70" t="s">
        <v>48</v>
      </c>
      <c r="W25" s="70" t="s">
        <v>49</v>
      </c>
      <c r="X25" s="70" t="s">
        <v>50</v>
      </c>
      <c r="Z25" s="70" t="s">
        <v>136</v>
      </c>
      <c r="AA25" s="70" t="s">
        <v>48</v>
      </c>
      <c r="AB25" s="70" t="s">
        <v>49</v>
      </c>
      <c r="AC25" s="70" t="s">
        <v>50</v>
      </c>
      <c r="AE25" s="70" t="s">
        <v>136</v>
      </c>
      <c r="AF25" s="70" t="s">
        <v>48</v>
      </c>
      <c r="AG25" s="70" t="s">
        <v>49</v>
      </c>
      <c r="AH25" s="70" t="s">
        <v>50</v>
      </c>
    </row>
    <row r="26" spans="1:34" x14ac:dyDescent="0.3">
      <c r="A26" s="91">
        <f>B4</f>
        <v>44491</v>
      </c>
    </row>
    <row r="27" spans="1:34" x14ac:dyDescent="0.3">
      <c r="A27" s="91">
        <f>EDATE(A26,6)</f>
        <v>44673</v>
      </c>
    </row>
    <row r="28" spans="1:34" x14ac:dyDescent="0.3">
      <c r="A28" s="91">
        <f t="shared" ref="A28:A85" si="0">EDATE(A27,6)</f>
        <v>44856</v>
      </c>
    </row>
    <row r="29" spans="1:34" x14ac:dyDescent="0.3">
      <c r="A29" s="91">
        <f t="shared" si="0"/>
        <v>45038</v>
      </c>
    </row>
    <row r="30" spans="1:34" x14ac:dyDescent="0.3">
      <c r="A30" s="91">
        <f t="shared" si="0"/>
        <v>45221</v>
      </c>
    </row>
    <row r="31" spans="1:34" x14ac:dyDescent="0.3">
      <c r="A31" s="91">
        <f t="shared" si="0"/>
        <v>45404</v>
      </c>
    </row>
    <row r="32" spans="1:34" x14ac:dyDescent="0.3">
      <c r="A32" s="91">
        <f t="shared" si="0"/>
        <v>45587</v>
      </c>
      <c r="B32">
        <v>1.6639999999999999</v>
      </c>
      <c r="C32">
        <f>(DATEDIF(B2,A32,"md")+DATEDIF(B2,A32,"ym")*30+DATEDIF(B2,A32,"y")*360)/360</f>
        <v>0.44166666666666665</v>
      </c>
      <c r="D32">
        <v>2</v>
      </c>
      <c r="F32">
        <f>0</f>
        <v>0</v>
      </c>
      <c r="G32">
        <f t="shared" ref="G32" si="1">1/(1+F32/(100*D32))</f>
        <v>1</v>
      </c>
      <c r="H32">
        <f t="shared" ref="H32" si="2">B32*POWER(G32,C32*D32)</f>
        <v>1.6639999999999999</v>
      </c>
      <c r="I32">
        <f t="shared" ref="I32" si="3">-1*0.01*H32*G32*C32</f>
        <v>-7.3493333333333327E-3</v>
      </c>
      <c r="K32">
        <v>2.9538123500241906</v>
      </c>
      <c r="L32">
        <f t="shared" ref="L32" si="4">1/(1+K32/(100*D32))</f>
        <v>0.98544588881666373</v>
      </c>
      <c r="M32">
        <f t="shared" ref="M32" si="5">B32*POWER(L32,C32*D32)</f>
        <v>1.6425891358511806</v>
      </c>
      <c r="N32">
        <f t="shared" ref="N32" si="6">-1*0.01*M32*L32*C32</f>
        <v>-7.1491819733159583E-3</v>
      </c>
      <c r="P32">
        <v>4.7850038424555041</v>
      </c>
      <c r="Q32">
        <f t="shared" ref="Q32" si="7">1/(1+P32/(100*D32))</f>
        <v>0.97663401248786419</v>
      </c>
      <c r="R32">
        <f t="shared" ref="R32" si="8">B32*POWER(Q32,C32*D32)</f>
        <v>1.6296078889409131</v>
      </c>
      <c r="S32">
        <f t="shared" ref="S32" si="9">-1*0.01*R32*Q32*C32</f>
        <v>-7.0292596701655666E-3</v>
      </c>
      <c r="U32">
        <v>5.3262728248005473</v>
      </c>
      <c r="V32">
        <f t="shared" ref="V32" si="10">1/(1+U32/(100*D32))</f>
        <v>0.97405946763887674</v>
      </c>
      <c r="W32">
        <f t="shared" ref="W32" si="11">B32*POWER(V32,C32*D32)</f>
        <v>1.6258126143896867</v>
      </c>
      <c r="X32">
        <f t="shared" ref="X32" si="12">-1*0.01*W32*V32*C32</f>
        <v>-6.9944019159673661E-3</v>
      </c>
      <c r="Z32">
        <v>5.3632410467402742</v>
      </c>
      <c r="AA32">
        <f t="shared" ref="AA32" si="13">1/(1+Z32/(100*D32))</f>
        <v>0.97388412347115416</v>
      </c>
      <c r="AB32">
        <f t="shared" ref="AB32" si="14">B32*POWER(AA32,C32*D32)</f>
        <v>1.6255540876187113</v>
      </c>
      <c r="AC32">
        <f t="shared" ref="AC32" si="15">-1*0.01*AB32*AA32*C32</f>
        <v>-6.9920308201751272E-3</v>
      </c>
      <c r="AE32">
        <v>5.3633989174056058</v>
      </c>
      <c r="AF32">
        <f t="shared" ref="AF32" si="16">1/(1+AE32/(100*D32))</f>
        <v>0.97388337480934128</v>
      </c>
      <c r="AG32">
        <f t="shared" ref="AG32" si="17">B32*POWER(AF32,C32*D32)</f>
        <v>1.6255529837829528</v>
      </c>
      <c r="AH32">
        <f t="shared" ref="AH32" si="18">-1*0.01*AG32*AF32*C32</f>
        <v>-6.992020697185887E-3</v>
      </c>
    </row>
    <row r="33" spans="1:34" x14ac:dyDescent="0.3">
      <c r="A33" s="91">
        <f t="shared" si="0"/>
        <v>45769</v>
      </c>
      <c r="B33">
        <v>1.6639999999999999</v>
      </c>
      <c r="C33">
        <f>C32+DATEDIF(A32,A33,"ym")/12</f>
        <v>0.94166666666666665</v>
      </c>
      <c r="D33">
        <v>2</v>
      </c>
      <c r="F33">
        <f>0</f>
        <v>0</v>
      </c>
      <c r="G33">
        <f>1/(1+F33/(100*D33))</f>
        <v>1</v>
      </c>
      <c r="H33">
        <f t="shared" ref="H33:H89" si="19">B33*POWER(G33,C33*D33)</f>
        <v>1.6639999999999999</v>
      </c>
      <c r="I33">
        <f t="shared" ref="I33:I89" si="20">-1*0.01*H33*G33*C33</f>
        <v>-1.566933333333333E-2</v>
      </c>
      <c r="K33">
        <v>2.9538123500241906</v>
      </c>
      <c r="L33">
        <f t="shared" ref="L33:L89" si="21">1/(1+K33/(100*D33))</f>
        <v>0.98544588881666373</v>
      </c>
      <c r="M33">
        <f t="shared" ref="M33:M89" si="22">B33*POWER(L33,C33*D33)</f>
        <v>1.6186827109394621</v>
      </c>
      <c r="N33">
        <f t="shared" ref="N33:N89" si="23">-1*0.01*M33*L33*C33</f>
        <v>-1.5020753097975939E-2</v>
      </c>
      <c r="P33">
        <v>4.7850038424555041</v>
      </c>
      <c r="Q33">
        <f t="shared" ref="Q33:Q89" si="24">1/(1+P33/(100*D33))</f>
        <v>0.97663401248786419</v>
      </c>
      <c r="R33">
        <f t="shared" ref="R33:R89" si="25">B33*POWER(Q33,C33*D33)</f>
        <v>1.5915304913582418</v>
      </c>
      <c r="S33">
        <f t="shared" ref="S33:S89" si="26">-1*0.01*R33*Q33*C33</f>
        <v>-1.4636728125352827E-2</v>
      </c>
      <c r="U33">
        <v>5.3262728248005473</v>
      </c>
      <c r="V33">
        <f t="shared" ref="V33:V89" si="27">1/(1+U33/(100*D33))</f>
        <v>0.97405946763887674</v>
      </c>
      <c r="W33">
        <f t="shared" ref="W33:W89" si="28">B33*POWER(V33,C33*D33)</f>
        <v>1.5836381696529889</v>
      </c>
      <c r="X33">
        <f t="shared" ref="X33:X89" si="29">-1*0.01*W33*V33*C33</f>
        <v>-1.4525752169043492E-2</v>
      </c>
      <c r="Z33">
        <v>5.3632410467402742</v>
      </c>
      <c r="AA33">
        <f t="shared" ref="AA33:AA89" si="30">1/(1+Z33/(100*D33))</f>
        <v>0.97388412347115416</v>
      </c>
      <c r="AB33">
        <f t="shared" ref="AB33:AB89" si="31">B33*POWER(AA33,C33*D33)</f>
        <v>1.5831013177755002</v>
      </c>
      <c r="AC33">
        <f t="shared" ref="AC33:AC89" si="32">-1*0.01*AB33*AA33*C33</f>
        <v>-1.4518214002728657E-2</v>
      </c>
      <c r="AE33">
        <v>5.3633989174056058</v>
      </c>
      <c r="AF33">
        <f t="shared" ref="AF33:AF89" si="33">1/(1+AE33/(100*D33))</f>
        <v>0.97388337480934128</v>
      </c>
      <c r="AG33">
        <f t="shared" ref="AG33:AG89" si="34">B33*POWER(AF33,C33*D33)</f>
        <v>1.5830990257779365</v>
      </c>
      <c r="AH33">
        <f t="shared" ref="AH33:AH89" si="35">-1*0.01*AG33*AF33*C33</f>
        <v>-1.4518181822722138E-2</v>
      </c>
    </row>
    <row r="34" spans="1:34" x14ac:dyDescent="0.3">
      <c r="A34" s="91">
        <f t="shared" si="0"/>
        <v>45952</v>
      </c>
      <c r="B34">
        <v>1.6639999999999999</v>
      </c>
      <c r="C34">
        <f t="shared" ref="C34:C85" si="36">C33+DATEDIF(A33,A34,"ym")/12</f>
        <v>1.4416666666666667</v>
      </c>
      <c r="D34">
        <v>2</v>
      </c>
      <c r="F34">
        <f>0</f>
        <v>0</v>
      </c>
      <c r="G34">
        <f t="shared" ref="G34:G89" si="37">1/(1+F34/(100*D34))</f>
        <v>1</v>
      </c>
      <c r="H34">
        <f t="shared" si="19"/>
        <v>1.6639999999999999</v>
      </c>
      <c r="I34">
        <f t="shared" si="20"/>
        <v>-2.3989333333333331E-2</v>
      </c>
      <c r="K34">
        <v>2.9538123500241906</v>
      </c>
      <c r="L34">
        <f t="shared" si="21"/>
        <v>0.98544588881666373</v>
      </c>
      <c r="M34">
        <f t="shared" si="22"/>
        <v>1.5951242227939051</v>
      </c>
      <c r="N34">
        <f t="shared" si="23"/>
        <v>-2.2661682424851202E-2</v>
      </c>
      <c r="P34">
        <v>4.7850038424555041</v>
      </c>
      <c r="Q34">
        <f t="shared" si="24"/>
        <v>0.97663401248786419</v>
      </c>
      <c r="R34">
        <f t="shared" si="25"/>
        <v>1.5543428097719818</v>
      </c>
      <c r="S34">
        <f t="shared" si="26"/>
        <v>-2.1884846794203664E-2</v>
      </c>
      <c r="U34">
        <v>5.3262728248005473</v>
      </c>
      <c r="V34">
        <f t="shared" si="27"/>
        <v>0.97405946763887674</v>
      </c>
      <c r="W34">
        <f t="shared" si="28"/>
        <v>1.5425577524647953</v>
      </c>
      <c r="X34">
        <f t="shared" si="29"/>
        <v>-2.1661661340673165E-2</v>
      </c>
      <c r="Z34">
        <v>5.3632410467402742</v>
      </c>
      <c r="AA34">
        <f t="shared" si="30"/>
        <v>0.97388412347115416</v>
      </c>
      <c r="AB34">
        <f t="shared" si="31"/>
        <v>1.5417572392278223</v>
      </c>
      <c r="AC34">
        <f t="shared" si="32"/>
        <v>-2.164652260606751E-2</v>
      </c>
      <c r="AE34">
        <v>5.3633989174056058</v>
      </c>
      <c r="AF34">
        <f t="shared" si="33"/>
        <v>0.97388337480934128</v>
      </c>
      <c r="AG34">
        <f t="shared" si="34"/>
        <v>1.5417538218819971</v>
      </c>
      <c r="AH34">
        <f t="shared" si="35"/>
        <v>-2.1646457985506469E-2</v>
      </c>
    </row>
    <row r="35" spans="1:34" x14ac:dyDescent="0.3">
      <c r="A35" s="91">
        <f t="shared" si="0"/>
        <v>46134</v>
      </c>
      <c r="B35">
        <v>1.6639999999999999</v>
      </c>
      <c r="C35">
        <f t="shared" si="36"/>
        <v>1.9416666666666667</v>
      </c>
      <c r="D35">
        <v>2</v>
      </c>
      <c r="F35">
        <f>0</f>
        <v>0</v>
      </c>
      <c r="G35">
        <f t="shared" si="37"/>
        <v>1</v>
      </c>
      <c r="H35">
        <f t="shared" si="19"/>
        <v>1.6639999999999999</v>
      </c>
      <c r="I35">
        <f t="shared" si="20"/>
        <v>-3.2309333333333329E-2</v>
      </c>
      <c r="K35">
        <v>2.9538123500241906</v>
      </c>
      <c r="L35">
        <f t="shared" si="21"/>
        <v>0.98544588881666373</v>
      </c>
      <c r="M35">
        <f t="shared" si="22"/>
        <v>1.5719086075041298</v>
      </c>
      <c r="N35">
        <f t="shared" si="23"/>
        <v>-3.0077016153540817E-2</v>
      </c>
      <c r="P35">
        <v>4.7850038424555041</v>
      </c>
      <c r="Q35">
        <f t="shared" si="24"/>
        <v>0.97663401248786419</v>
      </c>
      <c r="R35">
        <f t="shared" si="25"/>
        <v>1.5180240550892716</v>
      </c>
      <c r="S35">
        <f t="shared" si="26"/>
        <v>-2.8786255357179966E-2</v>
      </c>
      <c r="U35">
        <v>5.3262728248005473</v>
      </c>
      <c r="V35">
        <f t="shared" si="27"/>
        <v>0.97405946763887674</v>
      </c>
      <c r="W35">
        <f t="shared" si="28"/>
        <v>1.5025429831680808</v>
      </c>
      <c r="X35">
        <f t="shared" si="29"/>
        <v>-2.8417577405115892E-2</v>
      </c>
      <c r="Z35">
        <v>5.3632410467402742</v>
      </c>
      <c r="AA35">
        <f t="shared" si="30"/>
        <v>0.97388412347115416</v>
      </c>
      <c r="AB35">
        <f t="shared" si="31"/>
        <v>1.5014928975306943</v>
      </c>
      <c r="AC35">
        <f t="shared" si="32"/>
        <v>-2.8392605166457797E-2</v>
      </c>
      <c r="AE35">
        <v>5.3633989174056058</v>
      </c>
      <c r="AF35">
        <f t="shared" si="33"/>
        <v>0.97388337480934128</v>
      </c>
      <c r="AG35">
        <f t="shared" si="34"/>
        <v>1.5014884151796395</v>
      </c>
      <c r="AH35">
        <f t="shared" si="35"/>
        <v>-2.839249858065504E-2</v>
      </c>
    </row>
    <row r="36" spans="1:34" x14ac:dyDescent="0.3">
      <c r="A36" s="91">
        <f t="shared" si="0"/>
        <v>46317</v>
      </c>
      <c r="B36">
        <v>1.6639999999999999</v>
      </c>
      <c r="C36">
        <f t="shared" si="36"/>
        <v>2.4416666666666664</v>
      </c>
      <c r="D36">
        <v>2</v>
      </c>
      <c r="F36">
        <f>0</f>
        <v>0</v>
      </c>
      <c r="G36">
        <f t="shared" si="37"/>
        <v>1</v>
      </c>
      <c r="H36">
        <f t="shared" si="19"/>
        <v>1.6639999999999999</v>
      </c>
      <c r="I36">
        <f t="shared" si="20"/>
        <v>-4.0629333333333323E-2</v>
      </c>
      <c r="K36">
        <v>2.9538123500241906</v>
      </c>
      <c r="L36">
        <f t="shared" si="21"/>
        <v>0.98544588881666373</v>
      </c>
      <c r="M36">
        <f t="shared" si="22"/>
        <v>1.5490308748604713</v>
      </c>
      <c r="N36">
        <f t="shared" si="23"/>
        <v>-3.727170245278584E-2</v>
      </c>
      <c r="P36">
        <v>4.7850038424555041</v>
      </c>
      <c r="Q36">
        <f t="shared" si="24"/>
        <v>0.97663401248786419</v>
      </c>
      <c r="R36">
        <f t="shared" si="25"/>
        <v>1.4825539239749339</v>
      </c>
      <c r="S36">
        <f t="shared" si="26"/>
        <v>-3.5353199011489277E-2</v>
      </c>
      <c r="U36">
        <v>5.3262728248005473</v>
      </c>
      <c r="V36">
        <f t="shared" si="27"/>
        <v>0.97405946763887674</v>
      </c>
      <c r="W36">
        <f t="shared" si="28"/>
        <v>1.4635662182892306</v>
      </c>
      <c r="X36">
        <f t="shared" si="29"/>
        <v>-3.4808412976019019E-2</v>
      </c>
      <c r="Z36">
        <v>5.3632410467402742</v>
      </c>
      <c r="AA36">
        <f t="shared" si="30"/>
        <v>0.97388412347115416</v>
      </c>
      <c r="AB36">
        <f t="shared" si="31"/>
        <v>1.4622800944098435</v>
      </c>
      <c r="AC36">
        <f t="shared" si="32"/>
        <v>-3.4771564235666547E-2</v>
      </c>
      <c r="AE36">
        <v>5.3633989174056058</v>
      </c>
      <c r="AF36">
        <f t="shared" si="33"/>
        <v>0.97388337480934128</v>
      </c>
      <c r="AG36">
        <f t="shared" si="34"/>
        <v>1.4622746050122766</v>
      </c>
      <c r="AH36">
        <f t="shared" si="35"/>
        <v>-3.4771406973134522E-2</v>
      </c>
    </row>
    <row r="37" spans="1:34" x14ac:dyDescent="0.3">
      <c r="A37" s="91">
        <f t="shared" si="0"/>
        <v>46499</v>
      </c>
      <c r="B37">
        <v>1.6639999999999999</v>
      </c>
      <c r="C37">
        <f t="shared" si="36"/>
        <v>2.9416666666666664</v>
      </c>
      <c r="D37">
        <v>2</v>
      </c>
      <c r="F37">
        <f>0</f>
        <v>0</v>
      </c>
      <c r="G37">
        <f t="shared" si="37"/>
        <v>1</v>
      </c>
      <c r="H37">
        <f t="shared" si="19"/>
        <v>1.6639999999999999</v>
      </c>
      <c r="I37">
        <f t="shared" si="20"/>
        <v>-4.8949333333333324E-2</v>
      </c>
      <c r="K37">
        <v>2.9538123500241906</v>
      </c>
      <c r="L37">
        <f t="shared" si="21"/>
        <v>0.98544588881666373</v>
      </c>
      <c r="M37">
        <f t="shared" si="22"/>
        <v>1.5264861072813314</v>
      </c>
      <c r="N37">
        <f t="shared" si="23"/>
        <v>-4.4250593245076464E-2</v>
      </c>
      <c r="P37">
        <v>4.7850038424555041</v>
      </c>
      <c r="Q37">
        <f t="shared" si="24"/>
        <v>0.97663401248786419</v>
      </c>
      <c r="R37">
        <f t="shared" si="25"/>
        <v>1.4479125875012677</v>
      </c>
      <c r="S37">
        <f t="shared" si="26"/>
        <v>-4.1597540005188019E-2</v>
      </c>
      <c r="U37">
        <v>5.3262728248005473</v>
      </c>
      <c r="V37">
        <f t="shared" si="27"/>
        <v>0.97405946763887674</v>
      </c>
      <c r="W37">
        <f t="shared" si="28"/>
        <v>1.425600531441052</v>
      </c>
      <c r="X37">
        <f t="shared" si="29"/>
        <v>-4.084856268638111E-2</v>
      </c>
      <c r="Z37">
        <v>5.3632410467402742</v>
      </c>
      <c r="AA37">
        <f t="shared" si="30"/>
        <v>0.97388412347115416</v>
      </c>
      <c r="AB37">
        <f t="shared" si="31"/>
        <v>1.4240913680136471</v>
      </c>
      <c r="AC37">
        <f t="shared" si="32"/>
        <v>-4.0797974225777085E-2</v>
      </c>
      <c r="AE37">
        <v>5.3633989174056058</v>
      </c>
      <c r="AF37">
        <f t="shared" si="33"/>
        <v>0.97388337480934128</v>
      </c>
      <c r="AG37">
        <f t="shared" si="34"/>
        <v>1.4240849272273524</v>
      </c>
      <c r="AH37">
        <f t="shared" si="35"/>
        <v>-4.0797758344581748E-2</v>
      </c>
    </row>
    <row r="38" spans="1:34" x14ac:dyDescent="0.3">
      <c r="A38" s="91">
        <f t="shared" si="0"/>
        <v>46682</v>
      </c>
      <c r="B38">
        <v>1.6639999999999999</v>
      </c>
      <c r="C38">
        <f t="shared" si="36"/>
        <v>3.4416666666666664</v>
      </c>
      <c r="D38">
        <v>2</v>
      </c>
      <c r="F38">
        <f>0</f>
        <v>0</v>
      </c>
      <c r="G38">
        <f t="shared" si="37"/>
        <v>1</v>
      </c>
      <c r="H38">
        <f t="shared" si="19"/>
        <v>1.6639999999999999</v>
      </c>
      <c r="I38">
        <f t="shared" si="20"/>
        <v>-5.7269333333333325E-2</v>
      </c>
      <c r="K38">
        <v>2.9538123500241906</v>
      </c>
      <c r="L38">
        <f t="shared" si="21"/>
        <v>0.98544588881666373</v>
      </c>
      <c r="M38">
        <f t="shared" si="22"/>
        <v>1.5042694587561407</v>
      </c>
      <c r="N38">
        <f t="shared" si="23"/>
        <v>-5.1018445960077576E-2</v>
      </c>
      <c r="P38">
        <v>4.7850038424555041</v>
      </c>
      <c r="Q38">
        <f t="shared" si="24"/>
        <v>0.97663401248786419</v>
      </c>
      <c r="R38">
        <f t="shared" si="25"/>
        <v>1.4140806800630488</v>
      </c>
      <c r="S38">
        <f t="shared" si="26"/>
        <v>-4.7530768847648938E-2</v>
      </c>
      <c r="U38">
        <v>5.3262728248005473</v>
      </c>
      <c r="V38">
        <f t="shared" si="27"/>
        <v>0.97405946763887674</v>
      </c>
      <c r="W38">
        <f t="shared" si="28"/>
        <v>1.3886196947211709</v>
      </c>
      <c r="X38">
        <f t="shared" si="29"/>
        <v>-4.6551920027074478E-2</v>
      </c>
      <c r="Z38">
        <v>5.3632410467402742</v>
      </c>
      <c r="AA38">
        <f t="shared" si="30"/>
        <v>0.97388412347115416</v>
      </c>
      <c r="AB38">
        <f t="shared" si="31"/>
        <v>1.3868999736808076</v>
      </c>
      <c r="AC38">
        <f t="shared" si="32"/>
        <v>-4.6485898694321154E-2</v>
      </c>
      <c r="AE38">
        <v>5.3633989174056058</v>
      </c>
      <c r="AF38">
        <f t="shared" si="33"/>
        <v>0.97388337480934128</v>
      </c>
      <c r="AG38">
        <f t="shared" si="34"/>
        <v>1.3868926349432891</v>
      </c>
      <c r="AH38">
        <f t="shared" si="35"/>
        <v>-4.6485616980361195E-2</v>
      </c>
    </row>
    <row r="39" spans="1:34" x14ac:dyDescent="0.3">
      <c r="A39" s="91">
        <f t="shared" si="0"/>
        <v>46865</v>
      </c>
      <c r="B39">
        <v>1.6639999999999999</v>
      </c>
      <c r="C39">
        <f t="shared" si="36"/>
        <v>3.9416666666666664</v>
      </c>
      <c r="D39">
        <v>2</v>
      </c>
      <c r="F39">
        <f>0</f>
        <v>0</v>
      </c>
      <c r="G39">
        <f t="shared" si="37"/>
        <v>1</v>
      </c>
      <c r="H39">
        <f t="shared" si="19"/>
        <v>1.6639999999999999</v>
      </c>
      <c r="I39">
        <f t="shared" si="20"/>
        <v>-6.5589333333333319E-2</v>
      </c>
      <c r="K39">
        <v>2.9538123500241906</v>
      </c>
      <c r="L39">
        <f t="shared" si="21"/>
        <v>0.98544588881666373</v>
      </c>
      <c r="M39">
        <f t="shared" si="22"/>
        <v>1.4823761538037068</v>
      </c>
      <c r="N39">
        <f t="shared" si="23"/>
        <v>-5.7579925257402173E-2</v>
      </c>
      <c r="P39">
        <v>4.7850038424555041</v>
      </c>
      <c r="Q39">
        <f t="shared" si="24"/>
        <v>0.97663401248786419</v>
      </c>
      <c r="R39">
        <f t="shared" si="25"/>
        <v>1.381039288551543</v>
      </c>
      <c r="S39">
        <f t="shared" si="26"/>
        <v>-5.3164015205219947E-2</v>
      </c>
      <c r="U39">
        <v>5.3262728248005473</v>
      </c>
      <c r="V39">
        <f t="shared" si="27"/>
        <v>0.97405946763887674</v>
      </c>
      <c r="W39">
        <f t="shared" si="28"/>
        <v>1.3525981605929633</v>
      </c>
      <c r="X39">
        <f t="shared" si="29"/>
        <v>-5.1931893660322269E-2</v>
      </c>
      <c r="Z39">
        <v>5.3632410467402742</v>
      </c>
      <c r="AA39">
        <f t="shared" si="30"/>
        <v>0.97388412347115416</v>
      </c>
      <c r="AB39">
        <f t="shared" si="31"/>
        <v>1.3506798652103</v>
      </c>
      <c r="AC39">
        <f t="shared" si="32"/>
        <v>-5.1848907086790179E-2</v>
      </c>
      <c r="AE39">
        <v>5.3633989174056058</v>
      </c>
      <c r="AF39">
        <f t="shared" si="33"/>
        <v>0.97388337480934128</v>
      </c>
      <c r="AG39">
        <f t="shared" si="34"/>
        <v>1.3506716798167901</v>
      </c>
      <c r="AH39">
        <f t="shared" si="35"/>
        <v>-5.1848553013925464E-2</v>
      </c>
    </row>
    <row r="40" spans="1:34" x14ac:dyDescent="0.3">
      <c r="A40" s="91">
        <f t="shared" si="0"/>
        <v>47048</v>
      </c>
      <c r="B40">
        <v>1.6639999999999999</v>
      </c>
      <c r="C40">
        <f t="shared" si="36"/>
        <v>4.4416666666666664</v>
      </c>
      <c r="D40">
        <v>2</v>
      </c>
      <c r="F40">
        <f>0</f>
        <v>0</v>
      </c>
      <c r="G40">
        <f t="shared" si="37"/>
        <v>1</v>
      </c>
      <c r="H40">
        <f t="shared" si="19"/>
        <v>1.6639999999999999</v>
      </c>
      <c r="I40">
        <f t="shared" si="20"/>
        <v>-7.3909333333333327E-2</v>
      </c>
      <c r="K40">
        <v>2.9538123500241906</v>
      </c>
      <c r="L40">
        <f t="shared" si="21"/>
        <v>0.98544588881666373</v>
      </c>
      <c r="M40">
        <f t="shared" si="22"/>
        <v>1.4608014864457213</v>
      </c>
      <c r="N40">
        <f t="shared" si="23"/>
        <v>-6.3939604719253793E-2</v>
      </c>
      <c r="P40">
        <v>4.7850038424555041</v>
      </c>
      <c r="Q40">
        <f t="shared" si="24"/>
        <v>0.97663401248786419</v>
      </c>
      <c r="R40">
        <f t="shared" si="25"/>
        <v>1.3487699417814789</v>
      </c>
      <c r="S40">
        <f t="shared" si="26"/>
        <v>-5.8508058490665128E-2</v>
      </c>
      <c r="U40">
        <v>5.3262728248005473</v>
      </c>
      <c r="V40">
        <f t="shared" si="27"/>
        <v>0.97405946763887674</v>
      </c>
      <c r="W40">
        <f t="shared" si="28"/>
        <v>1.3175110442365057</v>
      </c>
      <c r="X40">
        <f t="shared" si="29"/>
        <v>-5.7001423224039019E-2</v>
      </c>
      <c r="Z40">
        <v>5.3632410467402742</v>
      </c>
      <c r="AA40">
        <f t="shared" si="30"/>
        <v>0.97388412347115416</v>
      </c>
      <c r="AB40">
        <f t="shared" si="31"/>
        <v>1.3154056766204698</v>
      </c>
      <c r="AC40">
        <f t="shared" si="32"/>
        <v>-5.6900090953078505E-2</v>
      </c>
      <c r="AE40">
        <v>5.3633989174056058</v>
      </c>
      <c r="AF40">
        <f t="shared" si="33"/>
        <v>0.97388337480934128</v>
      </c>
      <c r="AG40">
        <f t="shared" si="34"/>
        <v>1.3153966937993777</v>
      </c>
      <c r="AH40">
        <f t="shared" si="35"/>
        <v>-5.6899658645034719E-2</v>
      </c>
    </row>
    <row r="41" spans="1:34" x14ac:dyDescent="0.3">
      <c r="A41" s="91">
        <f t="shared" si="0"/>
        <v>47230</v>
      </c>
      <c r="B41">
        <v>1.6639999999999999</v>
      </c>
      <c r="C41">
        <f t="shared" si="36"/>
        <v>4.9416666666666664</v>
      </c>
      <c r="D41">
        <v>2</v>
      </c>
      <c r="F41">
        <f>0</f>
        <v>0</v>
      </c>
      <c r="G41">
        <f t="shared" si="37"/>
        <v>1</v>
      </c>
      <c r="H41">
        <f t="shared" si="19"/>
        <v>1.6639999999999999</v>
      </c>
      <c r="I41">
        <f t="shared" si="20"/>
        <v>-8.2229333333333321E-2</v>
      </c>
      <c r="K41">
        <v>2.9538123500241906</v>
      </c>
      <c r="L41">
        <f t="shared" si="21"/>
        <v>0.98544588881666373</v>
      </c>
      <c r="M41">
        <f t="shared" si="22"/>
        <v>1.4395408191952075</v>
      </c>
      <c r="N41">
        <f t="shared" si="23"/>
        <v>-7.0101968513449658E-2</v>
      </c>
      <c r="P41">
        <v>4.7850038424555041</v>
      </c>
      <c r="Q41">
        <f t="shared" si="24"/>
        <v>0.97663401248786419</v>
      </c>
      <c r="R41">
        <f t="shared" si="25"/>
        <v>1.3172546001650685</v>
      </c>
      <c r="S41">
        <f t="shared" si="26"/>
        <v>-6.357333815474947E-2</v>
      </c>
      <c r="U41">
        <v>5.3262728248005473</v>
      </c>
      <c r="V41">
        <f t="shared" si="27"/>
        <v>0.97405946763887674</v>
      </c>
      <c r="W41">
        <f t="shared" si="28"/>
        <v>1.2833341063573513</v>
      </c>
      <c r="X41">
        <f t="shared" si="29"/>
        <v>-6.1772994642472032E-2</v>
      </c>
      <c r="Z41">
        <v>5.3632410467402742</v>
      </c>
      <c r="AA41">
        <f t="shared" si="30"/>
        <v>0.97388412347115416</v>
      </c>
      <c r="AB41">
        <f t="shared" si="31"/>
        <v>1.2810527043845066</v>
      </c>
      <c r="AC41">
        <f t="shared" si="32"/>
        <v>-6.1652079653917093E-2</v>
      </c>
      <c r="AE41">
        <v>5.3633989174056058</v>
      </c>
      <c r="AF41">
        <f t="shared" si="33"/>
        <v>0.97388337480934128</v>
      </c>
      <c r="AG41">
        <f t="shared" si="34"/>
        <v>1.2810429713703877</v>
      </c>
      <c r="AH41">
        <f t="shared" si="35"/>
        <v>-6.1651563847895823E-2</v>
      </c>
    </row>
    <row r="42" spans="1:34" x14ac:dyDescent="0.3">
      <c r="A42" s="91">
        <f t="shared" si="0"/>
        <v>47413</v>
      </c>
      <c r="B42">
        <v>1.6639999999999999</v>
      </c>
      <c r="C42">
        <f t="shared" si="36"/>
        <v>5.4416666666666664</v>
      </c>
      <c r="D42">
        <v>2</v>
      </c>
      <c r="F42">
        <f>0</f>
        <v>0</v>
      </c>
      <c r="G42">
        <f t="shared" si="37"/>
        <v>1</v>
      </c>
      <c r="H42">
        <f t="shared" si="19"/>
        <v>1.6639999999999999</v>
      </c>
      <c r="I42">
        <f t="shared" si="20"/>
        <v>-9.0549333333333315E-2</v>
      </c>
      <c r="K42">
        <v>2.9538123500241906</v>
      </c>
      <c r="L42">
        <f t="shared" si="21"/>
        <v>0.98544588881666373</v>
      </c>
      <c r="M42">
        <f t="shared" si="22"/>
        <v>1.4185895820596894</v>
      </c>
      <c r="N42">
        <f t="shared" si="23"/>
        <v>-7.6071413027328519E-2</v>
      </c>
      <c r="P42">
        <v>4.7850038424555041</v>
      </c>
      <c r="Q42">
        <f t="shared" si="24"/>
        <v>0.97663401248786419</v>
      </c>
      <c r="R42">
        <f t="shared" si="25"/>
        <v>1.2864756456273081</v>
      </c>
      <c r="S42">
        <f t="shared" si="26"/>
        <v>-6.8369963688105384E-2</v>
      </c>
      <c r="U42">
        <v>5.3262728248005473</v>
      </c>
      <c r="V42">
        <f t="shared" si="27"/>
        <v>0.97405946763887674</v>
      </c>
      <c r="W42">
        <f t="shared" si="28"/>
        <v>1.2500437364412553</v>
      </c>
      <c r="X42">
        <f t="shared" si="29"/>
        <v>-6.6258654958121901E-2</v>
      </c>
      <c r="Z42">
        <v>5.3632410467402742</v>
      </c>
      <c r="AA42">
        <f t="shared" si="30"/>
        <v>0.97388412347115416</v>
      </c>
      <c r="AB42">
        <f t="shared" si="31"/>
        <v>1.2475968901298566</v>
      </c>
      <c r="AC42">
        <f t="shared" si="32"/>
        <v>-6.6117055572876088E-2</v>
      </c>
      <c r="AE42">
        <v>5.3633989174056058</v>
      </c>
      <c r="AF42">
        <f t="shared" si="33"/>
        <v>0.97388337480934128</v>
      </c>
      <c r="AG42">
        <f t="shared" si="34"/>
        <v>1.2475864522339797</v>
      </c>
      <c r="AH42">
        <f t="shared" si="35"/>
        <v>-6.6116451584802574E-2</v>
      </c>
    </row>
    <row r="43" spans="1:34" x14ac:dyDescent="0.3">
      <c r="A43" s="91">
        <f t="shared" si="0"/>
        <v>47595</v>
      </c>
      <c r="B43">
        <v>1.6639999999999999</v>
      </c>
      <c r="C43">
        <f t="shared" si="36"/>
        <v>5.9416666666666664</v>
      </c>
      <c r="D43">
        <v>2</v>
      </c>
      <c r="F43">
        <f>0</f>
        <v>0</v>
      </c>
      <c r="G43">
        <f t="shared" si="37"/>
        <v>1</v>
      </c>
      <c r="H43">
        <f t="shared" si="19"/>
        <v>1.6639999999999999</v>
      </c>
      <c r="I43">
        <f t="shared" si="20"/>
        <v>-9.8869333333333323E-2</v>
      </c>
      <c r="K43">
        <v>2.9538123500241906</v>
      </c>
      <c r="L43">
        <f t="shared" si="21"/>
        <v>0.98544588881666373</v>
      </c>
      <c r="M43">
        <f t="shared" si="22"/>
        <v>1.39794327155887</v>
      </c>
      <c r="N43">
        <f t="shared" si="23"/>
        <v>-8.1852248473038292E-2</v>
      </c>
      <c r="P43">
        <v>4.7850038424555041</v>
      </c>
      <c r="Q43">
        <f t="shared" si="24"/>
        <v>0.97663401248786419</v>
      </c>
      <c r="R43">
        <f t="shared" si="25"/>
        <v>1.2564158717569136</v>
      </c>
      <c r="S43">
        <f t="shared" si="26"/>
        <v>-7.2907724341300897E-2</v>
      </c>
      <c r="U43">
        <v>5.3262728248005473</v>
      </c>
      <c r="V43">
        <f t="shared" si="27"/>
        <v>0.97405946763887674</v>
      </c>
      <c r="W43">
        <f t="shared" si="28"/>
        <v>1.2176169364432814</v>
      </c>
      <c r="X43">
        <f t="shared" si="29"/>
        <v>-7.0470026699476343E-2</v>
      </c>
      <c r="Z43">
        <v>5.3632410467402742</v>
      </c>
      <c r="AA43">
        <f t="shared" si="30"/>
        <v>0.97388412347115416</v>
      </c>
      <c r="AB43">
        <f t="shared" si="31"/>
        <v>1.2150148037894533</v>
      </c>
      <c r="AC43">
        <f t="shared" si="32"/>
        <v>-7.0306768849048837E-2</v>
      </c>
      <c r="AE43">
        <v>5.3633989174056058</v>
      </c>
      <c r="AF43">
        <f t="shared" si="33"/>
        <v>0.97388337480934128</v>
      </c>
      <c r="AG43">
        <f t="shared" si="34"/>
        <v>1.2150037044680411</v>
      </c>
      <c r="AH43">
        <f t="shared" si="35"/>
        <v>-7.0306072540391881E-2</v>
      </c>
    </row>
    <row r="44" spans="1:34" x14ac:dyDescent="0.3">
      <c r="A44" s="91">
        <f t="shared" si="0"/>
        <v>47778</v>
      </c>
      <c r="B44">
        <v>1.6639999999999999</v>
      </c>
      <c r="C44">
        <f t="shared" si="36"/>
        <v>6.4416666666666664</v>
      </c>
      <c r="D44">
        <v>2</v>
      </c>
      <c r="F44">
        <f>0</f>
        <v>0</v>
      </c>
      <c r="G44">
        <f t="shared" si="37"/>
        <v>1</v>
      </c>
      <c r="H44">
        <f t="shared" si="19"/>
        <v>1.6639999999999999</v>
      </c>
      <c r="I44">
        <f t="shared" si="20"/>
        <v>-0.10718933333333332</v>
      </c>
      <c r="K44">
        <v>2.9538123500241906</v>
      </c>
      <c r="L44">
        <f t="shared" si="21"/>
        <v>0.98544588881666373</v>
      </c>
      <c r="M44">
        <f t="shared" si="22"/>
        <v>1.3775974497566055</v>
      </c>
      <c r="N44">
        <f t="shared" si="23"/>
        <v>-8.7448700464690471E-2</v>
      </c>
      <c r="P44">
        <v>4.7850038424555041</v>
      </c>
      <c r="Q44">
        <f t="shared" si="24"/>
        <v>0.97663401248786419</v>
      </c>
      <c r="R44">
        <f t="shared" si="25"/>
        <v>1.2270584741873922</v>
      </c>
      <c r="S44">
        <f t="shared" si="26"/>
        <v>-7.7196098570818161E-2</v>
      </c>
      <c r="U44">
        <v>5.3262728248005473</v>
      </c>
      <c r="V44">
        <f t="shared" si="27"/>
        <v>0.97405946763887674</v>
      </c>
      <c r="W44">
        <f t="shared" si="28"/>
        <v>1.1860313049000228</v>
      </c>
      <c r="X44">
        <f t="shared" si="29"/>
        <v>-7.4418321798659162E-2</v>
      </c>
      <c r="Z44">
        <v>5.3632410467402742</v>
      </c>
      <c r="AA44">
        <f t="shared" si="30"/>
        <v>0.97388412347115416</v>
      </c>
      <c r="AB44">
        <f t="shared" si="31"/>
        <v>1.1832836271929681</v>
      </c>
      <c r="AC44">
        <f t="shared" si="32"/>
        <v>-7.4232551645077943E-2</v>
      </c>
      <c r="AE44">
        <v>5.3633989174056058</v>
      </c>
      <c r="AF44">
        <f t="shared" si="33"/>
        <v>0.97388337480934128</v>
      </c>
      <c r="AG44">
        <f t="shared" si="34"/>
        <v>1.1832719081131873</v>
      </c>
      <c r="AH44">
        <f t="shared" si="35"/>
        <v>-7.4231759391178986E-2</v>
      </c>
    </row>
    <row r="45" spans="1:34" x14ac:dyDescent="0.3">
      <c r="A45" s="91">
        <f t="shared" si="0"/>
        <v>47960</v>
      </c>
      <c r="B45">
        <v>1.6639999999999999</v>
      </c>
      <c r="C45">
        <f t="shared" si="36"/>
        <v>6.9416666666666664</v>
      </c>
      <c r="D45">
        <v>2</v>
      </c>
      <c r="F45">
        <f>0</f>
        <v>0</v>
      </c>
      <c r="G45">
        <f t="shared" si="37"/>
        <v>1</v>
      </c>
      <c r="H45">
        <f t="shared" si="19"/>
        <v>1.6639999999999999</v>
      </c>
      <c r="I45">
        <f t="shared" si="20"/>
        <v>-0.11550933333333332</v>
      </c>
      <c r="K45">
        <v>2.9538123500241906</v>
      </c>
      <c r="L45">
        <f t="shared" si="21"/>
        <v>0.98544588881666373</v>
      </c>
      <c r="M45">
        <f t="shared" si="22"/>
        <v>1.3575477433069674</v>
      </c>
      <c r="N45">
        <f t="shared" si="23"/>
        <v>-9.2864911567860059E-2</v>
      </c>
      <c r="P45">
        <v>4.7850038424555041</v>
      </c>
      <c r="Q45">
        <f t="shared" si="24"/>
        <v>0.97663401248786419</v>
      </c>
      <c r="R45">
        <f t="shared" si="25"/>
        <v>1.1983870412028692</v>
      </c>
      <c r="S45">
        <f t="shared" si="26"/>
        <v>-8.1244263218443899E-2</v>
      </c>
      <c r="U45">
        <v>5.3262728248005473</v>
      </c>
      <c r="V45">
        <f t="shared" si="27"/>
        <v>0.97405946763887674</v>
      </c>
      <c r="W45">
        <f t="shared" si="28"/>
        <v>1.1552650214539586</v>
      </c>
      <c r="X45">
        <f t="shared" si="29"/>
        <v>-7.8114355072676861E-2</v>
      </c>
      <c r="Z45">
        <v>5.3632410467402742</v>
      </c>
      <c r="AA45">
        <f t="shared" si="30"/>
        <v>0.97388412347115416</v>
      </c>
      <c r="AB45">
        <f t="shared" si="31"/>
        <v>1.1523811380865918</v>
      </c>
      <c r="AC45">
        <f t="shared" si="32"/>
        <v>-7.7905331964744681E-2</v>
      </c>
      <c r="AE45">
        <v>5.3633989174056058</v>
      </c>
      <c r="AF45">
        <f t="shared" si="33"/>
        <v>0.97388337480934128</v>
      </c>
      <c r="AG45">
        <f t="shared" si="34"/>
        <v>1.1523688391903597</v>
      </c>
      <c r="AH45">
        <f t="shared" si="35"/>
        <v>-7.7904440624595575E-2</v>
      </c>
    </row>
    <row r="46" spans="1:34" x14ac:dyDescent="0.3">
      <c r="A46" s="91">
        <f t="shared" si="0"/>
        <v>48143</v>
      </c>
      <c r="B46">
        <v>1.6639999999999999</v>
      </c>
      <c r="C46">
        <f t="shared" si="36"/>
        <v>7.4416666666666664</v>
      </c>
      <c r="D46">
        <v>2</v>
      </c>
      <c r="F46">
        <f>0</f>
        <v>0</v>
      </c>
      <c r="G46">
        <f t="shared" si="37"/>
        <v>1</v>
      </c>
      <c r="H46">
        <f t="shared" si="19"/>
        <v>1.6639999999999999</v>
      </c>
      <c r="I46">
        <f t="shared" si="20"/>
        <v>-0.12382933333333332</v>
      </c>
      <c r="K46">
        <v>2.9538123500241906</v>
      </c>
      <c r="L46">
        <f t="shared" si="21"/>
        <v>0.98544588881666373</v>
      </c>
      <c r="M46">
        <f t="shared" si="22"/>
        <v>1.3377898425141903</v>
      </c>
      <c r="N46">
        <f t="shared" si="23"/>
        <v>-9.8104942821902213E-2</v>
      </c>
      <c r="P46">
        <v>4.7850038424555041</v>
      </c>
      <c r="Q46">
        <f t="shared" si="24"/>
        <v>0.97663401248786419</v>
      </c>
      <c r="R46">
        <f t="shared" si="25"/>
        <v>1.1703855445634177</v>
      </c>
      <c r="S46">
        <f t="shared" si="26"/>
        <v>-8.5061102431372909E-2</v>
      </c>
      <c r="U46">
        <v>5.3262728248005473</v>
      </c>
      <c r="V46">
        <f t="shared" si="27"/>
        <v>0.97405946763887674</v>
      </c>
      <c r="W46">
        <f t="shared" si="28"/>
        <v>1.1252968317792584</v>
      </c>
      <c r="X46">
        <f t="shared" si="29"/>
        <v>-8.1568557281538903E-2</v>
      </c>
      <c r="Z46">
        <v>5.3632410467402742</v>
      </c>
      <c r="AA46">
        <f t="shared" si="30"/>
        <v>0.97388412347115416</v>
      </c>
      <c r="AB46">
        <f t="shared" si="31"/>
        <v>1.1222856945701514</v>
      </c>
      <c r="AC46">
        <f t="shared" si="32"/>
        <v>-8.133564703391799E-2</v>
      </c>
      <c r="AE46">
        <v>5.3633989174056058</v>
      </c>
      <c r="AF46">
        <f t="shared" si="33"/>
        <v>0.97388337480934128</v>
      </c>
      <c r="AG46">
        <f t="shared" si="34"/>
        <v>1.1222728541358307</v>
      </c>
      <c r="AH46">
        <f t="shared" si="35"/>
        <v>-8.1334653921328659E-2</v>
      </c>
    </row>
    <row r="47" spans="1:34" x14ac:dyDescent="0.3">
      <c r="A47" s="91">
        <f t="shared" si="0"/>
        <v>48326</v>
      </c>
      <c r="B47">
        <v>1.6639999999999999</v>
      </c>
      <c r="C47">
        <f t="shared" si="36"/>
        <v>7.9416666666666664</v>
      </c>
      <c r="D47">
        <v>2</v>
      </c>
      <c r="F47">
        <f>0</f>
        <v>0</v>
      </c>
      <c r="G47">
        <f t="shared" si="37"/>
        <v>1</v>
      </c>
      <c r="H47">
        <f t="shared" si="19"/>
        <v>1.6639999999999999</v>
      </c>
      <c r="I47">
        <f t="shared" si="20"/>
        <v>-0.13214933333333331</v>
      </c>
      <c r="K47">
        <v>2.9538123500241906</v>
      </c>
      <c r="L47">
        <f t="shared" si="21"/>
        <v>0.98544588881666373</v>
      </c>
      <c r="M47">
        <f t="shared" si="22"/>
        <v>1.3183195004063009</v>
      </c>
      <c r="N47">
        <f t="shared" si="23"/>
        <v>-0.10317277523554855</v>
      </c>
      <c r="P47">
        <v>4.7850038424555041</v>
      </c>
      <c r="Q47">
        <f t="shared" si="24"/>
        <v>0.97663401248786419</v>
      </c>
      <c r="R47">
        <f t="shared" si="25"/>
        <v>1.1430383305447644</v>
      </c>
      <c r="S47">
        <f t="shared" si="26"/>
        <v>-8.8655216330129752E-2</v>
      </c>
      <c r="U47">
        <v>5.3262728248005473</v>
      </c>
      <c r="V47">
        <f t="shared" si="27"/>
        <v>0.97405946763887674</v>
      </c>
      <c r="W47">
        <f t="shared" si="28"/>
        <v>1.096106032898619</v>
      </c>
      <c r="X47">
        <f t="shared" si="29"/>
        <v>-8.4790987776131962E-2</v>
      </c>
      <c r="Z47">
        <v>5.3632410467402742</v>
      </c>
      <c r="AA47">
        <f t="shared" si="30"/>
        <v>0.97388412347115416</v>
      </c>
      <c r="AB47">
        <f t="shared" si="31"/>
        <v>1.0929762199406674</v>
      </c>
      <c r="AC47">
        <f t="shared" si="32"/>
        <v>-8.4533656258245077E-2</v>
      </c>
      <c r="AE47">
        <v>5.3633989174056058</v>
      </c>
      <c r="AF47">
        <f t="shared" si="33"/>
        <v>0.97388337480934128</v>
      </c>
      <c r="AG47">
        <f t="shared" si="34"/>
        <v>1.0929628746427142</v>
      </c>
      <c r="AH47">
        <f t="shared" si="35"/>
        <v>-8.4532559114345207E-2</v>
      </c>
    </row>
    <row r="48" spans="1:34" x14ac:dyDescent="0.3">
      <c r="A48" s="91">
        <f t="shared" si="0"/>
        <v>48509</v>
      </c>
      <c r="B48">
        <v>1.6639999999999999</v>
      </c>
      <c r="C48">
        <f t="shared" si="36"/>
        <v>8.4416666666666664</v>
      </c>
      <c r="D48">
        <v>2</v>
      </c>
      <c r="F48">
        <f>0</f>
        <v>0</v>
      </c>
      <c r="G48">
        <f t="shared" si="37"/>
        <v>1</v>
      </c>
      <c r="H48">
        <f t="shared" si="19"/>
        <v>1.6639999999999999</v>
      </c>
      <c r="I48">
        <f t="shared" si="20"/>
        <v>-0.14046933333333331</v>
      </c>
      <c r="K48">
        <v>2.9538123500241906</v>
      </c>
      <c r="L48">
        <f t="shared" si="21"/>
        <v>0.98544588881666373</v>
      </c>
      <c r="M48">
        <f t="shared" si="22"/>
        <v>1.2991325318222273</v>
      </c>
      <c r="N48">
        <f t="shared" si="23"/>
        <v>-0.10807231125623799</v>
      </c>
      <c r="P48">
        <v>4.7850038424555041</v>
      </c>
      <c r="Q48">
        <f t="shared" si="24"/>
        <v>0.97663401248786419</v>
      </c>
      <c r="R48">
        <f t="shared" si="25"/>
        <v>1.1163301111873629</v>
      </c>
      <c r="S48">
        <f t="shared" si="26"/>
        <v>-9.2034929431223919E-2</v>
      </c>
      <c r="U48">
        <v>5.3262728248005473</v>
      </c>
      <c r="V48">
        <f t="shared" si="27"/>
        <v>0.97405946763887674</v>
      </c>
      <c r="W48">
        <f t="shared" si="28"/>
        <v>1.0676724588809898</v>
      </c>
      <c r="X48">
        <f t="shared" si="29"/>
        <v>-8.7791346748345128E-2</v>
      </c>
      <c r="Z48">
        <v>5.3632410467402742</v>
      </c>
      <c r="AA48">
        <f t="shared" si="30"/>
        <v>0.97388412347115416</v>
      </c>
      <c r="AB48">
        <f t="shared" si="31"/>
        <v>1.0644321879317322</v>
      </c>
      <c r="AC48">
        <f t="shared" si="32"/>
        <v>-8.7509153770564729E-2</v>
      </c>
      <c r="AE48">
        <v>5.3633989174056058</v>
      </c>
      <c r="AF48">
        <f t="shared" si="33"/>
        <v>0.97388337480934128</v>
      </c>
      <c r="AG48">
        <f t="shared" si="34"/>
        <v>1.0644183728983656</v>
      </c>
      <c r="AH48">
        <f t="shared" si="35"/>
        <v>-8.7507950737585286E-2</v>
      </c>
    </row>
    <row r="49" spans="1:34" x14ac:dyDescent="0.3">
      <c r="A49" s="91">
        <f t="shared" si="0"/>
        <v>48691</v>
      </c>
      <c r="B49">
        <v>1.6639999999999999</v>
      </c>
      <c r="C49">
        <f t="shared" si="36"/>
        <v>8.9416666666666664</v>
      </c>
      <c r="D49">
        <v>2</v>
      </c>
      <c r="F49">
        <f>0</f>
        <v>0</v>
      </c>
      <c r="G49">
        <f t="shared" si="37"/>
        <v>1</v>
      </c>
      <c r="H49">
        <f t="shared" si="19"/>
        <v>1.6639999999999999</v>
      </c>
      <c r="I49">
        <f t="shared" si="20"/>
        <v>-0.14878933333333333</v>
      </c>
      <c r="K49">
        <v>2.9538123500241906</v>
      </c>
      <c r="L49">
        <f t="shared" si="21"/>
        <v>0.98544588881666373</v>
      </c>
      <c r="M49">
        <f t="shared" si="22"/>
        <v>1.2802248125121976</v>
      </c>
      <c r="N49">
        <f t="shared" si="23"/>
        <v>-0.11280737621363075</v>
      </c>
      <c r="P49">
        <v>4.7850038424555041</v>
      </c>
      <c r="Q49">
        <f t="shared" si="24"/>
        <v>0.97663401248786419</v>
      </c>
      <c r="R49">
        <f t="shared" si="25"/>
        <v>1.090245955749938</v>
      </c>
      <c r="S49">
        <f t="shared" si="26"/>
        <v>-9.5208298831267288E-2</v>
      </c>
      <c r="U49">
        <v>5.3262728248005473</v>
      </c>
      <c r="V49">
        <f t="shared" si="27"/>
        <v>0.97405946763887674</v>
      </c>
      <c r="W49">
        <f t="shared" si="28"/>
        <v>1.0399764669103075</v>
      </c>
      <c r="X49">
        <f t="shared" si="29"/>
        <v>-9.0578987095571162E-2</v>
      </c>
      <c r="Z49">
        <v>5.3632410467402742</v>
      </c>
      <c r="AA49">
        <f t="shared" si="30"/>
        <v>0.97388412347115416</v>
      </c>
      <c r="AB49">
        <f t="shared" si="31"/>
        <v>1.036633608338378</v>
      </c>
      <c r="AC49">
        <f t="shared" si="32"/>
        <v>-9.027158058063571E-2</v>
      </c>
      <c r="AE49">
        <v>5.3633989174056058</v>
      </c>
      <c r="AF49">
        <f t="shared" si="33"/>
        <v>0.97388337480934128</v>
      </c>
      <c r="AG49">
        <f t="shared" si="34"/>
        <v>1.0366193572073281</v>
      </c>
      <c r="AH49">
        <f t="shared" si="35"/>
        <v>-9.0270270176917966E-2</v>
      </c>
    </row>
    <row r="50" spans="1:34" x14ac:dyDescent="0.3">
      <c r="A50" s="91">
        <f t="shared" si="0"/>
        <v>48874</v>
      </c>
      <c r="B50">
        <v>1.6639999999999999</v>
      </c>
      <c r="C50">
        <f t="shared" si="36"/>
        <v>9.4416666666666664</v>
      </c>
      <c r="D50">
        <v>2</v>
      </c>
      <c r="F50">
        <f>0</f>
        <v>0</v>
      </c>
      <c r="G50">
        <f t="shared" si="37"/>
        <v>1</v>
      </c>
      <c r="H50">
        <f t="shared" si="19"/>
        <v>1.6639999999999999</v>
      </c>
      <c r="I50">
        <f t="shared" si="20"/>
        <v>-0.15710933333333332</v>
      </c>
      <c r="K50">
        <v>2.9538123500241906</v>
      </c>
      <c r="L50">
        <f t="shared" si="21"/>
        <v>0.98544588881666373</v>
      </c>
      <c r="M50">
        <f t="shared" si="22"/>
        <v>1.261592278251229</v>
      </c>
      <c r="N50">
        <f t="shared" si="23"/>
        <v>-0.11738171973774472</v>
      </c>
      <c r="P50">
        <v>4.7850038424555041</v>
      </c>
      <c r="Q50">
        <f t="shared" si="24"/>
        <v>0.97663401248786419</v>
      </c>
      <c r="R50">
        <f t="shared" si="25"/>
        <v>1.0647712823627282</v>
      </c>
      <c r="S50">
        <f t="shared" si="26"/>
        <v>-9.8183122159103006E-2</v>
      </c>
      <c r="U50">
        <v>5.3262728248005473</v>
      </c>
      <c r="V50">
        <f t="shared" si="27"/>
        <v>0.97405946763887674</v>
      </c>
      <c r="W50">
        <f t="shared" si="28"/>
        <v>1.0129989237156141</v>
      </c>
      <c r="X50">
        <f t="shared" si="29"/>
        <v>-9.3162925911346658E-2</v>
      </c>
      <c r="Z50">
        <v>5.3632410467402742</v>
      </c>
      <c r="AA50">
        <f t="shared" si="30"/>
        <v>0.97388412347115416</v>
      </c>
      <c r="AB50">
        <f t="shared" si="31"/>
        <v>1.0095610130173609</v>
      </c>
      <c r="AC50">
        <f t="shared" si="32"/>
        <v>-9.2830036339393365E-2</v>
      </c>
      <c r="AE50">
        <v>5.3633989174056058</v>
      </c>
      <c r="AF50">
        <f t="shared" si="33"/>
        <v>0.97388337480934128</v>
      </c>
      <c r="AG50">
        <f t="shared" si="34"/>
        <v>1.0095463579897628</v>
      </c>
      <c r="AH50">
        <f t="shared" si="35"/>
        <v>-9.2828617435575619E-2</v>
      </c>
    </row>
    <row r="51" spans="1:34" x14ac:dyDescent="0.3">
      <c r="A51" s="91">
        <f t="shared" si="0"/>
        <v>49056</v>
      </c>
      <c r="B51">
        <v>1.6639999999999999</v>
      </c>
      <c r="C51">
        <f t="shared" si="36"/>
        <v>9.9416666666666664</v>
      </c>
      <c r="D51">
        <v>2</v>
      </c>
      <c r="F51">
        <f>0</f>
        <v>0</v>
      </c>
      <c r="G51">
        <f t="shared" si="37"/>
        <v>1</v>
      </c>
      <c r="H51">
        <f t="shared" si="19"/>
        <v>1.6639999999999999</v>
      </c>
      <c r="I51">
        <f t="shared" si="20"/>
        <v>-0.16542933333333332</v>
      </c>
      <c r="K51">
        <v>2.9538123500241906</v>
      </c>
      <c r="L51">
        <f t="shared" si="21"/>
        <v>0.98544588881666373</v>
      </c>
      <c r="M51">
        <f t="shared" si="22"/>
        <v>1.2432309239655224</v>
      </c>
      <c r="N51">
        <f t="shared" si="23"/>
        <v>-0.12179901715214821</v>
      </c>
      <c r="P51">
        <v>4.7850038424555041</v>
      </c>
      <c r="Q51">
        <f t="shared" si="24"/>
        <v>0.97663401248786419</v>
      </c>
      <c r="R51">
        <f t="shared" si="25"/>
        <v>1.0398918498757601</v>
      </c>
      <c r="S51">
        <f t="shared" si="26"/>
        <v>-0.10096694530231887</v>
      </c>
      <c r="U51">
        <v>5.3262728248005473</v>
      </c>
      <c r="V51">
        <f t="shared" si="27"/>
        <v>0.97405946763887674</v>
      </c>
      <c r="W51">
        <f t="shared" si="28"/>
        <v>0.98672119235318623</v>
      </c>
      <c r="X51">
        <f t="shared" si="29"/>
        <v>-9.5551855613544165E-2</v>
      </c>
      <c r="Z51">
        <v>5.3632410467402742</v>
      </c>
      <c r="AA51">
        <f t="shared" si="30"/>
        <v>0.97388412347115416</v>
      </c>
      <c r="AB51">
        <f t="shared" si="31"/>
        <v>0.98319544225306288</v>
      </c>
      <c r="AC51">
        <f t="shared" si="32"/>
        <v>-9.5193290729582783E-2</v>
      </c>
      <c r="AE51">
        <v>5.3633989174056058</v>
      </c>
      <c r="AF51">
        <f t="shared" si="33"/>
        <v>0.97388337480934128</v>
      </c>
      <c r="AG51">
        <f t="shared" si="34"/>
        <v>0.98318041414554957</v>
      </c>
      <c r="AH51">
        <f t="shared" si="35"/>
        <v>-9.5191762525916226E-2</v>
      </c>
    </row>
    <row r="52" spans="1:34" x14ac:dyDescent="0.3">
      <c r="A52" s="91">
        <f t="shared" si="0"/>
        <v>49239</v>
      </c>
      <c r="B52">
        <v>1.6639999999999999</v>
      </c>
      <c r="C52">
        <f t="shared" si="36"/>
        <v>10.441666666666666</v>
      </c>
      <c r="D52">
        <v>2</v>
      </c>
      <c r="F52">
        <f>0</f>
        <v>0</v>
      </c>
      <c r="G52">
        <f t="shared" si="37"/>
        <v>1</v>
      </c>
      <c r="H52">
        <f t="shared" si="19"/>
        <v>1.6639999999999999</v>
      </c>
      <c r="I52">
        <f t="shared" si="20"/>
        <v>-0.17374933333333331</v>
      </c>
      <c r="K52">
        <v>2.9538123500241906</v>
      </c>
      <c r="L52">
        <f t="shared" si="21"/>
        <v>0.98544588881666373</v>
      </c>
      <c r="M52">
        <f t="shared" si="22"/>
        <v>1.2251368028715661</v>
      </c>
      <c r="N52">
        <f t="shared" si="23"/>
        <v>-0.12606287084263365</v>
      </c>
      <c r="P52">
        <v>4.7850038424555041</v>
      </c>
      <c r="Q52">
        <f t="shared" si="24"/>
        <v>0.97663401248786419</v>
      </c>
      <c r="R52">
        <f t="shared" si="25"/>
        <v>1.0155937498975911</v>
      </c>
      <c r="S52">
        <f t="shared" si="26"/>
        <v>-0.10356706991434676</v>
      </c>
      <c r="U52">
        <v>5.3262728248005473</v>
      </c>
      <c r="V52">
        <f t="shared" si="27"/>
        <v>0.97405946763887674</v>
      </c>
      <c r="W52">
        <f t="shared" si="28"/>
        <v>0.96112511933154221</v>
      </c>
      <c r="X52">
        <f t="shared" si="29"/>
        <v>-9.7754154721187814E-2</v>
      </c>
      <c r="Z52">
        <v>5.3632410467402742</v>
      </c>
      <c r="AA52">
        <f t="shared" si="30"/>
        <v>0.97388412347115416</v>
      </c>
      <c r="AB52">
        <f t="shared" si="31"/>
        <v>0.95751843147945792</v>
      </c>
      <c r="AC52">
        <f t="shared" si="32"/>
        <v>-9.7369794494258685E-2</v>
      </c>
      <c r="AE52">
        <v>5.3633989174056058</v>
      </c>
      <c r="AF52">
        <f t="shared" si="33"/>
        <v>0.97388337480934128</v>
      </c>
      <c r="AG52">
        <f t="shared" si="34"/>
        <v>0.95750305977451367</v>
      </c>
      <c r="AH52">
        <f t="shared" si="35"/>
        <v>-9.7368156499006042E-2</v>
      </c>
    </row>
    <row r="53" spans="1:34" x14ac:dyDescent="0.3">
      <c r="A53" s="91">
        <f t="shared" si="0"/>
        <v>49421</v>
      </c>
      <c r="B53">
        <v>1.6639999999999999</v>
      </c>
      <c r="C53">
        <f t="shared" si="36"/>
        <v>10.941666666666666</v>
      </c>
      <c r="D53">
        <v>2</v>
      </c>
      <c r="F53">
        <f>0</f>
        <v>0</v>
      </c>
      <c r="G53">
        <f t="shared" si="37"/>
        <v>1</v>
      </c>
      <c r="H53">
        <f t="shared" si="19"/>
        <v>1.6639999999999999</v>
      </c>
      <c r="I53">
        <f t="shared" si="20"/>
        <v>-0.18206933333333331</v>
      </c>
      <c r="K53">
        <v>2.9538123500241906</v>
      </c>
      <c r="L53">
        <f t="shared" si="21"/>
        <v>0.98544588881666373</v>
      </c>
      <c r="M53">
        <f t="shared" si="22"/>
        <v>1.2073060256277763</v>
      </c>
      <c r="N53">
        <f t="shared" si="23"/>
        <v>-0.13017681160179176</v>
      </c>
      <c r="P53">
        <v>4.7850038424555041</v>
      </c>
      <c r="Q53">
        <f t="shared" si="24"/>
        <v>0.97663401248786419</v>
      </c>
      <c r="R53">
        <f t="shared" si="25"/>
        <v>0.99186339902008092</v>
      </c>
      <c r="S53">
        <f t="shared" si="26"/>
        <v>-0.10599056070818383</v>
      </c>
      <c r="U53">
        <v>5.3262728248005473</v>
      </c>
      <c r="V53">
        <f t="shared" si="27"/>
        <v>0.97405946763887674</v>
      </c>
      <c r="W53">
        <f t="shared" si="28"/>
        <v>0.93619302207043398</v>
      </c>
      <c r="X53">
        <f t="shared" si="29"/>
        <v>-9.9777898290634381E-2</v>
      </c>
      <c r="Z53">
        <v>5.3632410467402742</v>
      </c>
      <c r="AA53">
        <f t="shared" si="30"/>
        <v>0.97388412347115416</v>
      </c>
      <c r="AB53">
        <f t="shared" si="31"/>
        <v>0.93251199834884646</v>
      </c>
      <c r="AC53">
        <f t="shared" si="32"/>
        <v>-9.9367690114299051E-2</v>
      </c>
      <c r="AE53">
        <v>5.3633989174056058</v>
      </c>
      <c r="AF53">
        <f t="shared" si="33"/>
        <v>0.97388337480934128</v>
      </c>
      <c r="AG53">
        <f t="shared" si="34"/>
        <v>0.93249631124347376</v>
      </c>
      <c r="AH53">
        <f t="shared" si="35"/>
        <v>-9.9365942123171389E-2</v>
      </c>
    </row>
    <row r="54" spans="1:34" x14ac:dyDescent="0.3">
      <c r="A54" s="91">
        <f t="shared" si="0"/>
        <v>49604</v>
      </c>
      <c r="B54">
        <v>1.6639999999999999</v>
      </c>
      <c r="C54">
        <f t="shared" si="36"/>
        <v>11.441666666666666</v>
      </c>
      <c r="D54">
        <v>2</v>
      </c>
      <c r="F54">
        <f>0</f>
        <v>0</v>
      </c>
      <c r="G54">
        <f t="shared" si="37"/>
        <v>1</v>
      </c>
      <c r="H54">
        <f t="shared" si="19"/>
        <v>1.6639999999999999</v>
      </c>
      <c r="I54">
        <f t="shared" si="20"/>
        <v>-0.1903893333333333</v>
      </c>
      <c r="K54">
        <v>2.9538123500241906</v>
      </c>
      <c r="L54">
        <f t="shared" si="21"/>
        <v>0.98544588881666373</v>
      </c>
      <c r="M54">
        <f t="shared" si="22"/>
        <v>1.189734759498478</v>
      </c>
      <c r="N54">
        <f t="shared" si="23"/>
        <v>-0.13414429994989738</v>
      </c>
      <c r="P54">
        <v>4.7850038424555041</v>
      </c>
      <c r="Q54">
        <f t="shared" si="24"/>
        <v>0.97663401248786419</v>
      </c>
      <c r="R54">
        <f t="shared" si="25"/>
        <v>0.96868753122483309</v>
      </c>
      <c r="S54">
        <f t="shared" si="26"/>
        <v>-0.10824425254260749</v>
      </c>
      <c r="U54">
        <v>5.3262728248005473</v>
      </c>
      <c r="V54">
        <f t="shared" si="27"/>
        <v>0.97405946763887674</v>
      </c>
      <c r="W54">
        <f t="shared" si="28"/>
        <v>0.91190767668515793</v>
      </c>
      <c r="X54">
        <f t="shared" si="29"/>
        <v>-0.10163086802154005</v>
      </c>
      <c r="Z54">
        <v>5.3632410467402742</v>
      </c>
      <c r="AA54">
        <f t="shared" si="30"/>
        <v>0.97388412347115416</v>
      </c>
      <c r="AB54">
        <f t="shared" si="31"/>
        <v>0.90815863013830056</v>
      </c>
      <c r="AC54">
        <f t="shared" si="32"/>
        <v>-0.10119482214574242</v>
      </c>
      <c r="AE54">
        <v>5.3633989174056058</v>
      </c>
      <c r="AF54">
        <f t="shared" si="33"/>
        <v>0.97388337480934128</v>
      </c>
      <c r="AG54">
        <f t="shared" si="34"/>
        <v>0.90814265459105636</v>
      </c>
      <c r="AH54">
        <f t="shared" si="35"/>
        <v>-0.10119296422233112</v>
      </c>
    </row>
    <row r="55" spans="1:34" x14ac:dyDescent="0.3">
      <c r="A55" s="91">
        <f t="shared" si="0"/>
        <v>49787</v>
      </c>
      <c r="B55">
        <v>1.6639999999999999</v>
      </c>
      <c r="C55">
        <f t="shared" si="36"/>
        <v>11.941666666666666</v>
      </c>
      <c r="D55">
        <v>2</v>
      </c>
      <c r="F55">
        <f>0</f>
        <v>0</v>
      </c>
      <c r="G55">
        <f t="shared" si="37"/>
        <v>1</v>
      </c>
      <c r="H55">
        <f t="shared" si="19"/>
        <v>1.6639999999999999</v>
      </c>
      <c r="I55">
        <f t="shared" si="20"/>
        <v>-0.19870933333333332</v>
      </c>
      <c r="K55">
        <v>2.9538123500241906</v>
      </c>
      <c r="L55">
        <f t="shared" si="21"/>
        <v>0.98544588881666373</v>
      </c>
      <c r="M55">
        <f t="shared" si="22"/>
        <v>1.1724192275300571</v>
      </c>
      <c r="N55">
        <f t="shared" si="23"/>
        <v>-0.13796872743251129</v>
      </c>
      <c r="P55">
        <v>4.7850038424555041</v>
      </c>
      <c r="Q55">
        <f t="shared" si="24"/>
        <v>0.97663401248786419</v>
      </c>
      <c r="R55">
        <f t="shared" si="25"/>
        <v>0.94605319046707192</v>
      </c>
      <c r="S55">
        <f t="shared" si="26"/>
        <v>-0.11033475730660046</v>
      </c>
      <c r="U55">
        <v>5.3262728248005473</v>
      </c>
      <c r="V55">
        <f t="shared" si="27"/>
        <v>0.97405946763887674</v>
      </c>
      <c r="W55">
        <f t="shared" si="28"/>
        <v>0.88825230608774997</v>
      </c>
      <c r="X55">
        <f t="shared" si="29"/>
        <v>-0.10332056204272243</v>
      </c>
      <c r="Z55">
        <v>5.3632410467402742</v>
      </c>
      <c r="AA55">
        <f t="shared" si="30"/>
        <v>0.97388412347115416</v>
      </c>
      <c r="AB55">
        <f t="shared" si="31"/>
        <v>0.88444127148500296</v>
      </c>
      <c r="AC55">
        <f t="shared" si="32"/>
        <v>-0.10285874722743513</v>
      </c>
      <c r="AE55">
        <v>5.3633989174056058</v>
      </c>
      <c r="AF55">
        <f t="shared" si="33"/>
        <v>0.97388337480934128</v>
      </c>
      <c r="AG55">
        <f t="shared" si="34"/>
        <v>0.88442503326145183</v>
      </c>
      <c r="AH55">
        <f t="shared" si="35"/>
        <v>-0.1028567796845974</v>
      </c>
    </row>
    <row r="56" spans="1:34" x14ac:dyDescent="0.3">
      <c r="A56" s="91">
        <f t="shared" si="0"/>
        <v>49970</v>
      </c>
      <c r="B56">
        <v>1.6639999999999999</v>
      </c>
      <c r="C56">
        <f t="shared" si="36"/>
        <v>12.441666666666666</v>
      </c>
      <c r="D56">
        <v>2</v>
      </c>
      <c r="F56">
        <f>0</f>
        <v>0</v>
      </c>
      <c r="G56">
        <f t="shared" si="37"/>
        <v>1</v>
      </c>
      <c r="H56">
        <f t="shared" si="19"/>
        <v>1.6639999999999999</v>
      </c>
      <c r="I56">
        <f t="shared" si="20"/>
        <v>-0.20702933333333332</v>
      </c>
      <c r="K56">
        <v>2.9538123500241906</v>
      </c>
      <c r="L56">
        <f t="shared" si="21"/>
        <v>0.98544588881666373</v>
      </c>
      <c r="M56">
        <f t="shared" si="22"/>
        <v>1.1553557077391032</v>
      </c>
      <c r="N56">
        <f t="shared" si="23"/>
        <v>-0.14165341789519689</v>
      </c>
      <c r="P56">
        <v>4.7850038424555041</v>
      </c>
      <c r="Q56">
        <f t="shared" si="24"/>
        <v>0.97663401248786419</v>
      </c>
      <c r="R56">
        <f t="shared" si="25"/>
        <v>0.92394772343280196</v>
      </c>
      <c r="S56">
        <f t="shared" si="26"/>
        <v>-0.1122684706075459</v>
      </c>
      <c r="U56">
        <v>5.3262728248005473</v>
      </c>
      <c r="V56">
        <f t="shared" si="27"/>
        <v>0.97405946763887674</v>
      </c>
      <c r="W56">
        <f t="shared" si="28"/>
        <v>0.86521056839683819</v>
      </c>
      <c r="X56">
        <f t="shared" si="29"/>
        <v>-0.10485420438772453</v>
      </c>
      <c r="Z56">
        <v>5.3632410467402742</v>
      </c>
      <c r="AA56">
        <f t="shared" si="30"/>
        <v>0.97388412347115416</v>
      </c>
      <c r="AB56">
        <f t="shared" si="31"/>
        <v>0.86134331244188522</v>
      </c>
      <c r="AC56">
        <f t="shared" si="32"/>
        <v>-0.10436674376915769</v>
      </c>
      <c r="AE56">
        <v>5.3633989174056058</v>
      </c>
      <c r="AF56">
        <f t="shared" si="33"/>
        <v>0.97388337480934128</v>
      </c>
      <c r="AG56">
        <f t="shared" si="34"/>
        <v>0.86132683615852645</v>
      </c>
      <c r="AH56">
        <f t="shared" si="35"/>
        <v>-0.10436466715131619</v>
      </c>
    </row>
    <row r="57" spans="1:34" x14ac:dyDescent="0.3">
      <c r="A57" s="91">
        <f t="shared" si="0"/>
        <v>50152</v>
      </c>
      <c r="B57">
        <v>1.6639999999999999</v>
      </c>
      <c r="C57">
        <f t="shared" si="36"/>
        <v>12.941666666666666</v>
      </c>
      <c r="D57">
        <v>2</v>
      </c>
      <c r="F57">
        <f>0</f>
        <v>0</v>
      </c>
      <c r="G57">
        <f t="shared" si="37"/>
        <v>1</v>
      </c>
      <c r="H57">
        <f t="shared" si="19"/>
        <v>1.6639999999999999</v>
      </c>
      <c r="I57">
        <f t="shared" si="20"/>
        <v>-0.21534933333333331</v>
      </c>
      <c r="K57">
        <v>2.9538123500241906</v>
      </c>
      <c r="L57">
        <f t="shared" si="21"/>
        <v>0.98544588881666373</v>
      </c>
      <c r="M57">
        <f t="shared" si="22"/>
        <v>1.1385405323123663</v>
      </c>
      <c r="N57">
        <f t="shared" si="23"/>
        <v>-0.14520162873574241</v>
      </c>
      <c r="P57">
        <v>4.7850038424555041</v>
      </c>
      <c r="Q57">
        <f t="shared" si="24"/>
        <v>0.97663401248786419</v>
      </c>
      <c r="R57">
        <f t="shared" si="25"/>
        <v>0.90235877246520502</v>
      </c>
      <c r="S57">
        <f t="shared" si="26"/>
        <v>-0.11405157826860499</v>
      </c>
      <c r="U57">
        <v>5.3262728248005473</v>
      </c>
      <c r="V57">
        <f t="shared" si="27"/>
        <v>0.97405946763887674</v>
      </c>
      <c r="W57">
        <f t="shared" si="28"/>
        <v>0.84276654564815423</v>
      </c>
      <c r="X57">
        <f t="shared" si="29"/>
        <v>-0.1062387541695944</v>
      </c>
      <c r="Z57">
        <v>5.3632410467402742</v>
      </c>
      <c r="AA57">
        <f t="shared" si="30"/>
        <v>0.97388412347115416</v>
      </c>
      <c r="AB57">
        <f t="shared" si="31"/>
        <v>0.83884857684520586</v>
      </c>
      <c r="AC57">
        <f t="shared" si="32"/>
        <v>-0.10572582133009428</v>
      </c>
      <c r="AE57">
        <v>5.3633989174056058</v>
      </c>
      <c r="AF57">
        <f t="shared" si="33"/>
        <v>0.97388337480934128</v>
      </c>
      <c r="AG57">
        <f t="shared" si="34"/>
        <v>0.83883188601191849</v>
      </c>
      <c r="AH57">
        <f t="shared" si="35"/>
        <v>-0.10572363639641226</v>
      </c>
    </row>
    <row r="58" spans="1:34" x14ac:dyDescent="0.3">
      <c r="A58" s="91">
        <f t="shared" si="0"/>
        <v>50335</v>
      </c>
      <c r="B58">
        <v>1.6639999999999999</v>
      </c>
      <c r="C58">
        <f t="shared" si="36"/>
        <v>13.441666666666666</v>
      </c>
      <c r="D58">
        <v>2</v>
      </c>
      <c r="F58">
        <f>0</f>
        <v>0</v>
      </c>
      <c r="G58">
        <f t="shared" si="37"/>
        <v>1</v>
      </c>
      <c r="H58">
        <f t="shared" si="19"/>
        <v>1.6639999999999999</v>
      </c>
      <c r="I58">
        <f t="shared" si="20"/>
        <v>-0.2236693333333333</v>
      </c>
      <c r="K58">
        <v>2.9538123500241906</v>
      </c>
      <c r="L58">
        <f t="shared" si="21"/>
        <v>0.98544588881666373</v>
      </c>
      <c r="M58">
        <f t="shared" si="22"/>
        <v>1.1219700868183573</v>
      </c>
      <c r="N58">
        <f t="shared" si="23"/>
        <v>-0.14861655213427302</v>
      </c>
      <c r="P58">
        <v>4.7850038424555041</v>
      </c>
      <c r="Q58">
        <f t="shared" si="24"/>
        <v>0.97663401248786419</v>
      </c>
      <c r="R58">
        <f t="shared" si="25"/>
        <v>0.88127426865631675</v>
      </c>
      <c r="S58">
        <f t="shared" si="26"/>
        <v>-0.115690062640542</v>
      </c>
      <c r="U58">
        <v>5.3262728248005473</v>
      </c>
      <c r="V58">
        <f t="shared" si="27"/>
        <v>0.97405946763887674</v>
      </c>
      <c r="W58">
        <f t="shared" si="28"/>
        <v>0.82090473279789622</v>
      </c>
      <c r="X58">
        <f t="shared" si="29"/>
        <v>-0.10748091446410939</v>
      </c>
      <c r="Z58">
        <v>5.3632410467402742</v>
      </c>
      <c r="AA58">
        <f t="shared" si="30"/>
        <v>0.97388412347115416</v>
      </c>
      <c r="AB58">
        <f t="shared" si="31"/>
        <v>0.81694131098591838</v>
      </c>
      <c r="AC58">
        <f t="shared" si="32"/>
        <v>-0.10694272969721121</v>
      </c>
      <c r="AE58">
        <v>5.3633989174056058</v>
      </c>
      <c r="AF58">
        <f t="shared" si="33"/>
        <v>0.97388337480934128</v>
      </c>
      <c r="AG58">
        <f t="shared" si="34"/>
        <v>0.81692442804697174</v>
      </c>
      <c r="AH58">
        <f t="shared" si="35"/>
        <v>-0.10694043740560656</v>
      </c>
    </row>
    <row r="59" spans="1:34" x14ac:dyDescent="0.3">
      <c r="A59" s="91">
        <f t="shared" si="0"/>
        <v>50517</v>
      </c>
      <c r="B59">
        <v>1.6639999999999999</v>
      </c>
      <c r="C59">
        <f t="shared" si="36"/>
        <v>13.941666666666666</v>
      </c>
      <c r="D59">
        <v>2</v>
      </c>
      <c r="F59">
        <f>0</f>
        <v>0</v>
      </c>
      <c r="G59">
        <f t="shared" si="37"/>
        <v>1</v>
      </c>
      <c r="H59">
        <f t="shared" si="19"/>
        <v>1.6639999999999999</v>
      </c>
      <c r="I59">
        <f t="shared" si="20"/>
        <v>-0.2319893333333333</v>
      </c>
      <c r="K59">
        <v>2.9538123500241906</v>
      </c>
      <c r="L59">
        <f t="shared" si="21"/>
        <v>0.98544588881666373</v>
      </c>
      <c r="M59">
        <f t="shared" si="22"/>
        <v>1.1056408094304253</v>
      </c>
      <c r="N59">
        <f t="shared" si="23"/>
        <v>-0.15190131626163242</v>
      </c>
      <c r="P59">
        <v>4.7850038424555041</v>
      </c>
      <c r="Q59">
        <f t="shared" si="24"/>
        <v>0.97663401248786419</v>
      </c>
      <c r="R59">
        <f t="shared" si="25"/>
        <v>0.86068242510012649</v>
      </c>
      <c r="S59">
        <f t="shared" si="26"/>
        <v>-0.1171897087331215</v>
      </c>
      <c r="U59">
        <v>5.3262728248005473</v>
      </c>
      <c r="V59">
        <f t="shared" si="27"/>
        <v>0.97405946763887674</v>
      </c>
      <c r="W59">
        <f t="shared" si="28"/>
        <v>0.79961002701135309</v>
      </c>
      <c r="X59">
        <f t="shared" si="29"/>
        <v>-0.10858714091039696</v>
      </c>
      <c r="Z59">
        <v>5.3632410467402742</v>
      </c>
      <c r="AA59">
        <f t="shared" si="30"/>
        <v>0.97388412347115416</v>
      </c>
      <c r="AB59">
        <f t="shared" si="31"/>
        <v>0.7956061725768967</v>
      </c>
      <c r="AC59">
        <f t="shared" si="32"/>
        <v>-0.10802396767282256</v>
      </c>
      <c r="AE59">
        <v>5.3633989174056058</v>
      </c>
      <c r="AF59">
        <f t="shared" si="33"/>
        <v>0.97388337480934128</v>
      </c>
      <c r="AG59">
        <f t="shared" si="34"/>
        <v>0.79558911895057582</v>
      </c>
      <c r="AH59">
        <f t="shared" si="35"/>
        <v>-0.10802156916478513</v>
      </c>
    </row>
    <row r="60" spans="1:34" x14ac:dyDescent="0.3">
      <c r="A60" s="91">
        <f t="shared" si="0"/>
        <v>50700</v>
      </c>
      <c r="B60">
        <v>1.6639999999999999</v>
      </c>
      <c r="C60">
        <f t="shared" si="36"/>
        <v>14.441666666666666</v>
      </c>
      <c r="D60">
        <v>2</v>
      </c>
      <c r="F60">
        <f>0</f>
        <v>0</v>
      </c>
      <c r="G60">
        <f t="shared" si="37"/>
        <v>1</v>
      </c>
      <c r="H60">
        <f t="shared" si="19"/>
        <v>1.6639999999999999</v>
      </c>
      <c r="I60">
        <f t="shared" si="20"/>
        <v>-0.24030933333333332</v>
      </c>
      <c r="K60">
        <v>2.9538123500241906</v>
      </c>
      <c r="L60">
        <f t="shared" si="21"/>
        <v>0.98544588881666373</v>
      </c>
      <c r="M60">
        <f t="shared" si="22"/>
        <v>1.0895491901611412</v>
      </c>
      <c r="N60">
        <f t="shared" si="23"/>
        <v>-0.15505898646640462</v>
      </c>
      <c r="P60">
        <v>4.7850038424555041</v>
      </c>
      <c r="Q60">
        <f t="shared" si="24"/>
        <v>0.97663401248786419</v>
      </c>
      <c r="R60">
        <f t="shared" si="25"/>
        <v>0.84057173030332244</v>
      </c>
      <c r="S60">
        <f t="shared" si="26"/>
        <v>-0.11855611017106259</v>
      </c>
      <c r="U60">
        <v>5.3262728248005473</v>
      </c>
      <c r="V60">
        <f t="shared" si="27"/>
        <v>0.97405946763887674</v>
      </c>
      <c r="W60">
        <f t="shared" si="28"/>
        <v>0.77886771722938641</v>
      </c>
      <c r="X60">
        <f t="shared" si="29"/>
        <v>-0.10956365003763677</v>
      </c>
      <c r="Z60">
        <v>5.3632410467402742</v>
      </c>
      <c r="AA60">
        <f t="shared" si="30"/>
        <v>0.97388412347115416</v>
      </c>
      <c r="AB60">
        <f t="shared" si="31"/>
        <v>0.77482822000829088</v>
      </c>
      <c r="AC60">
        <f t="shared" si="32"/>
        <v>-0.10897579158034054</v>
      </c>
      <c r="AE60">
        <v>5.3633989174056058</v>
      </c>
      <c r="AF60">
        <f t="shared" si="33"/>
        <v>0.97388337480934128</v>
      </c>
      <c r="AG60">
        <f t="shared" si="34"/>
        <v>0.77481101612517722</v>
      </c>
      <c r="AH60">
        <f t="shared" si="35"/>
        <v>-0.10897328816651883</v>
      </c>
    </row>
    <row r="61" spans="1:34" x14ac:dyDescent="0.3">
      <c r="A61" s="91">
        <f t="shared" si="0"/>
        <v>50882</v>
      </c>
      <c r="B61">
        <v>1.6639999999999999</v>
      </c>
      <c r="C61">
        <f t="shared" si="36"/>
        <v>14.941666666666666</v>
      </c>
      <c r="D61">
        <v>2</v>
      </c>
      <c r="F61">
        <f>0</f>
        <v>0</v>
      </c>
      <c r="G61">
        <f t="shared" si="37"/>
        <v>1</v>
      </c>
      <c r="H61">
        <f t="shared" si="19"/>
        <v>1.6639999999999999</v>
      </c>
      <c r="I61">
        <f t="shared" si="20"/>
        <v>-0.24862933333333331</v>
      </c>
      <c r="K61">
        <v>2.9538123500241906</v>
      </c>
      <c r="L61">
        <f t="shared" si="21"/>
        <v>0.98544588881666373</v>
      </c>
      <c r="M61">
        <f t="shared" si="22"/>
        <v>1.0736917701078219</v>
      </c>
      <c r="N61">
        <f t="shared" si="23"/>
        <v>-0.15809256644094233</v>
      </c>
      <c r="P61">
        <v>4.7850038424555041</v>
      </c>
      <c r="Q61">
        <f t="shared" si="24"/>
        <v>0.97663401248786419</v>
      </c>
      <c r="R61">
        <f t="shared" si="25"/>
        <v>0.82093094175000048</v>
      </c>
      <c r="S61">
        <f t="shared" si="26"/>
        <v>-0.11979467497940186</v>
      </c>
      <c r="U61">
        <v>5.3262728248005473</v>
      </c>
      <c r="V61">
        <f t="shared" si="27"/>
        <v>0.97405946763887674</v>
      </c>
      <c r="W61">
        <f t="shared" si="28"/>
        <v>0.75866347400556344</v>
      </c>
      <c r="X61">
        <f t="shared" si="29"/>
        <v>-0.1104164273262673</v>
      </c>
      <c r="Z61">
        <v>5.3632410467402742</v>
      </c>
      <c r="AA61">
        <f t="shared" si="30"/>
        <v>0.97388412347115416</v>
      </c>
      <c r="AB61">
        <f t="shared" si="31"/>
        <v>0.75459290188348893</v>
      </c>
      <c r="AC61">
        <f t="shared" si="32"/>
        <v>-0.1098042234969369</v>
      </c>
      <c r="AE61">
        <v>5.3633989174056058</v>
      </c>
      <c r="AF61">
        <f t="shared" si="33"/>
        <v>0.97388337480934128</v>
      </c>
      <c r="AG61">
        <f t="shared" si="34"/>
        <v>0.75457556722344254</v>
      </c>
      <c r="AH61">
        <f t="shared" si="35"/>
        <v>-0.1098016166434614</v>
      </c>
    </row>
    <row r="62" spans="1:34" x14ac:dyDescent="0.3">
      <c r="A62" s="91">
        <f t="shared" si="0"/>
        <v>51065</v>
      </c>
      <c r="B62">
        <v>1.6639999999999999</v>
      </c>
      <c r="C62">
        <f t="shared" si="36"/>
        <v>15.441666666666666</v>
      </c>
      <c r="D62">
        <v>2</v>
      </c>
      <c r="F62">
        <f>0</f>
        <v>0</v>
      </c>
      <c r="G62">
        <f t="shared" si="37"/>
        <v>1</v>
      </c>
      <c r="H62">
        <f t="shared" si="19"/>
        <v>1.6639999999999999</v>
      </c>
      <c r="I62">
        <f t="shared" si="20"/>
        <v>-0.25694933333333331</v>
      </c>
      <c r="K62">
        <v>2.9538123500241906</v>
      </c>
      <c r="L62">
        <f t="shared" si="21"/>
        <v>0.98544588881666373</v>
      </c>
      <c r="M62">
        <f t="shared" si="22"/>
        <v>1.0580651407090393</v>
      </c>
      <c r="N62">
        <f t="shared" si="23"/>
        <v>-0.1610049993667616</v>
      </c>
      <c r="P62">
        <v>4.7850038424555041</v>
      </c>
      <c r="Q62">
        <f t="shared" si="24"/>
        <v>0.97663401248786419</v>
      </c>
      <c r="R62">
        <f t="shared" si="25"/>
        <v>0.80174907961674402</v>
      </c>
      <c r="S62">
        <f t="shared" si="26"/>
        <v>-0.12091063120298552</v>
      </c>
      <c r="U62">
        <v>5.3262728248005473</v>
      </c>
      <c r="V62">
        <f t="shared" si="27"/>
        <v>0.97405946763887674</v>
      </c>
      <c r="W62">
        <f t="shared" si="28"/>
        <v>0.73898333960691986</v>
      </c>
      <c r="X62">
        <f t="shared" si="29"/>
        <v>-0.1111512350118682</v>
      </c>
      <c r="Z62">
        <v>5.3632410467402742</v>
      </c>
      <c r="AA62">
        <f t="shared" si="30"/>
        <v>0.97388412347115416</v>
      </c>
      <c r="AB62">
        <f t="shared" si="31"/>
        <v>0.73488604682835623</v>
      </c>
      <c r="AC62">
        <f t="shared" si="32"/>
        <v>-0.11051505922157817</v>
      </c>
      <c r="AE62">
        <v>5.3633989174056058</v>
      </c>
      <c r="AF62">
        <f t="shared" si="33"/>
        <v>0.97388337480934128</v>
      </c>
      <c r="AG62">
        <f t="shared" si="34"/>
        <v>0.73486859995623921</v>
      </c>
      <c r="AH62">
        <f t="shared" si="35"/>
        <v>-0.11051235053708972</v>
      </c>
    </row>
    <row r="63" spans="1:34" x14ac:dyDescent="0.3">
      <c r="A63" s="91">
        <f t="shared" si="0"/>
        <v>51248</v>
      </c>
      <c r="B63">
        <v>1.6639999999999999</v>
      </c>
      <c r="C63">
        <f t="shared" si="36"/>
        <v>15.941666666666666</v>
      </c>
      <c r="D63">
        <v>2</v>
      </c>
      <c r="F63">
        <f>0</f>
        <v>0</v>
      </c>
      <c r="G63">
        <f t="shared" si="37"/>
        <v>1</v>
      </c>
      <c r="H63">
        <f t="shared" si="19"/>
        <v>1.6639999999999999</v>
      </c>
      <c r="I63">
        <f t="shared" si="20"/>
        <v>-0.2652693333333333</v>
      </c>
      <c r="K63">
        <v>2.9538123500241906</v>
      </c>
      <c r="L63">
        <f t="shared" si="21"/>
        <v>0.98544588881666373</v>
      </c>
      <c r="M63">
        <f t="shared" si="22"/>
        <v>1.0426659430119478</v>
      </c>
      <c r="N63">
        <f t="shared" si="23"/>
        <v>-0.16379916903965613</v>
      </c>
      <c r="P63">
        <v>4.7850038424555041</v>
      </c>
      <c r="Q63">
        <f t="shared" si="24"/>
        <v>0.97663401248786419</v>
      </c>
      <c r="R63">
        <f t="shared" si="25"/>
        <v>0.78301542063455287</v>
      </c>
      <c r="S63">
        <f t="shared" si="26"/>
        <v>-0.12190903236468309</v>
      </c>
      <c r="U63">
        <v>5.3262728248005473</v>
      </c>
      <c r="V63">
        <f t="shared" si="27"/>
        <v>0.97405946763887674</v>
      </c>
      <c r="W63">
        <f t="shared" si="28"/>
        <v>0.71981371837151575</v>
      </c>
      <c r="X63">
        <f t="shared" si="29"/>
        <v>-0.11177361963964463</v>
      </c>
      <c r="Z63">
        <v>5.3632410467402742</v>
      </c>
      <c r="AA63">
        <f t="shared" si="30"/>
        <v>0.97388412347115416</v>
      </c>
      <c r="AB63">
        <f t="shared" si="31"/>
        <v>0.71569385356661519</v>
      </c>
      <c r="AC63">
        <f t="shared" si="32"/>
        <v>-0.11111387598664141</v>
      </c>
      <c r="AE63">
        <v>5.3633989174056058</v>
      </c>
      <c r="AF63">
        <f t="shared" si="33"/>
        <v>0.97388337480934128</v>
      </c>
      <c r="AG63">
        <f t="shared" si="34"/>
        <v>0.71567631216679795</v>
      </c>
      <c r="AH63">
        <f t="shared" si="35"/>
        <v>-0.11111106720999438</v>
      </c>
    </row>
    <row r="64" spans="1:34" x14ac:dyDescent="0.3">
      <c r="A64" s="91">
        <f t="shared" si="0"/>
        <v>51431</v>
      </c>
      <c r="B64">
        <v>1.6639999999999999</v>
      </c>
      <c r="C64">
        <f t="shared" si="36"/>
        <v>16.441666666666666</v>
      </c>
      <c r="D64">
        <v>2</v>
      </c>
      <c r="F64">
        <f>0</f>
        <v>0</v>
      </c>
      <c r="G64">
        <f t="shared" si="37"/>
        <v>1</v>
      </c>
      <c r="H64">
        <f t="shared" si="19"/>
        <v>1.6639999999999999</v>
      </c>
      <c r="I64">
        <f t="shared" si="20"/>
        <v>-0.2735893333333333</v>
      </c>
      <c r="K64">
        <v>2.9538123500241906</v>
      </c>
      <c r="L64">
        <f t="shared" si="21"/>
        <v>0.98544588881666373</v>
      </c>
      <c r="M64">
        <f t="shared" si="22"/>
        <v>1.0274908669502738</v>
      </c>
      <c r="N64">
        <f t="shared" si="23"/>
        <v>-0.166477900974879</v>
      </c>
      <c r="P64">
        <v>4.7850038424555041</v>
      </c>
      <c r="Q64">
        <f t="shared" si="24"/>
        <v>0.97663401248786419</v>
      </c>
      <c r="R64">
        <f t="shared" si="25"/>
        <v>0.7647194920941961</v>
      </c>
      <c r="S64">
        <f t="shared" si="26"/>
        <v>-0.12279476276679153</v>
      </c>
      <c r="U64">
        <v>5.3262728248005473</v>
      </c>
      <c r="V64">
        <f t="shared" si="27"/>
        <v>0.97405946763887674</v>
      </c>
      <c r="W64">
        <f t="shared" si="28"/>
        <v>0.70114136731611898</v>
      </c>
      <c r="X64">
        <f t="shared" si="29"/>
        <v>-0.11228891937720022</v>
      </c>
      <c r="Z64">
        <v>5.3632410467402742</v>
      </c>
      <c r="AA64">
        <f t="shared" si="30"/>
        <v>0.97388412347115416</v>
      </c>
      <c r="AB64">
        <f t="shared" si="31"/>
        <v>0.69700288125441567</v>
      </c>
      <c r="AC64">
        <f t="shared" si="32"/>
        <v>-0.11160603992106945</v>
      </c>
      <c r="AE64">
        <v>5.3633989174056058</v>
      </c>
      <c r="AF64">
        <f t="shared" si="33"/>
        <v>0.97388337480934128</v>
      </c>
      <c r="AG64">
        <f t="shared" si="34"/>
        <v>0.69698526216410484</v>
      </c>
      <c r="AH64">
        <f t="shared" si="35"/>
        <v>-0.11160313290968063</v>
      </c>
    </row>
    <row r="65" spans="1:34" x14ac:dyDescent="0.3">
      <c r="A65" s="91">
        <f t="shared" si="0"/>
        <v>51613</v>
      </c>
      <c r="B65">
        <v>1.6639999999999999</v>
      </c>
      <c r="C65">
        <f t="shared" si="36"/>
        <v>16.941666666666666</v>
      </c>
      <c r="D65">
        <v>2</v>
      </c>
      <c r="F65">
        <f>0</f>
        <v>0</v>
      </c>
      <c r="G65">
        <f t="shared" si="37"/>
        <v>1</v>
      </c>
      <c r="H65">
        <f t="shared" si="19"/>
        <v>1.6639999999999999</v>
      </c>
      <c r="I65">
        <f t="shared" si="20"/>
        <v>-0.28190933333333329</v>
      </c>
      <c r="K65">
        <v>2.9538123500241906</v>
      </c>
      <c r="L65">
        <f t="shared" si="21"/>
        <v>0.98544588881666373</v>
      </c>
      <c r="M65">
        <f t="shared" si="22"/>
        <v>1.0125366506328168</v>
      </c>
      <c r="N65">
        <f t="shared" si="23"/>
        <v>-0.16904396349273365</v>
      </c>
      <c r="P65">
        <v>4.7850038424555041</v>
      </c>
      <c r="Q65">
        <f t="shared" si="24"/>
        <v>0.97663401248786419</v>
      </c>
      <c r="R65">
        <f t="shared" si="25"/>
        <v>0.74685106599163631</v>
      </c>
      <c r="S65">
        <f t="shared" si="26"/>
        <v>-0.12357254263997826</v>
      </c>
      <c r="U65">
        <v>5.3262728248005473</v>
      </c>
      <c r="V65">
        <f t="shared" si="27"/>
        <v>0.97405946763887674</v>
      </c>
      <c r="W65">
        <f t="shared" si="28"/>
        <v>0.68295338698753294</v>
      </c>
      <c r="X65">
        <f t="shared" si="29"/>
        <v>-0.1127022710930566</v>
      </c>
      <c r="Z65">
        <v>5.3632410467402742</v>
      </c>
      <c r="AA65">
        <f t="shared" si="30"/>
        <v>0.97388412347115416</v>
      </c>
      <c r="AB65">
        <f t="shared" si="31"/>
        <v>0.67880004006732553</v>
      </c>
      <c r="AC65">
        <f t="shared" si="32"/>
        <v>-0.11199671327278311</v>
      </c>
      <c r="AE65">
        <v>5.3633989174056058</v>
      </c>
      <c r="AF65">
        <f t="shared" si="33"/>
        <v>0.97388337480934128</v>
      </c>
      <c r="AG65">
        <f t="shared" si="34"/>
        <v>0.67878235930875186</v>
      </c>
      <c r="AH65">
        <f t="shared" si="35"/>
        <v>-0.11199370999159849</v>
      </c>
    </row>
    <row r="66" spans="1:34" x14ac:dyDescent="0.3">
      <c r="A66" s="91">
        <f t="shared" si="0"/>
        <v>51796</v>
      </c>
      <c r="B66">
        <v>1.6639999999999999</v>
      </c>
      <c r="C66">
        <f t="shared" si="36"/>
        <v>17.441666666666666</v>
      </c>
      <c r="D66">
        <v>2</v>
      </c>
      <c r="F66">
        <f>0</f>
        <v>0</v>
      </c>
      <c r="G66">
        <f t="shared" si="37"/>
        <v>1</v>
      </c>
      <c r="H66">
        <f t="shared" si="19"/>
        <v>1.6639999999999999</v>
      </c>
      <c r="I66">
        <f t="shared" si="20"/>
        <v>-0.29022933333333328</v>
      </c>
      <c r="K66">
        <v>2.9538123500241906</v>
      </c>
      <c r="L66">
        <f t="shared" si="21"/>
        <v>0.98544588881666373</v>
      </c>
      <c r="M66">
        <f t="shared" si="22"/>
        <v>0.99780007964230388</v>
      </c>
      <c r="N66">
        <f t="shared" si="23"/>
        <v>-0.17150006878491081</v>
      </c>
      <c r="P66">
        <v>4.7850038424555041</v>
      </c>
      <c r="Q66">
        <f t="shared" si="24"/>
        <v>0.97663401248786419</v>
      </c>
      <c r="R66">
        <f t="shared" si="25"/>
        <v>0.72940015331025043</v>
      </c>
      <c r="S66">
        <f t="shared" si="26"/>
        <v>-0.12424693314399292</v>
      </c>
      <c r="U66">
        <v>5.3262728248005473</v>
      </c>
      <c r="V66">
        <f t="shared" si="27"/>
        <v>0.97405946763887674</v>
      </c>
      <c r="W66">
        <f t="shared" si="28"/>
        <v>0.66523721255124413</v>
      </c>
      <c r="X66">
        <f t="shared" si="29"/>
        <v>-0.11301861720815126</v>
      </c>
      <c r="Z66">
        <v>5.3632410467402742</v>
      </c>
      <c r="AA66">
        <f t="shared" si="30"/>
        <v>0.97388412347115416</v>
      </c>
      <c r="AB66">
        <f t="shared" si="31"/>
        <v>0.66107258203315156</v>
      </c>
      <c r="AC66">
        <f t="shared" si="32"/>
        <v>-0.11229086139783538</v>
      </c>
      <c r="AE66">
        <v>5.3633989174056058</v>
      </c>
      <c r="AF66">
        <f t="shared" si="33"/>
        <v>0.97388337480934128</v>
      </c>
      <c r="AG66">
        <f t="shared" si="34"/>
        <v>0.6610548548446542</v>
      </c>
      <c r="AH66">
        <f t="shared" si="35"/>
        <v>-0.11228776390888766</v>
      </c>
    </row>
    <row r="67" spans="1:34" x14ac:dyDescent="0.3">
      <c r="A67" s="91">
        <f t="shared" si="0"/>
        <v>51978</v>
      </c>
      <c r="B67">
        <v>1.6639999999999999</v>
      </c>
      <c r="C67">
        <f t="shared" si="36"/>
        <v>17.941666666666666</v>
      </c>
      <c r="D67">
        <v>2</v>
      </c>
      <c r="F67">
        <f>0</f>
        <v>0</v>
      </c>
      <c r="G67">
        <f t="shared" si="37"/>
        <v>1</v>
      </c>
      <c r="H67">
        <f t="shared" si="19"/>
        <v>1.6639999999999999</v>
      </c>
      <c r="I67">
        <f t="shared" si="20"/>
        <v>-0.29854933333333328</v>
      </c>
      <c r="K67">
        <v>2.9538123500241906</v>
      </c>
      <c r="L67">
        <f t="shared" si="21"/>
        <v>0.98544588881666373</v>
      </c>
      <c r="M67">
        <f t="shared" si="22"/>
        <v>0.98327798634444807</v>
      </c>
      <c r="N67">
        <f t="shared" si="23"/>
        <v>-0.17384887396190071</v>
      </c>
      <c r="P67">
        <v>4.7850038424555041</v>
      </c>
      <c r="Q67">
        <f t="shared" si="24"/>
        <v>0.97663401248786419</v>
      </c>
      <c r="R67">
        <f t="shared" si="25"/>
        <v>0.71235699843665312</v>
      </c>
      <c r="S67">
        <f t="shared" si="26"/>
        <v>-0.12482234122426421</v>
      </c>
      <c r="U67">
        <v>5.3262728248005473</v>
      </c>
      <c r="V67">
        <f t="shared" si="27"/>
        <v>0.97405946763887674</v>
      </c>
      <c r="W67">
        <f t="shared" si="28"/>
        <v>0.64798060511123512</v>
      </c>
      <c r="X67">
        <f t="shared" si="29"/>
        <v>-0.11324271232732865</v>
      </c>
      <c r="Z67">
        <v>5.3632410467402742</v>
      </c>
      <c r="AA67">
        <f t="shared" si="30"/>
        <v>0.97388412347115416</v>
      </c>
      <c r="AB67">
        <f t="shared" si="31"/>
        <v>0.64380809210416856</v>
      </c>
      <c r="AC67">
        <f t="shared" si="32"/>
        <v>-0.11249325952356432</v>
      </c>
      <c r="AE67">
        <v>5.3633989174056058</v>
      </c>
      <c r="AF67">
        <f t="shared" si="33"/>
        <v>0.97388337480934128</v>
      </c>
      <c r="AG67">
        <f t="shared" si="34"/>
        <v>0.64379033297021104</v>
      </c>
      <c r="AH67">
        <f t="shared" si="35"/>
        <v>-0.11249006997609533</v>
      </c>
    </row>
    <row r="68" spans="1:34" x14ac:dyDescent="0.3">
      <c r="A68" s="91">
        <f t="shared" si="0"/>
        <v>52161</v>
      </c>
      <c r="B68">
        <v>1.6639999999999999</v>
      </c>
      <c r="C68">
        <f t="shared" si="36"/>
        <v>18.441666666666666</v>
      </c>
      <c r="D68">
        <v>2</v>
      </c>
      <c r="F68">
        <f>0</f>
        <v>0</v>
      </c>
      <c r="G68">
        <f t="shared" si="37"/>
        <v>1</v>
      </c>
      <c r="H68">
        <f t="shared" si="19"/>
        <v>1.6639999999999999</v>
      </c>
      <c r="I68">
        <f t="shared" si="20"/>
        <v>-0.30686933333333333</v>
      </c>
      <c r="K68">
        <v>2.9538123500241906</v>
      </c>
      <c r="L68">
        <f t="shared" si="21"/>
        <v>0.98544588881666373</v>
      </c>
      <c r="M68">
        <f t="shared" si="22"/>
        <v>0.96896724920706401</v>
      </c>
      <c r="N68">
        <f t="shared" si="23"/>
        <v>-0.17609298208180688</v>
      </c>
      <c r="P68">
        <v>4.7850038424555041</v>
      </c>
      <c r="Q68">
        <f t="shared" si="24"/>
        <v>0.97663401248786419</v>
      </c>
      <c r="R68">
        <f t="shared" si="25"/>
        <v>0.69571207370699972</v>
      </c>
      <c r="S68">
        <f t="shared" si="26"/>
        <v>-0.12530302432838611</v>
      </c>
      <c r="U68">
        <v>5.3262728248005473</v>
      </c>
      <c r="V68">
        <f t="shared" si="27"/>
        <v>0.97405946763887674</v>
      </c>
      <c r="W68">
        <f t="shared" si="28"/>
        <v>0.63117164325496689</v>
      </c>
      <c r="X68">
        <f t="shared" si="29"/>
        <v>-0.11337912965762864</v>
      </c>
      <c r="Z68">
        <v>5.3632410467402742</v>
      </c>
      <c r="AA68">
        <f t="shared" si="30"/>
        <v>0.97388412347115416</v>
      </c>
      <c r="AB68">
        <f t="shared" si="31"/>
        <v>0.62699447946250431</v>
      </c>
      <c r="AC68">
        <f t="shared" si="32"/>
        <v>-0.11260849929278247</v>
      </c>
      <c r="AE68">
        <v>5.3633989174056058</v>
      </c>
      <c r="AF68">
        <f t="shared" si="33"/>
        <v>0.97388337480934128</v>
      </c>
      <c r="AG68">
        <f t="shared" si="34"/>
        <v>0.62697670214265866</v>
      </c>
      <c r="AH68">
        <f t="shared" si="35"/>
        <v>-0.1126052199139063</v>
      </c>
    </row>
    <row r="69" spans="1:34" x14ac:dyDescent="0.3">
      <c r="A69" s="91">
        <f t="shared" si="0"/>
        <v>52343</v>
      </c>
      <c r="B69">
        <v>1.6639999999999999</v>
      </c>
      <c r="C69">
        <f t="shared" si="36"/>
        <v>18.941666666666666</v>
      </c>
      <c r="D69">
        <v>2</v>
      </c>
      <c r="F69">
        <f>0</f>
        <v>0</v>
      </c>
      <c r="G69">
        <f t="shared" si="37"/>
        <v>1</v>
      </c>
      <c r="H69">
        <f t="shared" si="19"/>
        <v>1.6639999999999999</v>
      </c>
      <c r="I69">
        <f t="shared" si="20"/>
        <v>-0.31518933333333332</v>
      </c>
      <c r="K69">
        <v>2.9538123500241906</v>
      </c>
      <c r="L69">
        <f t="shared" si="21"/>
        <v>0.98544588881666373</v>
      </c>
      <c r="M69">
        <f t="shared" si="22"/>
        <v>0.95486479212909292</v>
      </c>
      <c r="N69">
        <f t="shared" si="23"/>
        <v>-0.17823494316088001</v>
      </c>
      <c r="P69">
        <v>4.7850038424555041</v>
      </c>
      <c r="Q69">
        <f t="shared" si="24"/>
        <v>0.97663401248786419</v>
      </c>
      <c r="R69">
        <f t="shared" si="25"/>
        <v>0.67945607408071995</v>
      </c>
      <c r="S69">
        <f t="shared" si="26"/>
        <v>-0.1256930949863897</v>
      </c>
      <c r="U69">
        <v>5.3262728248005473</v>
      </c>
      <c r="V69">
        <f t="shared" si="27"/>
        <v>0.97405946763887674</v>
      </c>
      <c r="W69">
        <f t="shared" si="28"/>
        <v>0.61479871481768811</v>
      </c>
      <c r="X69">
        <f t="shared" si="29"/>
        <v>-0.11343226721997086</v>
      </c>
      <c r="Z69">
        <v>5.3632410467402742</v>
      </c>
      <c r="AA69">
        <f t="shared" si="30"/>
        <v>0.97388412347115416</v>
      </c>
      <c r="AB69">
        <f t="shared" si="31"/>
        <v>0.61061996905259364</v>
      </c>
      <c r="AC69">
        <f t="shared" si="32"/>
        <v>-0.1126409950958274</v>
      </c>
      <c r="AE69">
        <v>5.3633989174056058</v>
      </c>
      <c r="AF69">
        <f t="shared" si="33"/>
        <v>0.97388337480934128</v>
      </c>
      <c r="AG69">
        <f t="shared" si="34"/>
        <v>0.61060218660952359</v>
      </c>
      <c r="AH69">
        <f t="shared" si="35"/>
        <v>-0.11263762818170936</v>
      </c>
    </row>
    <row r="70" spans="1:34" x14ac:dyDescent="0.3">
      <c r="A70" s="91">
        <f t="shared" si="0"/>
        <v>52526</v>
      </c>
      <c r="B70">
        <v>1.6639999999999999</v>
      </c>
      <c r="C70">
        <f t="shared" si="36"/>
        <v>19.441666666666666</v>
      </c>
      <c r="D70">
        <v>2</v>
      </c>
      <c r="F70">
        <f>0</f>
        <v>0</v>
      </c>
      <c r="G70">
        <f t="shared" si="37"/>
        <v>1</v>
      </c>
      <c r="H70">
        <f t="shared" si="19"/>
        <v>1.6639999999999999</v>
      </c>
      <c r="I70">
        <f t="shared" si="20"/>
        <v>-0.32350933333333332</v>
      </c>
      <c r="K70">
        <v>2.9538123500241906</v>
      </c>
      <c r="L70">
        <f t="shared" si="21"/>
        <v>0.98544588881666373</v>
      </c>
      <c r="M70">
        <f t="shared" si="22"/>
        <v>0.94096758377939294</v>
      </c>
      <c r="N70">
        <f t="shared" si="23"/>
        <v>-0.1802772551660867</v>
      </c>
      <c r="P70">
        <v>4.7850038424555041</v>
      </c>
      <c r="Q70">
        <f t="shared" si="24"/>
        <v>0.97663401248786419</v>
      </c>
      <c r="R70">
        <f t="shared" si="25"/>
        <v>0.66357991193870491</v>
      </c>
      <c r="S70">
        <f t="shared" si="26"/>
        <v>-0.1259965252585912</v>
      </c>
      <c r="U70">
        <v>5.3262728248005473</v>
      </c>
      <c r="V70">
        <f t="shared" si="27"/>
        <v>0.97405946763887674</v>
      </c>
      <c r="W70">
        <f t="shared" si="28"/>
        <v>0.59885050886038282</v>
      </c>
      <c r="X70">
        <f t="shared" si="29"/>
        <v>-0.11340635386063468</v>
      </c>
      <c r="Z70">
        <v>5.3632410467402742</v>
      </c>
      <c r="AA70">
        <f t="shared" si="30"/>
        <v>0.97388412347115416</v>
      </c>
      <c r="AB70">
        <f t="shared" si="31"/>
        <v>0.59467309333476825</v>
      </c>
      <c r="AC70">
        <f t="shared" si="32"/>
        <v>-0.11259499019708946</v>
      </c>
      <c r="AE70">
        <v>5.3633989174056058</v>
      </c>
      <c r="AF70">
        <f t="shared" si="33"/>
        <v>0.97388337480934128</v>
      </c>
      <c r="AG70">
        <f t="shared" si="34"/>
        <v>0.59465531816124606</v>
      </c>
      <c r="AH70">
        <f t="shared" si="35"/>
        <v>-0.11259153810461885</v>
      </c>
    </row>
    <row r="71" spans="1:34" x14ac:dyDescent="0.3">
      <c r="A71" s="91">
        <f t="shared" si="0"/>
        <v>52709</v>
      </c>
      <c r="B71">
        <v>1.6639999999999999</v>
      </c>
      <c r="C71">
        <f t="shared" si="36"/>
        <v>19.941666666666666</v>
      </c>
      <c r="D71">
        <v>2</v>
      </c>
      <c r="F71">
        <f>0</f>
        <v>0</v>
      </c>
      <c r="G71">
        <f t="shared" si="37"/>
        <v>1</v>
      </c>
      <c r="H71">
        <f t="shared" si="19"/>
        <v>1.6639999999999999</v>
      </c>
      <c r="I71">
        <f t="shared" si="20"/>
        <v>-0.33182933333333331</v>
      </c>
      <c r="K71">
        <v>2.9538123500241906</v>
      </c>
      <c r="L71">
        <f t="shared" si="21"/>
        <v>0.98544588881666373</v>
      </c>
      <c r="M71">
        <f t="shared" si="22"/>
        <v>0.92727263694515227</v>
      </c>
      <c r="N71">
        <f t="shared" si="23"/>
        <v>-0.18222236499002173</v>
      </c>
      <c r="P71">
        <v>4.7850038424555041</v>
      </c>
      <c r="Q71">
        <f t="shared" si="24"/>
        <v>0.97663401248786419</v>
      </c>
      <c r="R71">
        <f t="shared" si="25"/>
        <v>0.64807471200304101</v>
      </c>
      <c r="S71">
        <f t="shared" si="26"/>
        <v>-0.12621715105470371</v>
      </c>
      <c r="U71">
        <v>5.3262728248005473</v>
      </c>
      <c r="V71">
        <f t="shared" si="27"/>
        <v>0.97405946763887674</v>
      </c>
      <c r="W71">
        <f t="shared" si="28"/>
        <v>0.58331600785581506</v>
      </c>
      <c r="X71">
        <f t="shared" si="29"/>
        <v>-0.11330545506874228</v>
      </c>
      <c r="Z71">
        <v>5.3632410467402742</v>
      </c>
      <c r="AA71">
        <f t="shared" si="30"/>
        <v>0.97388412347115416</v>
      </c>
      <c r="AB71">
        <f t="shared" si="31"/>
        <v>0.57914268425421067</v>
      </c>
      <c r="AC71">
        <f t="shared" si="32"/>
        <v>-0.11247456266243389</v>
      </c>
      <c r="AE71">
        <v>5.3633989174056058</v>
      </c>
      <c r="AF71">
        <f t="shared" si="33"/>
        <v>0.97388337480934128</v>
      </c>
      <c r="AG71">
        <f t="shared" si="34"/>
        <v>0.57912492809919691</v>
      </c>
      <c r="AH71">
        <f t="shared" si="35"/>
        <v>-0.1124710278013681</v>
      </c>
    </row>
    <row r="72" spans="1:34" x14ac:dyDescent="0.3">
      <c r="A72" s="91">
        <f t="shared" si="0"/>
        <v>52892</v>
      </c>
      <c r="B72">
        <v>1.6639999999999999</v>
      </c>
      <c r="C72">
        <f t="shared" si="36"/>
        <v>20.441666666666666</v>
      </c>
      <c r="D72">
        <v>2</v>
      </c>
      <c r="F72">
        <f>0</f>
        <v>0</v>
      </c>
      <c r="G72">
        <f t="shared" si="37"/>
        <v>1</v>
      </c>
      <c r="H72">
        <f t="shared" si="19"/>
        <v>1.6639999999999999</v>
      </c>
      <c r="I72">
        <f t="shared" si="20"/>
        <v>-0.3401493333333333</v>
      </c>
      <c r="K72">
        <v>2.9538123500241906</v>
      </c>
      <c r="L72">
        <f t="shared" si="21"/>
        <v>0.98544588881666373</v>
      </c>
      <c r="M72">
        <f t="shared" si="22"/>
        <v>0.913777007889787</v>
      </c>
      <c r="N72">
        <f t="shared" si="23"/>
        <v>-0.18407266940846737</v>
      </c>
      <c r="P72">
        <v>4.7850038424555041</v>
      </c>
      <c r="Q72">
        <f t="shared" si="24"/>
        <v>0.97663401248786419</v>
      </c>
      <c r="R72">
        <f t="shared" si="25"/>
        <v>0.63293180637544688</v>
      </c>
      <c r="S72">
        <f t="shared" si="26"/>
        <v>-0.12635867632780037</v>
      </c>
      <c r="U72">
        <v>5.3262728248005473</v>
      </c>
      <c r="V72">
        <f t="shared" si="27"/>
        <v>0.97405946763887674</v>
      </c>
      <c r="W72">
        <f t="shared" si="28"/>
        <v>0.56818448007726996</v>
      </c>
      <c r="X72">
        <f t="shared" si="29"/>
        <v>-0.11313347860576344</v>
      </c>
      <c r="Z72">
        <v>5.3632410467402742</v>
      </c>
      <c r="AA72">
        <f t="shared" si="30"/>
        <v>0.97388412347115416</v>
      </c>
      <c r="AB72">
        <f t="shared" si="31"/>
        <v>0.56401786541964338</v>
      </c>
      <c r="AC72">
        <f t="shared" si="32"/>
        <v>-0.11228363109373724</v>
      </c>
      <c r="AE72">
        <v>5.3633989174056058</v>
      </c>
      <c r="AF72">
        <f t="shared" si="33"/>
        <v>0.97388337480934128</v>
      </c>
      <c r="AG72">
        <f t="shared" si="34"/>
        <v>0.56400013941346294</v>
      </c>
      <c r="AH72">
        <f t="shared" si="35"/>
        <v>-0.11228001591929621</v>
      </c>
    </row>
    <row r="73" spans="1:34" x14ac:dyDescent="0.3">
      <c r="A73" s="91">
        <f t="shared" si="0"/>
        <v>53074</v>
      </c>
      <c r="B73">
        <v>1.6639999999999999</v>
      </c>
      <c r="C73">
        <f t="shared" si="36"/>
        <v>20.941666666666666</v>
      </c>
      <c r="D73">
        <v>2</v>
      </c>
      <c r="F73">
        <f>0</f>
        <v>0</v>
      </c>
      <c r="G73">
        <f t="shared" si="37"/>
        <v>1</v>
      </c>
      <c r="H73">
        <f t="shared" si="19"/>
        <v>1.6639999999999999</v>
      </c>
      <c r="I73">
        <f t="shared" si="20"/>
        <v>-0.3484693333333333</v>
      </c>
      <c r="K73">
        <v>2.9538123500241906</v>
      </c>
      <c r="L73">
        <f t="shared" si="21"/>
        <v>0.98544588881666373</v>
      </c>
      <c r="M73">
        <f t="shared" si="22"/>
        <v>0.90047779572018272</v>
      </c>
      <c r="N73">
        <f t="shared" si="23"/>
        <v>-0.18583051602089876</v>
      </c>
      <c r="P73">
        <v>4.7850038424555041</v>
      </c>
      <c r="Q73">
        <f t="shared" si="24"/>
        <v>0.97663401248786419</v>
      </c>
      <c r="R73">
        <f t="shared" si="25"/>
        <v>0.61814272969164474</v>
      </c>
      <c r="S73">
        <f t="shared" si="26"/>
        <v>-0.12642467714661976</v>
      </c>
      <c r="U73">
        <v>5.3262728248005473</v>
      </c>
      <c r="V73">
        <f t="shared" si="27"/>
        <v>0.97405946763887674</v>
      </c>
      <c r="W73">
        <f t="shared" si="28"/>
        <v>0.5534454721847375</v>
      </c>
      <c r="X73">
        <f t="shared" si="29"/>
        <v>-0.11289417995288123</v>
      </c>
      <c r="Z73">
        <v>5.3632410467402742</v>
      </c>
      <c r="AA73">
        <f t="shared" si="30"/>
        <v>0.97388412347115416</v>
      </c>
      <c r="AB73">
        <f t="shared" si="31"/>
        <v>0.54928804448628077</v>
      </c>
      <c r="AC73">
        <f t="shared" si="32"/>
        <v>-0.11202596017657124</v>
      </c>
      <c r="AE73">
        <v>5.3633989174056058</v>
      </c>
      <c r="AF73">
        <f t="shared" si="33"/>
        <v>0.97388337480934128</v>
      </c>
      <c r="AG73">
        <f t="shared" si="34"/>
        <v>0.54927035916492228</v>
      </c>
      <c r="AH73">
        <f t="shared" si="35"/>
        <v>-0.11202226718246212</v>
      </c>
    </row>
    <row r="74" spans="1:34" x14ac:dyDescent="0.3">
      <c r="A74" s="91">
        <f t="shared" si="0"/>
        <v>53257</v>
      </c>
      <c r="B74">
        <v>1.6639999999999999</v>
      </c>
      <c r="C74">
        <f t="shared" si="36"/>
        <v>21.441666666666666</v>
      </c>
      <c r="D74">
        <v>2</v>
      </c>
      <c r="F74">
        <f>0</f>
        <v>0</v>
      </c>
      <c r="G74">
        <f t="shared" si="37"/>
        <v>1</v>
      </c>
      <c r="H74">
        <f t="shared" si="19"/>
        <v>1.6639999999999999</v>
      </c>
      <c r="I74">
        <f t="shared" si="20"/>
        <v>-0.35678933333333329</v>
      </c>
      <c r="K74">
        <v>2.9538123500241906</v>
      </c>
      <c r="L74">
        <f t="shared" si="21"/>
        <v>0.98544588881666373</v>
      </c>
      <c r="M74">
        <f t="shared" si="22"/>
        <v>0.88737214176314549</v>
      </c>
      <c r="N74">
        <f t="shared" si="23"/>
        <v>-0.18749820417422844</v>
      </c>
      <c r="P74">
        <v>4.7850038424555041</v>
      </c>
      <c r="Q74">
        <f t="shared" si="24"/>
        <v>0.97663401248786419</v>
      </c>
      <c r="R74">
        <f t="shared" si="25"/>
        <v>0.60369921438895213</v>
      </c>
      <c r="S74">
        <f t="shared" si="26"/>
        <v>-0.12641860564960827</v>
      </c>
      <c r="U74">
        <v>5.3262728248005473</v>
      </c>
      <c r="V74">
        <f t="shared" si="27"/>
        <v>0.97405946763887674</v>
      </c>
      <c r="W74">
        <f t="shared" si="28"/>
        <v>0.53908880200341214</v>
      </c>
      <c r="X74">
        <f t="shared" si="29"/>
        <v>-0.11259116758187866</v>
      </c>
      <c r="Z74">
        <v>5.3632410467402742</v>
      </c>
      <c r="AA74">
        <f t="shared" si="30"/>
        <v>0.97388412347115416</v>
      </c>
      <c r="AB74">
        <f t="shared" si="31"/>
        <v>0.53494290573770586</v>
      </c>
      <c r="AC74">
        <f t="shared" si="32"/>
        <v>-0.1117051660468819</v>
      </c>
      <c r="AE74">
        <v>5.3633989174056058</v>
      </c>
      <c r="AF74">
        <f t="shared" si="33"/>
        <v>0.97388337480934128</v>
      </c>
      <c r="AG74">
        <f t="shared" si="34"/>
        <v>0.53492527106627341</v>
      </c>
      <c r="AH74">
        <f t="shared" si="35"/>
        <v>-0.11170139775873401</v>
      </c>
    </row>
    <row r="75" spans="1:34" x14ac:dyDescent="0.3">
      <c r="A75" s="91">
        <f t="shared" si="0"/>
        <v>53439</v>
      </c>
      <c r="B75">
        <v>1.6639999999999999</v>
      </c>
      <c r="C75">
        <f t="shared" si="36"/>
        <v>21.941666666666666</v>
      </c>
      <c r="D75">
        <v>2</v>
      </c>
      <c r="F75">
        <f>0</f>
        <v>0</v>
      </c>
      <c r="G75">
        <f t="shared" si="37"/>
        <v>1</v>
      </c>
      <c r="H75">
        <f t="shared" si="19"/>
        <v>1.6639999999999999</v>
      </c>
      <c r="I75">
        <f t="shared" si="20"/>
        <v>-0.36510933333333329</v>
      </c>
      <c r="K75">
        <v>2.9538123500241906</v>
      </c>
      <c r="L75">
        <f t="shared" si="21"/>
        <v>0.98544588881666373</v>
      </c>
      <c r="M75">
        <f t="shared" si="22"/>
        <v>0.87445722895092959</v>
      </c>
      <c r="N75">
        <f t="shared" si="23"/>
        <v>-0.1890779858700794</v>
      </c>
      <c r="P75">
        <v>4.7850038424555041</v>
      </c>
      <c r="Q75">
        <f t="shared" si="24"/>
        <v>0.97663401248786419</v>
      </c>
      <c r="R75">
        <f t="shared" si="25"/>
        <v>0.58959318608445377</v>
      </c>
      <c r="S75">
        <f t="shared" si="26"/>
        <v>-0.12634379388400374</v>
      </c>
      <c r="U75">
        <v>5.3262728248005473</v>
      </c>
      <c r="V75">
        <f t="shared" si="27"/>
        <v>0.97405946763887674</v>
      </c>
      <c r="W75">
        <f t="shared" si="28"/>
        <v>0.52510455148952351</v>
      </c>
      <c r="X75">
        <f t="shared" si="29"/>
        <v>-0.11222790805503748</v>
      </c>
      <c r="Z75">
        <v>5.3632410467402742</v>
      </c>
      <c r="AA75">
        <f t="shared" si="30"/>
        <v>0.97388412347115416</v>
      </c>
      <c r="AB75">
        <f t="shared" si="31"/>
        <v>0.52097240286147795</v>
      </c>
      <c r="AC75">
        <f t="shared" si="32"/>
        <v>-0.11132472148233437</v>
      </c>
      <c r="AE75">
        <v>5.3633989174056058</v>
      </c>
      <c r="AF75">
        <f t="shared" si="33"/>
        <v>0.97388337480934128</v>
      </c>
      <c r="AG75">
        <f t="shared" si="34"/>
        <v>0.52095482825682404</v>
      </c>
      <c r="AH75">
        <f t="shared" si="35"/>
        <v>-0.11132088045152636</v>
      </c>
    </row>
    <row r="76" spans="1:34" x14ac:dyDescent="0.3">
      <c r="A76" s="91">
        <f t="shared" si="0"/>
        <v>53622</v>
      </c>
      <c r="B76">
        <v>1.6639999999999999</v>
      </c>
      <c r="C76">
        <f t="shared" si="36"/>
        <v>22.441666666666666</v>
      </c>
      <c r="D76">
        <v>2</v>
      </c>
      <c r="F76">
        <f>0</f>
        <v>0</v>
      </c>
      <c r="G76">
        <f t="shared" si="37"/>
        <v>1</v>
      </c>
      <c r="H76">
        <f t="shared" si="19"/>
        <v>1.6639999999999999</v>
      </c>
      <c r="I76">
        <f t="shared" si="20"/>
        <v>-0.37342933333333328</v>
      </c>
      <c r="K76">
        <v>2.9538123500241906</v>
      </c>
      <c r="L76">
        <f t="shared" si="21"/>
        <v>0.98544588881666373</v>
      </c>
      <c r="M76">
        <f t="shared" si="22"/>
        <v>0.86173028121570561</v>
      </c>
      <c r="N76">
        <f t="shared" si="23"/>
        <v>-0.19057206665586918</v>
      </c>
      <c r="P76">
        <v>4.7850038424555041</v>
      </c>
      <c r="Q76">
        <f t="shared" si="24"/>
        <v>0.97663401248786419</v>
      </c>
      <c r="R76">
        <f t="shared" si="25"/>
        <v>0.57581675906116392</v>
      </c>
      <c r="S76">
        <f t="shared" si="26"/>
        <v>-0.12620345753317253</v>
      </c>
      <c r="U76">
        <v>5.3262728248005473</v>
      </c>
      <c r="V76">
        <f t="shared" si="27"/>
        <v>0.97405946763887674</v>
      </c>
      <c r="W76">
        <f t="shared" si="28"/>
        <v>0.5114830598786364</v>
      </c>
      <c r="X76">
        <f t="shared" si="29"/>
        <v>-0.11180773095937305</v>
      </c>
      <c r="Z76">
        <v>5.3632410467402742</v>
      </c>
      <c r="AA76">
        <f t="shared" si="30"/>
        <v>0.97388412347115416</v>
      </c>
      <c r="AB76">
        <f t="shared" si="31"/>
        <v>0.50736675191341141</v>
      </c>
      <c r="AC76">
        <f t="shared" si="32"/>
        <v>-0.11088796092382154</v>
      </c>
      <c r="AE76">
        <v>5.3633989174056058</v>
      </c>
      <c r="AF76">
        <f t="shared" si="33"/>
        <v>0.97388337480934128</v>
      </c>
      <c r="AG76">
        <f t="shared" si="34"/>
        <v>0.50734924626597655</v>
      </c>
      <c r="AH76">
        <f t="shared" si="35"/>
        <v>-0.11088404972168214</v>
      </c>
    </row>
    <row r="77" spans="1:34" x14ac:dyDescent="0.3">
      <c r="A77" s="91">
        <f t="shared" si="0"/>
        <v>53804</v>
      </c>
      <c r="B77">
        <v>1.6639999999999999</v>
      </c>
      <c r="C77">
        <f t="shared" si="36"/>
        <v>22.941666666666666</v>
      </c>
      <c r="D77">
        <v>2</v>
      </c>
      <c r="F77">
        <f>0</f>
        <v>0</v>
      </c>
      <c r="G77">
        <f t="shared" si="37"/>
        <v>1</v>
      </c>
      <c r="H77">
        <f t="shared" si="19"/>
        <v>1.6639999999999999</v>
      </c>
      <c r="I77">
        <f t="shared" si="20"/>
        <v>-0.38174933333333327</v>
      </c>
      <c r="K77">
        <v>2.9538123500241906</v>
      </c>
      <c r="L77">
        <f t="shared" si="21"/>
        <v>0.98544588881666373</v>
      </c>
      <c r="M77">
        <f t="shared" si="22"/>
        <v>0.84918856289284472</v>
      </c>
      <c r="N77">
        <f t="shared" si="23"/>
        <v>-0.19198260649998594</v>
      </c>
      <c r="P77">
        <v>4.7850038424555041</v>
      </c>
      <c r="Q77">
        <f t="shared" si="24"/>
        <v>0.97663401248786419</v>
      </c>
      <c r="R77">
        <f t="shared" si="25"/>
        <v>0.56236223185966228</v>
      </c>
      <c r="S77">
        <f t="shared" si="26"/>
        <v>-0.12600069953532772</v>
      </c>
      <c r="U77">
        <v>5.3262728248005473</v>
      </c>
      <c r="V77">
        <f t="shared" si="27"/>
        <v>0.97405946763887674</v>
      </c>
      <c r="W77">
        <f t="shared" si="28"/>
        <v>0.49821491701168835</v>
      </c>
      <c r="X77">
        <f t="shared" si="29"/>
        <v>-0.11133383368036844</v>
      </c>
      <c r="Z77">
        <v>5.3632410467402742</v>
      </c>
      <c r="AA77">
        <f t="shared" si="30"/>
        <v>0.97388412347115416</v>
      </c>
      <c r="AB77">
        <f t="shared" si="31"/>
        <v>0.49411642446559922</v>
      </c>
      <c r="AC77">
        <f t="shared" si="32"/>
        <v>-0.11039808533246645</v>
      </c>
      <c r="AE77">
        <v>5.3633989174056058</v>
      </c>
      <c r="AF77">
        <f t="shared" si="33"/>
        <v>0.97388337480934128</v>
      </c>
      <c r="AG77">
        <f t="shared" si="34"/>
        <v>0.49409899616048492</v>
      </c>
      <c r="AH77">
        <f t="shared" si="35"/>
        <v>-0.11039410654483202</v>
      </c>
    </row>
    <row r="78" spans="1:34" x14ac:dyDescent="0.3">
      <c r="A78" s="91">
        <f t="shared" si="0"/>
        <v>53987</v>
      </c>
      <c r="B78">
        <v>1.6639999999999999</v>
      </c>
      <c r="C78">
        <f t="shared" si="36"/>
        <v>23.441666666666666</v>
      </c>
      <c r="D78">
        <v>2</v>
      </c>
      <c r="F78">
        <f>0</f>
        <v>0</v>
      </c>
      <c r="G78">
        <f t="shared" si="37"/>
        <v>1</v>
      </c>
      <c r="H78">
        <f t="shared" si="19"/>
        <v>1.6639999999999999</v>
      </c>
      <c r="I78">
        <f t="shared" si="20"/>
        <v>-0.39006933333333327</v>
      </c>
      <c r="K78">
        <v>2.9538123500241906</v>
      </c>
      <c r="L78">
        <f t="shared" si="21"/>
        <v>0.98544588881666373</v>
      </c>
      <c r="M78">
        <f t="shared" si="22"/>
        <v>0.8368293781328846</v>
      </c>
      <c r="N78">
        <f t="shared" si="23"/>
        <v>-0.19331172065132871</v>
      </c>
      <c r="P78">
        <v>4.7850038424555041</v>
      </c>
      <c r="Q78">
        <f t="shared" si="24"/>
        <v>0.97663401248786419</v>
      </c>
      <c r="R78">
        <f t="shared" si="25"/>
        <v>0.54922208297273267</v>
      </c>
      <c r="S78">
        <f t="shared" si="26"/>
        <v>-0.12573851359666793</v>
      </c>
      <c r="U78">
        <v>5.3262728248005473</v>
      </c>
      <c r="V78">
        <f t="shared" si="27"/>
        <v>0.97405946763887674</v>
      </c>
      <c r="W78">
        <f t="shared" si="28"/>
        <v>0.48529095683415224</v>
      </c>
      <c r="X78">
        <f t="shared" si="29"/>
        <v>-0.11080928602021409</v>
      </c>
      <c r="Z78">
        <v>5.3632410467402742</v>
      </c>
      <c r="AA78">
        <f t="shared" si="30"/>
        <v>0.97388412347115416</v>
      </c>
      <c r="AB78">
        <f t="shared" si="31"/>
        <v>0.48121214093338088</v>
      </c>
      <c r="AC78">
        <f t="shared" si="32"/>
        <v>-0.1098581668872857</v>
      </c>
      <c r="AE78">
        <v>5.3633989174056058</v>
      </c>
      <c r="AF78">
        <f t="shared" si="33"/>
        <v>0.97388337480934128</v>
      </c>
      <c r="AG78">
        <f t="shared" si="34"/>
        <v>0.48119479787068081</v>
      </c>
      <c r="AH78">
        <f t="shared" si="35"/>
        <v>-0.10985412310939797</v>
      </c>
    </row>
    <row r="79" spans="1:34" x14ac:dyDescent="0.3">
      <c r="A79" s="91">
        <f t="shared" si="0"/>
        <v>54170</v>
      </c>
      <c r="B79">
        <v>1.6639999999999999</v>
      </c>
      <c r="C79">
        <f t="shared" si="36"/>
        <v>23.941666666666666</v>
      </c>
      <c r="D79">
        <v>2</v>
      </c>
      <c r="F79">
        <f>0</f>
        <v>0</v>
      </c>
      <c r="G79">
        <f t="shared" si="37"/>
        <v>1</v>
      </c>
      <c r="H79">
        <f t="shared" si="19"/>
        <v>1.6639999999999999</v>
      </c>
      <c r="I79">
        <f t="shared" si="20"/>
        <v>-0.39838933333333332</v>
      </c>
      <c r="K79">
        <v>2.9538123500241906</v>
      </c>
      <c r="L79">
        <f t="shared" si="21"/>
        <v>0.98544588881666373</v>
      </c>
      <c r="M79">
        <f t="shared" si="22"/>
        <v>0.82465007032205651</v>
      </c>
      <c r="N79">
        <f t="shared" si="23"/>
        <v>-0.19456148048348351</v>
      </c>
      <c r="P79">
        <v>4.7850038424555041</v>
      </c>
      <c r="Q79">
        <f t="shared" si="24"/>
        <v>0.97663401248786419</v>
      </c>
      <c r="R79">
        <f t="shared" si="25"/>
        <v>0.53638896664060254</v>
      </c>
      <c r="S79">
        <f t="shared" si="26"/>
        <v>-0.12541978760189579</v>
      </c>
      <c r="U79">
        <v>5.3262728248005473</v>
      </c>
      <c r="V79">
        <f t="shared" si="27"/>
        <v>0.97405946763887674</v>
      </c>
      <c r="W79">
        <f t="shared" si="28"/>
        <v>0.47270225106383551</v>
      </c>
      <c r="X79">
        <f t="shared" si="29"/>
        <v>-0.11023703466540849</v>
      </c>
      <c r="Z79">
        <v>5.3632410467402742</v>
      </c>
      <c r="AA79">
        <f t="shared" si="30"/>
        <v>0.97388412347115416</v>
      </c>
      <c r="AB79">
        <f t="shared" si="31"/>
        <v>0.46864486407658318</v>
      </c>
      <c r="AC79">
        <f t="shared" si="32"/>
        <v>-0.10927115352852443</v>
      </c>
      <c r="AE79">
        <v>5.3633989174056058</v>
      </c>
      <c r="AF79">
        <f t="shared" si="33"/>
        <v>0.97388337480934128</v>
      </c>
      <c r="AG79">
        <f t="shared" si="34"/>
        <v>0.46862761369099742</v>
      </c>
      <c r="AH79">
        <f t="shared" si="35"/>
        <v>-0.10926704736025253</v>
      </c>
    </row>
    <row r="80" spans="1:34" x14ac:dyDescent="0.3">
      <c r="A80" s="91">
        <f t="shared" si="0"/>
        <v>54353</v>
      </c>
      <c r="B80">
        <v>1.6639999999999999</v>
      </c>
      <c r="C80">
        <f t="shared" si="36"/>
        <v>24.441666666666666</v>
      </c>
      <c r="D80">
        <v>2</v>
      </c>
      <c r="F80">
        <f>0</f>
        <v>0</v>
      </c>
      <c r="G80">
        <f t="shared" si="37"/>
        <v>1</v>
      </c>
      <c r="H80">
        <f t="shared" si="19"/>
        <v>1.6639999999999999</v>
      </c>
      <c r="I80">
        <f t="shared" si="20"/>
        <v>-0.40670933333333331</v>
      </c>
      <c r="K80">
        <v>2.9538123500241906</v>
      </c>
      <c r="L80">
        <f t="shared" si="21"/>
        <v>0.98544588881666373</v>
      </c>
      <c r="M80">
        <f t="shared" si="22"/>
        <v>0.81264802151124316</v>
      </c>
      <c r="N80">
        <f t="shared" si="23"/>
        <v>-0.19573391432379858</v>
      </c>
      <c r="P80">
        <v>4.7850038424555041</v>
      </c>
      <c r="Q80">
        <f t="shared" si="24"/>
        <v>0.97663401248786419</v>
      </c>
      <c r="R80">
        <f t="shared" si="25"/>
        <v>0.52385570874443077</v>
      </c>
      <c r="S80">
        <f t="shared" si="26"/>
        <v>-0.12504730692499391</v>
      </c>
      <c r="U80">
        <v>5.3262728248005473</v>
      </c>
      <c r="V80">
        <f t="shared" si="27"/>
        <v>0.97405946763887674</v>
      </c>
      <c r="W80">
        <f t="shared" si="28"/>
        <v>0.46044010302293831</v>
      </c>
      <c r="X80">
        <f t="shared" si="29"/>
        <v>-0.10961990750842675</v>
      </c>
      <c r="Z80">
        <v>5.3632410467402742</v>
      </c>
      <c r="AA80">
        <f t="shared" si="30"/>
        <v>0.97388412347115416</v>
      </c>
      <c r="AB80">
        <f t="shared" si="31"/>
        <v>0.45640579267048131</v>
      </c>
      <c r="AC80">
        <f t="shared" si="32"/>
        <v>-0.10863987335151915</v>
      </c>
      <c r="AE80">
        <v>5.3633989174056058</v>
      </c>
      <c r="AF80">
        <f t="shared" si="33"/>
        <v>0.97388337480934128</v>
      </c>
      <c r="AG80">
        <f t="shared" si="34"/>
        <v>0.45638864195023687</v>
      </c>
      <c r="AH80">
        <f t="shared" si="35"/>
        <v>-0.10863570739289062</v>
      </c>
    </row>
    <row r="81" spans="1:34" x14ac:dyDescent="0.3">
      <c r="A81" s="91">
        <f t="shared" si="0"/>
        <v>54535</v>
      </c>
      <c r="B81">
        <v>1.6639999999999999</v>
      </c>
      <c r="C81">
        <f t="shared" si="36"/>
        <v>24.941666666666666</v>
      </c>
      <c r="D81">
        <v>2</v>
      </c>
      <c r="F81">
        <f>0</f>
        <v>0</v>
      </c>
      <c r="G81">
        <f t="shared" si="37"/>
        <v>1</v>
      </c>
      <c r="H81">
        <f t="shared" si="19"/>
        <v>1.6639999999999999</v>
      </c>
      <c r="I81">
        <f t="shared" si="20"/>
        <v>-0.41502933333333331</v>
      </c>
      <c r="K81">
        <v>2.9538123500241906</v>
      </c>
      <c r="L81">
        <f t="shared" si="21"/>
        <v>0.98544588881666373</v>
      </c>
      <c r="M81">
        <f t="shared" si="22"/>
        <v>0.80082065185325024</v>
      </c>
      <c r="N81">
        <f t="shared" si="23"/>
        <v>-0.19683100826762173</v>
      </c>
      <c r="P81">
        <v>4.7850038424555041</v>
      </c>
      <c r="Q81">
        <f t="shared" si="24"/>
        <v>0.97663401248786419</v>
      </c>
      <c r="R81">
        <f t="shared" si="25"/>
        <v>0.51161530279574741</v>
      </c>
      <c r="S81">
        <f t="shared" si="26"/>
        <v>-0.12462375764305633</v>
      </c>
      <c r="U81">
        <v>5.3262728248005473</v>
      </c>
      <c r="V81">
        <f t="shared" si="27"/>
        <v>0.97405946763887674</v>
      </c>
      <c r="W81">
        <f t="shared" si="28"/>
        <v>0.44849604163011281</v>
      </c>
      <c r="X81">
        <f t="shared" si="29"/>
        <v>-0.1089606178280229</v>
      </c>
      <c r="Z81">
        <v>5.3632410467402742</v>
      </c>
      <c r="AA81">
        <f t="shared" si="30"/>
        <v>0.97388412347115416</v>
      </c>
      <c r="AB81">
        <f t="shared" si="31"/>
        <v>0.44448635534204906</v>
      </c>
      <c r="AC81">
        <f t="shared" si="32"/>
        <v>-0.10796703885579731</v>
      </c>
      <c r="AE81">
        <v>5.3633989174056058</v>
      </c>
      <c r="AF81">
        <f t="shared" si="33"/>
        <v>0.97388337480934128</v>
      </c>
      <c r="AG81">
        <f t="shared" si="34"/>
        <v>0.44446931084714886</v>
      </c>
      <c r="AH81">
        <f t="shared" si="35"/>
        <v>-0.10796281570282344</v>
      </c>
    </row>
    <row r="82" spans="1:34" x14ac:dyDescent="0.3">
      <c r="A82" s="91">
        <f t="shared" si="0"/>
        <v>54718</v>
      </c>
      <c r="B82">
        <v>1.6639999999999999</v>
      </c>
      <c r="C82">
        <f t="shared" si="36"/>
        <v>25.441666666666666</v>
      </c>
      <c r="D82">
        <v>2</v>
      </c>
      <c r="F82">
        <f>0</f>
        <v>0</v>
      </c>
      <c r="G82">
        <f t="shared" si="37"/>
        <v>1</v>
      </c>
      <c r="H82">
        <f t="shared" si="19"/>
        <v>1.6639999999999999</v>
      </c>
      <c r="I82">
        <f t="shared" si="20"/>
        <v>-0.4233493333333333</v>
      </c>
      <c r="K82">
        <v>2.9538123500241906</v>
      </c>
      <c r="L82">
        <f t="shared" si="21"/>
        <v>0.98544588881666373</v>
      </c>
      <c r="M82">
        <f t="shared" si="22"/>
        <v>0.78916541904826631</v>
      </c>
      <c r="N82">
        <f t="shared" si="23"/>
        <v>-0.1978547069779536</v>
      </c>
      <c r="P82">
        <v>4.7850038424555041</v>
      </c>
      <c r="Q82">
        <f t="shared" si="24"/>
        <v>0.97663401248786419</v>
      </c>
      <c r="R82">
        <f t="shared" si="25"/>
        <v>0.49966090601960428</v>
      </c>
      <c r="S82">
        <f t="shared" si="26"/>
        <v>-0.12415172965589943</v>
      </c>
      <c r="U82">
        <v>5.3262728248005473</v>
      </c>
      <c r="V82">
        <f t="shared" si="27"/>
        <v>0.97405946763887674</v>
      </c>
      <c r="W82">
        <f t="shared" si="28"/>
        <v>0.43686181554837122</v>
      </c>
      <c r="X82">
        <f t="shared" si="29"/>
        <v>-0.1082617683325911</v>
      </c>
      <c r="Z82">
        <v>5.3632410467402742</v>
      </c>
      <c r="AA82">
        <f t="shared" si="30"/>
        <v>0.97388412347115416</v>
      </c>
      <c r="AB82">
        <f t="shared" si="31"/>
        <v>0.4328782045671794</v>
      </c>
      <c r="AC82">
        <f t="shared" si="32"/>
        <v>-0.1072552510539776</v>
      </c>
      <c r="AE82">
        <v>5.3633989174056058</v>
      </c>
      <c r="AF82">
        <f t="shared" si="33"/>
        <v>0.97388337480934128</v>
      </c>
      <c r="AG82">
        <f t="shared" si="34"/>
        <v>0.43286127244700345</v>
      </c>
      <c r="AH82">
        <f t="shared" si="35"/>
        <v>-0.10725097329475941</v>
      </c>
    </row>
    <row r="83" spans="1:34" x14ac:dyDescent="0.3">
      <c r="A83" s="91">
        <f t="shared" si="0"/>
        <v>54900</v>
      </c>
      <c r="B83">
        <v>1.6639999999999999</v>
      </c>
      <c r="C83">
        <f t="shared" si="36"/>
        <v>25.941666666666666</v>
      </c>
      <c r="D83">
        <v>2</v>
      </c>
      <c r="F83">
        <f>0</f>
        <v>0</v>
      </c>
      <c r="G83">
        <f t="shared" si="37"/>
        <v>1</v>
      </c>
      <c r="H83">
        <f t="shared" si="19"/>
        <v>1.6639999999999999</v>
      </c>
      <c r="I83">
        <f t="shared" si="20"/>
        <v>-0.43166933333333329</v>
      </c>
      <c r="K83">
        <v>2.9538123500241906</v>
      </c>
      <c r="L83">
        <f t="shared" si="21"/>
        <v>0.98544588881666373</v>
      </c>
      <c r="M83">
        <f t="shared" si="22"/>
        <v>0.77767981779739359</v>
      </c>
      <c r="N83">
        <f t="shared" si="23"/>
        <v>-0.19880691447077067</v>
      </c>
      <c r="P83">
        <v>4.7850038424555041</v>
      </c>
      <c r="Q83">
        <f t="shared" si="24"/>
        <v>0.97663401248786419</v>
      </c>
      <c r="R83">
        <f t="shared" si="25"/>
        <v>0.48798583552924785</v>
      </c>
      <c r="S83">
        <f t="shared" si="26"/>
        <v>-0.12363371971410053</v>
      </c>
      <c r="U83">
        <v>5.3262728248005473</v>
      </c>
      <c r="V83">
        <f t="shared" si="27"/>
        <v>0.97405946763887674</v>
      </c>
      <c r="W83">
        <f t="shared" si="28"/>
        <v>0.42552938748479963</v>
      </c>
      <c r="X83">
        <f t="shared" si="29"/>
        <v>-0.10752585507087779</v>
      </c>
      <c r="Z83">
        <v>5.3632410467402742</v>
      </c>
      <c r="AA83">
        <f t="shared" si="30"/>
        <v>0.97388412347115416</v>
      </c>
      <c r="AB83">
        <f t="shared" si="31"/>
        <v>0.42157321082467442</v>
      </c>
      <c r="AC83">
        <f t="shared" si="32"/>
        <v>-0.10650700344489608</v>
      </c>
      <c r="AE83">
        <v>5.3633989174056058</v>
      </c>
      <c r="AF83">
        <f t="shared" si="33"/>
        <v>0.97388337480934128</v>
      </c>
      <c r="AG83">
        <f t="shared" si="34"/>
        <v>0.4215563968349535</v>
      </c>
      <c r="AH83">
        <f t="shared" si="35"/>
        <v>-0.1065026736559973</v>
      </c>
    </row>
    <row r="84" spans="1:34" x14ac:dyDescent="0.3">
      <c r="A84" s="91">
        <f t="shared" si="0"/>
        <v>55083</v>
      </c>
      <c r="B84">
        <v>1.6639999999999999</v>
      </c>
      <c r="C84">
        <f t="shared" si="36"/>
        <v>26.441666666666666</v>
      </c>
      <c r="D84">
        <v>2</v>
      </c>
      <c r="F84">
        <f>0</f>
        <v>0</v>
      </c>
      <c r="G84">
        <f t="shared" si="37"/>
        <v>1</v>
      </c>
      <c r="H84">
        <f t="shared" si="19"/>
        <v>1.6639999999999999</v>
      </c>
      <c r="I84">
        <f t="shared" si="20"/>
        <v>-0.43998933333333329</v>
      </c>
      <c r="K84">
        <v>2.9538123500241906</v>
      </c>
      <c r="L84">
        <f t="shared" si="21"/>
        <v>0.98544588881666373</v>
      </c>
      <c r="M84">
        <f t="shared" si="22"/>
        <v>0.76636137926413361</v>
      </c>
      <c r="N84">
        <f t="shared" si="23"/>
        <v>-0.19968949488626556</v>
      </c>
      <c r="P84">
        <v>4.7850038424555041</v>
      </c>
      <c r="Q84">
        <f t="shared" si="24"/>
        <v>0.97663401248786419</v>
      </c>
      <c r="R84">
        <f t="shared" si="25"/>
        <v>0.47658356459017226</v>
      </c>
      <c r="S84">
        <f t="shared" si="26"/>
        <v>-0.12307213435803931</v>
      </c>
      <c r="U84">
        <v>5.3262728248005473</v>
      </c>
      <c r="V84">
        <f t="shared" si="27"/>
        <v>0.97405946763887674</v>
      </c>
      <c r="W84">
        <f t="shared" si="28"/>
        <v>0.41449092863814124</v>
      </c>
      <c r="X84">
        <f t="shared" si="29"/>
        <v>-0.1067552712142063</v>
      </c>
      <c r="Z84">
        <v>5.3632410467402742</v>
      </c>
      <c r="AA84">
        <f t="shared" si="30"/>
        <v>0.97388412347115416</v>
      </c>
      <c r="AB84">
        <f t="shared" si="31"/>
        <v>0.41056345690290819</v>
      </c>
      <c r="AC84">
        <f t="shared" si="32"/>
        <v>-0.10572468585524772</v>
      </c>
      <c r="AE84">
        <v>5.3633989174056058</v>
      </c>
      <c r="AF84">
        <f t="shared" si="33"/>
        <v>0.97388337480934128</v>
      </c>
      <c r="AG84">
        <f t="shared" si="34"/>
        <v>0.41054676642209037</v>
      </c>
      <c r="AH84">
        <f t="shared" si="35"/>
        <v>-0.1057203065983216</v>
      </c>
    </row>
    <row r="85" spans="1:34" x14ac:dyDescent="0.3">
      <c r="A85" s="91">
        <f t="shared" si="0"/>
        <v>55265</v>
      </c>
      <c r="B85">
        <v>1.6639999999999999</v>
      </c>
      <c r="C85">
        <f t="shared" si="36"/>
        <v>26.941666666666666</v>
      </c>
      <c r="D85">
        <v>2</v>
      </c>
      <c r="F85">
        <f>0</f>
        <v>0</v>
      </c>
      <c r="G85">
        <f t="shared" si="37"/>
        <v>1</v>
      </c>
      <c r="H85">
        <f t="shared" si="19"/>
        <v>1.6639999999999999</v>
      </c>
      <c r="I85">
        <f t="shared" si="20"/>
        <v>-0.44830933333333328</v>
      </c>
      <c r="K85">
        <v>2.9538123500241906</v>
      </c>
      <c r="L85">
        <f t="shared" si="21"/>
        <v>0.98544588881666373</v>
      </c>
      <c r="M85">
        <f t="shared" si="22"/>
        <v>0.75520767054370852</v>
      </c>
      <c r="N85">
        <f t="shared" si="23"/>
        <v>-0.20050427324624714</v>
      </c>
      <c r="P85">
        <v>4.7850038424555041</v>
      </c>
      <c r="Q85">
        <f t="shared" si="24"/>
        <v>0.97663401248786419</v>
      </c>
      <c r="R85">
        <f t="shared" si="25"/>
        <v>0.46544771897146919</v>
      </c>
      <c r="S85">
        <f t="shared" si="26"/>
        <v>-0.1224692927704496</v>
      </c>
      <c r="U85">
        <v>5.3262728248005473</v>
      </c>
      <c r="V85">
        <f t="shared" si="27"/>
        <v>0.97405946763887674</v>
      </c>
      <c r="W85">
        <f t="shared" si="28"/>
        <v>0.40373881329041145</v>
      </c>
      <c r="X85">
        <f t="shared" si="29"/>
        <v>-0.10595231071424772</v>
      </c>
      <c r="Z85">
        <v>5.3632410467402742</v>
      </c>
      <c r="AA85">
        <f t="shared" si="30"/>
        <v>0.97388412347115416</v>
      </c>
      <c r="AB85">
        <f t="shared" si="31"/>
        <v>0.39984123235517571</v>
      </c>
      <c r="AC85">
        <f t="shared" si="32"/>
        <v>-0.10491058815390028</v>
      </c>
      <c r="AE85">
        <v>5.3633989174056058</v>
      </c>
      <c r="AF85">
        <f t="shared" si="33"/>
        <v>0.97388337480934128</v>
      </c>
      <c r="AG85">
        <f t="shared" si="34"/>
        <v>0.39982467040020775</v>
      </c>
      <c r="AH85">
        <f t="shared" si="35"/>
        <v>-0.10490616197255864</v>
      </c>
    </row>
    <row r="86" spans="1:34" x14ac:dyDescent="0.3">
      <c r="A86" s="91">
        <f>EDATE(A85,3)</f>
        <v>55356</v>
      </c>
      <c r="B86">
        <f>(A86-A85)*C15/360</f>
        <v>1.741638888888889</v>
      </c>
      <c r="C86">
        <f>(A86-B2)/360</f>
        <v>27.586111111111112</v>
      </c>
      <c r="D86">
        <v>4</v>
      </c>
      <c r="F86">
        <f>0</f>
        <v>0</v>
      </c>
      <c r="G86">
        <f t="shared" si="37"/>
        <v>1</v>
      </c>
      <c r="H86">
        <f t="shared" si="19"/>
        <v>1.741638888888889</v>
      </c>
      <c r="I86">
        <f t="shared" si="20"/>
        <v>-0.48045043904320994</v>
      </c>
      <c r="K86">
        <v>2.9538123500241906</v>
      </c>
      <c r="L86">
        <f t="shared" si="21"/>
        <v>0.99266960068500765</v>
      </c>
      <c r="M86">
        <f t="shared" si="22"/>
        <v>0.77335157576468005</v>
      </c>
      <c r="N86">
        <f t="shared" si="23"/>
        <v>-0.2117737749900313</v>
      </c>
      <c r="P86">
        <v>4.7850038424555041</v>
      </c>
      <c r="Q86">
        <f t="shared" si="24"/>
        <v>0.9881789004112469</v>
      </c>
      <c r="R86">
        <f t="shared" si="25"/>
        <v>0.4689134419614247</v>
      </c>
      <c r="S86">
        <f t="shared" si="26"/>
        <v>-0.12782586497671716</v>
      </c>
      <c r="U86">
        <v>5.3262728248005473</v>
      </c>
      <c r="V86">
        <f t="shared" si="27"/>
        <v>0.98685929538275263</v>
      </c>
      <c r="W86">
        <f t="shared" si="28"/>
        <v>0.40462744723387933</v>
      </c>
      <c r="X86">
        <f t="shared" si="29"/>
        <v>-0.11015419888977968</v>
      </c>
      <c r="Z86">
        <v>5.3632410467402742</v>
      </c>
      <c r="AA86">
        <f t="shared" si="30"/>
        <v>0.98676929601980889</v>
      </c>
      <c r="AB86">
        <f t="shared" si="31"/>
        <v>0.40057584913302924</v>
      </c>
      <c r="AC86">
        <f t="shared" si="32"/>
        <v>-0.10904126239051136</v>
      </c>
      <c r="AE86">
        <v>5.3633989174056058</v>
      </c>
      <c r="AF86">
        <f t="shared" si="33"/>
        <v>0.9867689117179067</v>
      </c>
      <c r="AG86">
        <f t="shared" si="34"/>
        <v>0.40055863508962247</v>
      </c>
      <c r="AH86">
        <f t="shared" si="35"/>
        <v>-0.10903653406901484</v>
      </c>
    </row>
    <row r="87" spans="1:34" x14ac:dyDescent="0.3">
      <c r="A87" s="91">
        <f t="shared" ref="A87:A89" si="38">EDATE(A86,3)</f>
        <v>55448</v>
      </c>
      <c r="B87">
        <f>(A87-A86)*C15/360</f>
        <v>1.7607777777777778</v>
      </c>
      <c r="C87">
        <f>(A87-B2)/360</f>
        <v>27.841666666666665</v>
      </c>
      <c r="D87">
        <v>4</v>
      </c>
      <c r="F87">
        <f>0</f>
        <v>0</v>
      </c>
      <c r="G87">
        <f t="shared" si="37"/>
        <v>1</v>
      </c>
      <c r="H87">
        <f t="shared" si="19"/>
        <v>1.7607777777777778</v>
      </c>
      <c r="I87">
        <f t="shared" si="20"/>
        <v>-0.49022987962962961</v>
      </c>
      <c r="K87">
        <v>2.9538123500241906</v>
      </c>
      <c r="L87">
        <f t="shared" si="21"/>
        <v>0.99266960068500765</v>
      </c>
      <c r="M87">
        <f t="shared" si="22"/>
        <v>0.77599178914659594</v>
      </c>
      <c r="N87">
        <f t="shared" si="23"/>
        <v>-0.21446532150660283</v>
      </c>
      <c r="P87">
        <v>4.7850038424555041</v>
      </c>
      <c r="Q87">
        <f t="shared" si="24"/>
        <v>0.9881789004112469</v>
      </c>
      <c r="R87">
        <f t="shared" si="25"/>
        <v>0.46833857387045291</v>
      </c>
      <c r="S87">
        <f t="shared" si="26"/>
        <v>-0.128851872841793</v>
      </c>
      <c r="U87">
        <v>5.3262728248005473</v>
      </c>
      <c r="V87">
        <f t="shared" si="27"/>
        <v>0.98685929538275263</v>
      </c>
      <c r="W87">
        <f t="shared" si="28"/>
        <v>0.40357973315920215</v>
      </c>
      <c r="X87">
        <f t="shared" si="29"/>
        <v>-0.11088679078938081</v>
      </c>
      <c r="Z87">
        <v>5.3632410467402742</v>
      </c>
      <c r="AA87">
        <f t="shared" si="30"/>
        <v>0.98676929601980889</v>
      </c>
      <c r="AB87">
        <f t="shared" si="31"/>
        <v>0.39950137927963641</v>
      </c>
      <c r="AC87">
        <f t="shared" si="32"/>
        <v>-0.10975621969131337</v>
      </c>
      <c r="AE87">
        <v>5.3633989174056058</v>
      </c>
      <c r="AF87">
        <f t="shared" si="33"/>
        <v>0.9867689117179067</v>
      </c>
      <c r="AG87">
        <f t="shared" si="34"/>
        <v>0.39948405237134105</v>
      </c>
      <c r="AH87">
        <f t="shared" si="35"/>
        <v>-0.1097514166742844</v>
      </c>
    </row>
    <row r="88" spans="1:34" x14ac:dyDescent="0.3">
      <c r="A88" s="91">
        <f t="shared" si="38"/>
        <v>55540</v>
      </c>
      <c r="B88">
        <f>(A88-A87)*C15/360</f>
        <v>1.7607777777777778</v>
      </c>
      <c r="C88">
        <f>(A88-B2)/360</f>
        <v>28.097222222222221</v>
      </c>
      <c r="D88">
        <v>4</v>
      </c>
      <c r="F88">
        <f>0</f>
        <v>0</v>
      </c>
      <c r="G88">
        <f t="shared" si="37"/>
        <v>1</v>
      </c>
      <c r="H88">
        <f t="shared" si="19"/>
        <v>1.7607777777777778</v>
      </c>
      <c r="I88">
        <f t="shared" si="20"/>
        <v>-0.4947296450617284</v>
      </c>
      <c r="K88">
        <v>2.9538123500241906</v>
      </c>
      <c r="L88">
        <f t="shared" si="21"/>
        <v>0.99266960068500765</v>
      </c>
      <c r="M88">
        <f t="shared" si="22"/>
        <v>0.77017752688024466</v>
      </c>
      <c r="N88">
        <f t="shared" si="23"/>
        <v>-0.21481220388125669</v>
      </c>
      <c r="P88">
        <v>4.7850038424555041</v>
      </c>
      <c r="Q88">
        <f t="shared" si="24"/>
        <v>0.9881789004112469</v>
      </c>
      <c r="R88">
        <f t="shared" si="25"/>
        <v>0.46268001477672299</v>
      </c>
      <c r="S88">
        <f t="shared" si="26"/>
        <v>-0.12846348624142537</v>
      </c>
      <c r="U88">
        <v>5.3262728248005473</v>
      </c>
      <c r="V88">
        <f t="shared" si="27"/>
        <v>0.98685929538275263</v>
      </c>
      <c r="W88">
        <f t="shared" si="28"/>
        <v>0.39815935444090594</v>
      </c>
      <c r="X88">
        <f t="shared" si="29"/>
        <v>-0.11040164540647238</v>
      </c>
      <c r="Z88">
        <v>5.3632410467402742</v>
      </c>
      <c r="AA88">
        <f t="shared" si="30"/>
        <v>0.98676929601980889</v>
      </c>
      <c r="AB88">
        <f t="shared" si="31"/>
        <v>0.39409903288766107</v>
      </c>
      <c r="AC88">
        <f t="shared" si="32"/>
        <v>-0.10926583353748841</v>
      </c>
      <c r="AE88">
        <v>5.3633989174056058</v>
      </c>
      <c r="AF88">
        <f t="shared" si="33"/>
        <v>0.9867689117179067</v>
      </c>
      <c r="AG88">
        <f t="shared" si="34"/>
        <v>0.39408178339869371</v>
      </c>
      <c r="AH88">
        <f t="shared" si="35"/>
        <v>-0.1092610084823058</v>
      </c>
    </row>
    <row r="89" spans="1:34" x14ac:dyDescent="0.3">
      <c r="A89" s="91">
        <f t="shared" si="38"/>
        <v>55631</v>
      </c>
      <c r="B89">
        <f>B7+(A89-A88)*C15/360</f>
        <v>101.74163888888889</v>
      </c>
      <c r="C89">
        <f>(A89-B2)/360</f>
        <v>28.35</v>
      </c>
      <c r="D89">
        <v>4</v>
      </c>
      <c r="F89">
        <f>0</f>
        <v>0</v>
      </c>
      <c r="G89">
        <f t="shared" si="37"/>
        <v>1</v>
      </c>
      <c r="H89">
        <f t="shared" si="19"/>
        <v>101.74163888888889</v>
      </c>
      <c r="I89">
        <f t="shared" si="20"/>
        <v>-28.843754625000003</v>
      </c>
      <c r="K89">
        <v>2.9538123500241906</v>
      </c>
      <c r="L89">
        <f t="shared" si="21"/>
        <v>0.99266960068500765</v>
      </c>
      <c r="M89">
        <f t="shared" si="22"/>
        <v>44.172730131421559</v>
      </c>
      <c r="N89">
        <f t="shared" si="23"/>
        <v>-12.431170628935494</v>
      </c>
      <c r="P89">
        <v>4.7850038424555041</v>
      </c>
      <c r="Q89">
        <f t="shared" si="24"/>
        <v>0.9881789004112469</v>
      </c>
      <c r="R89">
        <f t="shared" si="25"/>
        <v>26.415152088028748</v>
      </c>
      <c r="S89">
        <f t="shared" si="26"/>
        <v>-7.4001710002782533</v>
      </c>
      <c r="U89">
        <v>5.3262728248005473</v>
      </c>
      <c r="V89">
        <f t="shared" si="27"/>
        <v>0.98685929538275263</v>
      </c>
      <c r="W89">
        <f t="shared" si="28"/>
        <v>22.700870419650716</v>
      </c>
      <c r="X89">
        <f t="shared" si="29"/>
        <v>-6.3511271737894619</v>
      </c>
      <c r="Z89">
        <v>5.3632410467402742</v>
      </c>
      <c r="AA89">
        <f t="shared" si="30"/>
        <v>0.98676929601980889</v>
      </c>
      <c r="AB89">
        <f t="shared" si="31"/>
        <v>22.4673011506633</v>
      </c>
      <c r="AC89">
        <f t="shared" si="32"/>
        <v>-6.2852071734630863</v>
      </c>
      <c r="AE89">
        <v>5.3633989174056058</v>
      </c>
      <c r="AF89">
        <f t="shared" si="33"/>
        <v>0.9867689117179067</v>
      </c>
      <c r="AG89">
        <f t="shared" si="34"/>
        <v>22.466308922928974</v>
      </c>
      <c r="AH89">
        <f t="shared" si="35"/>
        <v>-6.2849271509568272</v>
      </c>
    </row>
    <row r="90" spans="1:34" x14ac:dyDescent="0.3">
      <c r="G90" t="s">
        <v>52</v>
      </c>
      <c r="H90">
        <f>SUM(H32:H89)</f>
        <v>196.8608333333334</v>
      </c>
      <c r="I90">
        <f>SUM(I32:I89)</f>
        <v>-42.61194858873457</v>
      </c>
      <c r="L90" t="s">
        <v>52</v>
      </c>
      <c r="M90">
        <f>SUM(M32:M89)</f>
        <v>108.21864780515229</v>
      </c>
      <c r="N90">
        <f>SUM(N32:N89)</f>
        <v>-20.328575479778905</v>
      </c>
      <c r="Q90" t="s">
        <v>52</v>
      </c>
      <c r="R90">
        <f>SUM(R32:R89)</f>
        <v>78.103385220749743</v>
      </c>
      <c r="S90">
        <f>SUM(S32:S89)</f>
        <v>-13.136263335488554</v>
      </c>
      <c r="V90" t="s">
        <v>52</v>
      </c>
      <c r="W90">
        <f>SUM(W32:W89)</f>
        <v>71.421566409730545</v>
      </c>
      <c r="X90">
        <f>SUM(X32:X89)</f>
        <v>-11.589225932902954</v>
      </c>
      <c r="AA90" t="s">
        <v>52</v>
      </c>
      <c r="AB90">
        <f>SUM(AB32:AB89)</f>
        <v>70.99494746239408</v>
      </c>
      <c r="AC90">
        <f>SUM(AC32:AC89)</f>
        <v>-11.491235923558332</v>
      </c>
      <c r="AF90" t="s">
        <v>52</v>
      </c>
      <c r="AG90">
        <f>SUM(AG32:AG89)</f>
        <v>70.993133366207502</v>
      </c>
      <c r="AH90">
        <f>SUM(AH32:AH89)</f>
        <v>-11.490819457783761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F2ED-ADBD-4F98-8650-F778A5ECEB81}">
  <dimension ref="A1:AC50"/>
  <sheetViews>
    <sheetView topLeftCell="A20" workbookViewId="0">
      <selection activeCell="I44" sqref="I44:I45"/>
    </sheetView>
  </sheetViews>
  <sheetFormatPr defaultRowHeight="14.4" x14ac:dyDescent="0.3"/>
  <cols>
    <col min="1" max="1" width="30.6640625" bestFit="1" customWidth="1"/>
    <col min="2" max="2" width="9.109375" bestFit="1" customWidth="1"/>
    <col min="3" max="3" width="11.88671875" bestFit="1" customWidth="1"/>
    <col min="4" max="4" width="17.33203125" bestFit="1" customWidth="1"/>
  </cols>
  <sheetData>
    <row r="1" spans="1:4" x14ac:dyDescent="0.3">
      <c r="A1" s="61" t="s">
        <v>110</v>
      </c>
      <c r="B1" s="91">
        <v>45037</v>
      </c>
      <c r="C1" s="63"/>
      <c r="D1" s="64"/>
    </row>
    <row r="2" spans="1:4" x14ac:dyDescent="0.3">
      <c r="A2" s="61" t="s">
        <v>111</v>
      </c>
      <c r="B2" s="91">
        <v>45394</v>
      </c>
      <c r="C2" s="65"/>
      <c r="D2" s="65"/>
    </row>
    <row r="3" spans="1:4" x14ac:dyDescent="0.3">
      <c r="A3" s="61" t="s">
        <v>113</v>
      </c>
      <c r="B3" s="91">
        <v>49055</v>
      </c>
      <c r="C3" s="65"/>
      <c r="D3" s="65"/>
    </row>
    <row r="4" spans="1:4" x14ac:dyDescent="0.3">
      <c r="A4" s="61" t="s">
        <v>114</v>
      </c>
      <c r="B4" s="91">
        <v>45220</v>
      </c>
      <c r="C4" s="65"/>
      <c r="D4" s="65"/>
    </row>
    <row r="5" spans="1:4" x14ac:dyDescent="0.3">
      <c r="A5" s="61" t="s">
        <v>115</v>
      </c>
      <c r="B5" s="91">
        <v>48965</v>
      </c>
      <c r="C5" s="65"/>
      <c r="D5" s="65"/>
    </row>
    <row r="6" spans="1:4" x14ac:dyDescent="0.3">
      <c r="A6" s="61" t="s">
        <v>116</v>
      </c>
      <c r="B6">
        <v>97.387</v>
      </c>
      <c r="C6" s="65"/>
      <c r="D6" s="65"/>
    </row>
    <row r="7" spans="1:4" x14ac:dyDescent="0.3">
      <c r="A7" s="61" t="s">
        <v>4</v>
      </c>
      <c r="B7" s="65">
        <v>100</v>
      </c>
      <c r="C7" s="65"/>
      <c r="D7" s="65"/>
    </row>
    <row r="8" spans="1:4" x14ac:dyDescent="0.3">
      <c r="A8" s="65"/>
      <c r="B8" s="61" t="s">
        <v>117</v>
      </c>
      <c r="C8" s="61" t="s">
        <v>224</v>
      </c>
      <c r="D8" s="61" t="s">
        <v>225</v>
      </c>
    </row>
    <row r="9" spans="1:4" x14ac:dyDescent="0.3">
      <c r="A9" s="61" t="s">
        <v>119</v>
      </c>
      <c r="B9" s="65" t="s">
        <v>44</v>
      </c>
      <c r="C9" s="65" t="s">
        <v>120</v>
      </c>
      <c r="D9" s="65" t="s">
        <v>120</v>
      </c>
    </row>
    <row r="10" spans="1:4" x14ac:dyDescent="0.3">
      <c r="A10" s="61" t="s">
        <v>121</v>
      </c>
      <c r="B10" s="65">
        <v>2</v>
      </c>
      <c r="C10" s="65">
        <v>4</v>
      </c>
      <c r="D10" s="65">
        <v>4</v>
      </c>
    </row>
    <row r="11" spans="1:4" x14ac:dyDescent="0.3">
      <c r="A11" s="61" t="s">
        <v>122</v>
      </c>
      <c r="B11" s="62">
        <v>45037</v>
      </c>
      <c r="C11" s="62">
        <v>48690</v>
      </c>
      <c r="D11" s="92">
        <v>48965</v>
      </c>
    </row>
    <row r="12" spans="1:4" x14ac:dyDescent="0.3">
      <c r="A12" s="61" t="s">
        <v>123</v>
      </c>
      <c r="B12" s="62">
        <v>48689</v>
      </c>
      <c r="C12" s="62">
        <v>48964</v>
      </c>
      <c r="D12" s="92">
        <v>49054</v>
      </c>
    </row>
    <row r="13" spans="1:4" x14ac:dyDescent="0.3">
      <c r="A13" s="61" t="s">
        <v>192</v>
      </c>
      <c r="B13" s="62"/>
      <c r="C13">
        <v>5.31</v>
      </c>
      <c r="D13">
        <v>5.31</v>
      </c>
    </row>
    <row r="14" spans="1:4" x14ac:dyDescent="0.3">
      <c r="A14" s="61" t="s">
        <v>193</v>
      </c>
      <c r="B14" s="62"/>
      <c r="C14">
        <v>1.87</v>
      </c>
      <c r="D14">
        <v>1.87</v>
      </c>
    </row>
    <row r="15" spans="1:4" x14ac:dyDescent="0.3">
      <c r="A15" s="61" t="s">
        <v>124</v>
      </c>
      <c r="B15">
        <v>5.25</v>
      </c>
      <c r="C15">
        <f>C13+C14</f>
        <v>7.18</v>
      </c>
      <c r="D15">
        <f>D14+D13</f>
        <v>7.18</v>
      </c>
    </row>
    <row r="17" spans="1:29" x14ac:dyDescent="0.3">
      <c r="A17" s="61" t="s">
        <v>222</v>
      </c>
      <c r="B17" s="18">
        <f>(DATEDIF(A26,B2,"md")+DATEDIF(A26,B2,"ym")*30+DATEDIF(A26,B2,"y")*360)</f>
        <v>172</v>
      </c>
      <c r="C17" s="18"/>
    </row>
    <row r="18" spans="1:29" x14ac:dyDescent="0.3">
      <c r="A18" s="61" t="s">
        <v>140</v>
      </c>
      <c r="B18" s="18">
        <f>B17/360</f>
        <v>0.4777777777777778</v>
      </c>
      <c r="C18" s="18"/>
    </row>
    <row r="19" spans="1:29" x14ac:dyDescent="0.3">
      <c r="A19" s="61" t="s">
        <v>125</v>
      </c>
      <c r="B19" s="18">
        <f>B18*B15</f>
        <v>2.5083333333333333</v>
      </c>
      <c r="C19" s="18"/>
    </row>
    <row r="20" spans="1:29" x14ac:dyDescent="0.3">
      <c r="A20" s="61" t="s">
        <v>126</v>
      </c>
      <c r="B20" s="18">
        <f>B19+B6</f>
        <v>99.89533333333334</v>
      </c>
    </row>
    <row r="21" spans="1:29" x14ac:dyDescent="0.3">
      <c r="A21" s="61" t="s">
        <v>128</v>
      </c>
      <c r="B21" s="18">
        <f>AA24</f>
        <v>5.6556366659862842</v>
      </c>
    </row>
    <row r="22" spans="1:29" x14ac:dyDescent="0.3">
      <c r="A22" s="61" t="s">
        <v>130</v>
      </c>
      <c r="B22" s="65"/>
    </row>
    <row r="23" spans="1:29" x14ac:dyDescent="0.3">
      <c r="A23" s="18"/>
    </row>
    <row r="24" spans="1:29" x14ac:dyDescent="0.3">
      <c r="A24" s="61" t="s">
        <v>90</v>
      </c>
      <c r="F24" t="s">
        <v>131</v>
      </c>
      <c r="G24">
        <f>0</f>
        <v>0</v>
      </c>
      <c r="K24" t="s">
        <v>53</v>
      </c>
      <c r="L24">
        <f>G24+(B20-H50)/I50</f>
        <v>4.357998750207857</v>
      </c>
      <c r="P24" t="s">
        <v>55</v>
      </c>
      <c r="Q24">
        <f>L24+(B20-M50)/N50</f>
        <v>5.5790028317379878</v>
      </c>
      <c r="U24" t="s">
        <v>57</v>
      </c>
      <c r="V24">
        <f>Q24+(B20-R50)/S50</f>
        <v>5.6553604774114667</v>
      </c>
      <c r="Z24" s="13" t="s">
        <v>59</v>
      </c>
      <c r="AA24" s="13">
        <f>V24+(B20-W50)/X50</f>
        <v>5.6556366659862842</v>
      </c>
    </row>
    <row r="25" spans="1:29" x14ac:dyDescent="0.3">
      <c r="A25" s="61" t="s">
        <v>132</v>
      </c>
      <c r="B25" s="66" t="s">
        <v>133</v>
      </c>
      <c r="C25" s="66" t="s">
        <v>134</v>
      </c>
      <c r="D25" s="66" t="s">
        <v>135</v>
      </c>
      <c r="F25" s="70" t="s">
        <v>136</v>
      </c>
      <c r="G25" s="70" t="s">
        <v>48</v>
      </c>
      <c r="H25" s="70" t="s">
        <v>49</v>
      </c>
      <c r="I25" s="70" t="s">
        <v>50</v>
      </c>
      <c r="K25" s="70" t="s">
        <v>136</v>
      </c>
      <c r="L25" s="70" t="s">
        <v>48</v>
      </c>
      <c r="M25" s="70" t="s">
        <v>49</v>
      </c>
      <c r="N25" s="70" t="s">
        <v>50</v>
      </c>
      <c r="P25" s="70" t="s">
        <v>136</v>
      </c>
      <c r="Q25" s="70" t="s">
        <v>48</v>
      </c>
      <c r="R25" s="70" t="s">
        <v>49</v>
      </c>
      <c r="S25" s="70" t="s">
        <v>50</v>
      </c>
      <c r="U25" s="70" t="s">
        <v>136</v>
      </c>
      <c r="V25" s="70" t="s">
        <v>48</v>
      </c>
      <c r="W25" s="70" t="s">
        <v>49</v>
      </c>
      <c r="X25" s="70" t="s">
        <v>50</v>
      </c>
      <c r="Z25" s="70" t="s">
        <v>136</v>
      </c>
      <c r="AA25" s="70" t="s">
        <v>48</v>
      </c>
      <c r="AB25" s="70" t="s">
        <v>49</v>
      </c>
      <c r="AC25" s="70" t="s">
        <v>50</v>
      </c>
    </row>
    <row r="26" spans="1:29" x14ac:dyDescent="0.3">
      <c r="A26" s="91">
        <f>B4</f>
        <v>45220</v>
      </c>
    </row>
    <row r="27" spans="1:29" x14ac:dyDescent="0.3">
      <c r="A27" s="91">
        <f>EDATE(A26,6)</f>
        <v>45403</v>
      </c>
      <c r="B27">
        <v>2.625</v>
      </c>
      <c r="C27">
        <f>(DATEDIF(B2,A27,"md")+DATEDIF(B2,A27,"ym")*30+DATEDIF(B2,A27,"y")*360)/360</f>
        <v>2.5000000000000001E-2</v>
      </c>
      <c r="D27">
        <v>2</v>
      </c>
      <c r="F27">
        <f>0</f>
        <v>0</v>
      </c>
      <c r="G27">
        <f t="shared" ref="G27:G32" si="0">1/(1+F27/(100*D27))</f>
        <v>1</v>
      </c>
      <c r="H27">
        <f t="shared" ref="H27:H31" si="1">B27*POWER(G27,C27*D27)</f>
        <v>2.625</v>
      </c>
      <c r="I27">
        <f t="shared" ref="I27:I31" si="2">-1*0.01*H27*G27*C27</f>
        <v>-6.5625000000000004E-4</v>
      </c>
      <c r="K27">
        <v>4.357998750207857</v>
      </c>
      <c r="L27">
        <f t="shared" ref="L27:L28" si="3">1/(1+K27/(100*D27))</f>
        <v>0.97867468473531705</v>
      </c>
      <c r="M27">
        <f t="shared" ref="M27:M28" si="4">B27*POWER(L27,C27*D27)</f>
        <v>2.6221723010752602</v>
      </c>
      <c r="N27">
        <f t="shared" ref="N27:N28" si="5">-1*0.01*M27*L27*C27</f>
        <v>-6.4156341251912785E-4</v>
      </c>
      <c r="P27">
        <v>5.5790028317379878</v>
      </c>
      <c r="Q27">
        <f t="shared" ref="Q27:Q28" si="6">1/(1+P27/(100*D27))</f>
        <v>0.97286200071558726</v>
      </c>
      <c r="R27">
        <f t="shared" ref="R27:R28" si="7">B27*POWER(Q27,C27*D27)</f>
        <v>2.6213913967487423</v>
      </c>
      <c r="S27">
        <f t="shared" ref="S27:S28" si="8">-1*0.01*R27*Q27*C27</f>
        <v>-6.3756301972490244E-4</v>
      </c>
      <c r="U27">
        <v>5.6553604774114667</v>
      </c>
      <c r="V27">
        <f t="shared" ref="V27:V28" si="9">1/(1+U27/(100*D27))</f>
        <v>0.97250078741306312</v>
      </c>
      <c r="W27">
        <f t="shared" ref="W27:W28" si="10">B27*POWER(V27,C27*D27)</f>
        <v>2.6213427234282936</v>
      </c>
      <c r="X27">
        <f t="shared" ref="X27:X28" si="11">-1*0.01*W27*V27*C27</f>
        <v>-6.3731446565337983E-4</v>
      </c>
      <c r="Z27">
        <v>5.6556366659862842</v>
      </c>
      <c r="AA27">
        <f t="shared" ref="AA27:AA28" si="12">1/(1+Z27/(100*D27))</f>
        <v>0.9724994813773481</v>
      </c>
      <c r="AB27">
        <f t="shared" ref="AB27:AB28" si="13">B27*POWER(AA27,C27*D27)</f>
        <v>2.6213425474094438</v>
      </c>
      <c r="AC27">
        <f t="shared" ref="AC27:AC28" si="14">-1*0.01*AB27*AA27*C27</f>
        <v>-6.3731356696701525E-4</v>
      </c>
    </row>
    <row r="28" spans="1:29" x14ac:dyDescent="0.3">
      <c r="A28" s="91">
        <f t="shared" ref="A28:A45" si="15">EDATE(A27,6)</f>
        <v>45586</v>
      </c>
      <c r="B28">
        <v>2.625</v>
      </c>
      <c r="C28">
        <f>C27+DATEDIF(A27,A28,"ym")/12</f>
        <v>0.52500000000000002</v>
      </c>
      <c r="D28">
        <v>2</v>
      </c>
      <c r="F28">
        <f>0</f>
        <v>0</v>
      </c>
      <c r="G28">
        <f t="shared" si="0"/>
        <v>1</v>
      </c>
      <c r="H28">
        <f t="shared" si="1"/>
        <v>2.625</v>
      </c>
      <c r="I28">
        <f t="shared" si="2"/>
        <v>-1.378125E-2</v>
      </c>
      <c r="K28">
        <v>4.357998750207857</v>
      </c>
      <c r="L28">
        <f t="shared" si="3"/>
        <v>0.97867468473531705</v>
      </c>
      <c r="M28">
        <f t="shared" si="4"/>
        <v>2.5662536500765114</v>
      </c>
      <c r="N28">
        <f t="shared" si="5"/>
        <v>-1.3185519280182304E-2</v>
      </c>
      <c r="P28">
        <v>5.5790028317379878</v>
      </c>
      <c r="Q28">
        <f t="shared" si="6"/>
        <v>0.97286200071558726</v>
      </c>
      <c r="R28">
        <f t="shared" si="7"/>
        <v>2.550252078899609</v>
      </c>
      <c r="S28">
        <f t="shared" si="8"/>
        <v>-1.3025477533988639E-2</v>
      </c>
      <c r="U28">
        <v>5.6553604774114667</v>
      </c>
      <c r="V28">
        <f t="shared" si="9"/>
        <v>0.97250078741306312</v>
      </c>
      <c r="W28">
        <f t="shared" si="10"/>
        <v>2.5492578626135192</v>
      </c>
      <c r="X28">
        <f t="shared" si="11"/>
        <v>-1.3015565213230596E-2</v>
      </c>
      <c r="Z28">
        <v>5.6556366659862842</v>
      </c>
      <c r="AA28">
        <f t="shared" si="12"/>
        <v>0.9724994813773481</v>
      </c>
      <c r="AB28">
        <f t="shared" si="13"/>
        <v>2.5492542678680605</v>
      </c>
      <c r="AC28">
        <f t="shared" si="14"/>
        <v>-1.3015529380353571E-2</v>
      </c>
    </row>
    <row r="29" spans="1:29" x14ac:dyDescent="0.3">
      <c r="A29" s="91">
        <f t="shared" si="15"/>
        <v>45768</v>
      </c>
      <c r="B29">
        <v>2.625</v>
      </c>
      <c r="C29">
        <f t="shared" ref="C29:C45" si="16">C28+DATEDIF(A28,A29,"ym")/12</f>
        <v>1.0249999999999999</v>
      </c>
      <c r="D29">
        <v>2</v>
      </c>
      <c r="F29">
        <f>0</f>
        <v>0</v>
      </c>
      <c r="G29">
        <f t="shared" si="0"/>
        <v>1</v>
      </c>
      <c r="H29">
        <f t="shared" si="1"/>
        <v>2.625</v>
      </c>
      <c r="I29">
        <f t="shared" si="2"/>
        <v>-2.6906249999999996E-2</v>
      </c>
      <c r="K29">
        <v>4.357998750207857</v>
      </c>
      <c r="L29">
        <f t="shared" ref="L29" si="17">1/(1+K29/(100*D29))</f>
        <v>0.97867468473531705</v>
      </c>
      <c r="M29">
        <f>B29*POWER(L29,C29*D29)</f>
        <v>2.5115274819394866</v>
      </c>
      <c r="N29">
        <f>-1*0.01*M29*L29*C29</f>
        <v>-2.519417575755992E-2</v>
      </c>
      <c r="P29">
        <v>5.5790028317379878</v>
      </c>
      <c r="Q29">
        <f t="shared" ref="Q29" si="18">1/(1+P29/(100*D29))</f>
        <v>0.97286200071558726</v>
      </c>
      <c r="R29">
        <f t="shared" ref="R29" si="19">B29*POWER(Q29,C29*D29)</f>
        <v>2.4810433398073597</v>
      </c>
      <c r="S29">
        <f t="shared" ref="S29" si="20">-1*0.01*R29*Q29*C29</f>
        <v>-2.4740556071127472E-2</v>
      </c>
      <c r="U29">
        <v>5.6553604774114667</v>
      </c>
      <c r="V29">
        <f t="shared" ref="V29" si="21">1/(1+U29/(100*D29))</f>
        <v>0.97250078741306312</v>
      </c>
      <c r="W29">
        <f t="shared" ref="W29" si="22">B29*POWER(V29,C29*D29)</f>
        <v>2.4791552787105893</v>
      </c>
      <c r="X29">
        <f t="shared" ref="X29" si="23">-1*0.01*W29*V29*C29</f>
        <v>-2.4712549721819323E-2</v>
      </c>
      <c r="Z29">
        <v>5.6556366659862842</v>
      </c>
      <c r="AA29">
        <f t="shared" ref="AA29" si="24">1/(1+Z29/(100*D29))</f>
        <v>0.9724994813773481</v>
      </c>
      <c r="AB29">
        <f t="shared" ref="AB29" si="25">B29*POWER(AA29,C29*D29)</f>
        <v>2.47914845340068</v>
      </c>
      <c r="AC29">
        <f t="shared" ref="AC29" si="26">-1*0.01*AB29*AA29*C29</f>
        <v>-2.4712448498193561E-2</v>
      </c>
    </row>
    <row r="30" spans="1:29" x14ac:dyDescent="0.3">
      <c r="A30" s="91">
        <f t="shared" si="15"/>
        <v>45951</v>
      </c>
      <c r="B30">
        <v>2.625</v>
      </c>
      <c r="C30">
        <f t="shared" si="16"/>
        <v>1.5249999999999999</v>
      </c>
      <c r="D30">
        <v>2</v>
      </c>
      <c r="F30">
        <f>0</f>
        <v>0</v>
      </c>
      <c r="G30">
        <f t="shared" si="0"/>
        <v>1</v>
      </c>
      <c r="H30">
        <f t="shared" si="1"/>
        <v>2.625</v>
      </c>
      <c r="I30">
        <f t="shared" si="2"/>
        <v>-4.0031249999999997E-2</v>
      </c>
      <c r="K30">
        <v>4.357998750207857</v>
      </c>
      <c r="L30">
        <f t="shared" ref="L30:L49" si="27">1/(1+K30/(100*D30))</f>
        <v>0.97867468473531705</v>
      </c>
      <c r="M30">
        <f t="shared" ref="M30:M49" si="28">B30*POWER(L30,C30*D30)</f>
        <v>2.4579683665912118</v>
      </c>
      <c r="N30">
        <f t="shared" ref="N30:N49" si="29">-1*0.01*M30*L30*C30</f>
        <v>-3.6684659098011302E-2</v>
      </c>
      <c r="P30">
        <v>5.5790028317379878</v>
      </c>
      <c r="Q30">
        <f t="shared" ref="Q30:Q49" si="30">1/(1+P30/(100*D30))</f>
        <v>0.97286200071558726</v>
      </c>
      <c r="R30">
        <f t="shared" ref="R30:R49" si="31">B30*POWER(Q30,C30*D30)</f>
        <v>2.4137127874270705</v>
      </c>
      <c r="S30">
        <f t="shared" ref="S30:S49" si="32">-1*0.01*R30*Q30*C30</f>
        <v>-3.5810194135818721E-2</v>
      </c>
      <c r="U30">
        <v>5.6553604774114667</v>
      </c>
      <c r="V30">
        <f t="shared" ref="V30:V49" si="33">1/(1+U30/(100*D30))</f>
        <v>0.97250078741306312</v>
      </c>
      <c r="W30">
        <f t="shared" ref="W30:W49" si="34">B30*POWER(V30,C30*D30)</f>
        <v>2.4109804606653</v>
      </c>
      <c r="X30">
        <f t="shared" ref="X30:X49" si="35">-1*0.01*W30*V30*C30</f>
        <v>-3.5756376045626335E-2</v>
      </c>
      <c r="Z30">
        <v>5.6556366659862842</v>
      </c>
      <c r="AA30">
        <f t="shared" ref="AA30:AA49" si="36">1/(1+Z30/(100*D30))</f>
        <v>0.9724994813773481</v>
      </c>
      <c r="AB30">
        <f t="shared" ref="AB30:AB49" si="37">B30*POWER(AA30,C30*D30)</f>
        <v>2.4109705851896162</v>
      </c>
      <c r="AC30">
        <f t="shared" ref="AC30:AC49" si="38">-1*0.01*AB30*AA30*C30</f>
        <v>-3.5756181566622386E-2</v>
      </c>
    </row>
    <row r="31" spans="1:29" x14ac:dyDescent="0.3">
      <c r="A31" s="91">
        <f t="shared" si="15"/>
        <v>46133</v>
      </c>
      <c r="B31">
        <v>2.625</v>
      </c>
      <c r="C31">
        <f t="shared" si="16"/>
        <v>2.0249999999999999</v>
      </c>
      <c r="D31">
        <v>2</v>
      </c>
      <c r="F31">
        <f>0</f>
        <v>0</v>
      </c>
      <c r="G31">
        <f t="shared" si="0"/>
        <v>1</v>
      </c>
      <c r="H31">
        <f t="shared" si="1"/>
        <v>2.625</v>
      </c>
      <c r="I31">
        <f t="shared" si="2"/>
        <v>-5.3156249999999995E-2</v>
      </c>
      <c r="K31">
        <v>4.357998750207857</v>
      </c>
      <c r="L31">
        <f t="shared" si="27"/>
        <v>0.97867468473531705</v>
      </c>
      <c r="M31">
        <f t="shared" si="28"/>
        <v>2.405551416263036</v>
      </c>
      <c r="N31">
        <f t="shared" si="29"/>
        <v>-4.7673608546997905E-2</v>
      </c>
      <c r="P31">
        <v>5.5790028317379878</v>
      </c>
      <c r="Q31">
        <f t="shared" si="30"/>
        <v>0.97286200071558726</v>
      </c>
      <c r="R31">
        <f t="shared" si="31"/>
        <v>2.348209451529097</v>
      </c>
      <c r="S31">
        <f t="shared" si="32"/>
        <v>-4.6260795838555448E-2</v>
      </c>
      <c r="U31">
        <v>5.6553604774114667</v>
      </c>
      <c r="V31">
        <f t="shared" si="33"/>
        <v>0.97250078741306312</v>
      </c>
      <c r="W31">
        <f t="shared" si="34"/>
        <v>2.344680396434514</v>
      </c>
      <c r="X31">
        <f t="shared" si="35"/>
        <v>-4.6174121518231893E-2</v>
      </c>
      <c r="Z31">
        <v>5.6556366659862842</v>
      </c>
      <c r="AA31">
        <f t="shared" si="36"/>
        <v>0.9724994813773481</v>
      </c>
      <c r="AB31">
        <f t="shared" si="37"/>
        <v>2.3446676437129428</v>
      </c>
      <c r="AC31">
        <f t="shared" si="38"/>
        <v>-4.6173808367139982E-2</v>
      </c>
    </row>
    <row r="32" spans="1:29" x14ac:dyDescent="0.3">
      <c r="A32" s="91">
        <f t="shared" si="15"/>
        <v>46316</v>
      </c>
      <c r="B32">
        <v>2.625</v>
      </c>
      <c r="C32">
        <f t="shared" si="16"/>
        <v>2.5249999999999999</v>
      </c>
      <c r="D32">
        <v>2</v>
      </c>
      <c r="F32">
        <f>0</f>
        <v>0</v>
      </c>
      <c r="G32">
        <f t="shared" si="0"/>
        <v>1</v>
      </c>
      <c r="H32">
        <f t="shared" ref="H32" si="39">B32*POWER(G32,C32*D32)</f>
        <v>2.625</v>
      </c>
      <c r="I32">
        <f t="shared" ref="I32" si="40">-1*0.01*H32*G32*C32</f>
        <v>-6.628125E-2</v>
      </c>
      <c r="K32">
        <v>4.357998750207857</v>
      </c>
      <c r="L32">
        <f t="shared" si="27"/>
        <v>0.97867468473531705</v>
      </c>
      <c r="M32">
        <f t="shared" si="28"/>
        <v>2.3542522739258223</v>
      </c>
      <c r="N32">
        <f t="shared" si="29"/>
        <v>-5.8177189324786875E-2</v>
      </c>
      <c r="P32">
        <v>5.5790028317379878</v>
      </c>
      <c r="Q32">
        <f t="shared" si="30"/>
        <v>0.97286200071558726</v>
      </c>
      <c r="R32">
        <f t="shared" si="31"/>
        <v>2.2844837451138491</v>
      </c>
      <c r="S32">
        <f t="shared" si="32"/>
        <v>-5.6117807528560847E-2</v>
      </c>
      <c r="U32">
        <v>5.6553604774114667</v>
      </c>
      <c r="V32">
        <f t="shared" si="33"/>
        <v>0.97250078741306312</v>
      </c>
      <c r="W32">
        <f t="shared" si="34"/>
        <v>2.2802035317645379</v>
      </c>
      <c r="X32">
        <f t="shared" si="35"/>
        <v>-5.5991868185102288E-2</v>
      </c>
      <c r="Z32">
        <v>5.6556366659862842</v>
      </c>
      <c r="AA32">
        <f t="shared" si="36"/>
        <v>0.9724994813773481</v>
      </c>
      <c r="AB32">
        <f t="shared" si="37"/>
        <v>2.2801880675130861</v>
      </c>
      <c r="AC32">
        <f t="shared" si="38"/>
        <v>-5.5991413255757169E-2</v>
      </c>
    </row>
    <row r="33" spans="1:29" x14ac:dyDescent="0.3">
      <c r="A33" s="91">
        <f t="shared" si="15"/>
        <v>46498</v>
      </c>
      <c r="B33">
        <v>2.625</v>
      </c>
      <c r="C33">
        <f t="shared" si="16"/>
        <v>3.0249999999999999</v>
      </c>
      <c r="D33">
        <v>2</v>
      </c>
      <c r="F33">
        <f>0</f>
        <v>0</v>
      </c>
      <c r="G33">
        <f>1/(1+F33/(100*D33))</f>
        <v>1</v>
      </c>
      <c r="H33">
        <f t="shared" ref="H33:H49" si="41">B33*POWER(G33,C33*D33)</f>
        <v>2.625</v>
      </c>
      <c r="I33">
        <f t="shared" ref="I33:I49" si="42">-1*0.01*H33*G33*C33</f>
        <v>-7.9406249999999998E-2</v>
      </c>
      <c r="K33">
        <v>4.357998750207857</v>
      </c>
      <c r="L33">
        <f t="shared" si="27"/>
        <v>0.97867468473531705</v>
      </c>
      <c r="M33">
        <f t="shared" si="28"/>
        <v>2.3040471019717574</v>
      </c>
      <c r="N33">
        <f t="shared" si="29"/>
        <v>-6.8211105276910294E-2</v>
      </c>
      <c r="P33">
        <v>5.5790028317379878</v>
      </c>
      <c r="Q33">
        <f t="shared" si="30"/>
        <v>0.97286200071558726</v>
      </c>
      <c r="R33">
        <f t="shared" si="31"/>
        <v>2.2224874268736969</v>
      </c>
      <c r="S33">
        <f t="shared" si="32"/>
        <v>-6.5405750331375856E-2</v>
      </c>
      <c r="U33">
        <v>5.6553604774114667</v>
      </c>
      <c r="V33">
        <f t="shared" si="33"/>
        <v>0.97250078741306312</v>
      </c>
      <c r="W33">
        <f t="shared" si="34"/>
        <v>2.2174997301030603</v>
      </c>
      <c r="X33">
        <f t="shared" si="35"/>
        <v>-6.523473706680781E-2</v>
      </c>
      <c r="Z33">
        <v>5.6556366659862842</v>
      </c>
      <c r="AA33">
        <f t="shared" si="36"/>
        <v>0.9724994813773481</v>
      </c>
      <c r="AB33">
        <f t="shared" si="37"/>
        <v>2.2174817130992936</v>
      </c>
      <c r="AC33">
        <f t="shared" si="38"/>
        <v>-6.5234119432572707E-2</v>
      </c>
    </row>
    <row r="34" spans="1:29" x14ac:dyDescent="0.3">
      <c r="A34" s="91">
        <f t="shared" si="15"/>
        <v>46681</v>
      </c>
      <c r="B34">
        <v>2.625</v>
      </c>
      <c r="C34">
        <f t="shared" si="16"/>
        <v>3.5249999999999999</v>
      </c>
      <c r="D34">
        <v>2</v>
      </c>
      <c r="F34">
        <f>0</f>
        <v>0</v>
      </c>
      <c r="G34">
        <f t="shared" ref="G34:G49" si="43">1/(1+F34/(100*D34))</f>
        <v>1</v>
      </c>
      <c r="H34">
        <f t="shared" si="41"/>
        <v>2.625</v>
      </c>
      <c r="I34">
        <f t="shared" si="42"/>
        <v>-9.2531249999999995E-2</v>
      </c>
      <c r="K34">
        <v>4.357998750207857</v>
      </c>
      <c r="L34">
        <f t="shared" si="27"/>
        <v>0.97867468473531705</v>
      </c>
      <c r="M34">
        <f t="shared" si="28"/>
        <v>2.2549125711375302</v>
      </c>
      <c r="N34">
        <f t="shared" si="29"/>
        <v>-7.7790611200646329E-2</v>
      </c>
      <c r="P34">
        <v>5.5790028317379878</v>
      </c>
      <c r="Q34">
        <f t="shared" si="30"/>
        <v>0.97286200071558726</v>
      </c>
      <c r="R34">
        <f t="shared" si="31"/>
        <v>2.1621735646735818</v>
      </c>
      <c r="S34">
        <f t="shared" si="32"/>
        <v>-7.4148251625799966E-2</v>
      </c>
      <c r="U34">
        <v>5.6553604774114667</v>
      </c>
      <c r="V34">
        <f t="shared" si="33"/>
        <v>0.97250078741306312</v>
      </c>
      <c r="W34">
        <f t="shared" si="34"/>
        <v>2.156520233613481</v>
      </c>
      <c r="X34">
        <f t="shared" si="35"/>
        <v>-7.3926921290461287E-2</v>
      </c>
      <c r="Z34">
        <v>5.6556366659862842</v>
      </c>
      <c r="AA34">
        <f t="shared" si="36"/>
        <v>0.9724994813773481</v>
      </c>
      <c r="AB34">
        <f t="shared" si="37"/>
        <v>2.1564998159528166</v>
      </c>
      <c r="AC34">
        <f t="shared" si="38"/>
        <v>-7.3926122079307238E-2</v>
      </c>
    </row>
    <row r="35" spans="1:29" x14ac:dyDescent="0.3">
      <c r="A35" s="91">
        <f t="shared" si="15"/>
        <v>46864</v>
      </c>
      <c r="B35">
        <v>2.625</v>
      </c>
      <c r="C35">
        <f t="shared" si="16"/>
        <v>4.0250000000000004</v>
      </c>
      <c r="D35">
        <v>2</v>
      </c>
      <c r="F35">
        <f>0</f>
        <v>0</v>
      </c>
      <c r="G35">
        <f t="shared" si="43"/>
        <v>1</v>
      </c>
      <c r="H35">
        <f t="shared" si="41"/>
        <v>2.625</v>
      </c>
      <c r="I35">
        <f t="shared" si="42"/>
        <v>-0.10565625000000001</v>
      </c>
      <c r="K35">
        <v>4.357998750207857</v>
      </c>
      <c r="L35">
        <f t="shared" si="27"/>
        <v>0.97867468473531705</v>
      </c>
      <c r="M35">
        <f t="shared" si="28"/>
        <v>2.2068258496637259</v>
      </c>
      <c r="N35">
        <f t="shared" si="29"/>
        <v>-8.6930524855587152E-2</v>
      </c>
      <c r="P35">
        <v>5.5790028317379878</v>
      </c>
      <c r="Q35">
        <f t="shared" si="30"/>
        <v>0.97286200071558726</v>
      </c>
      <c r="R35">
        <f t="shared" si="31"/>
        <v>2.1034965000226942</v>
      </c>
      <c r="S35">
        <f t="shared" si="32"/>
        <v>-8.2368075493790133E-2</v>
      </c>
      <c r="U35">
        <v>5.6553604774114667</v>
      </c>
      <c r="V35">
        <f t="shared" si="33"/>
        <v>0.97250078741306312</v>
      </c>
      <c r="W35">
        <f t="shared" si="34"/>
        <v>2.0972176252613131</v>
      </c>
      <c r="X35">
        <f t="shared" si="35"/>
        <v>-8.2091718125713059E-2</v>
      </c>
      <c r="Z35">
        <v>5.6556366659862842</v>
      </c>
      <c r="AA35">
        <f t="shared" si="36"/>
        <v>0.9724994813773481</v>
      </c>
      <c r="AB35">
        <f t="shared" si="37"/>
        <v>2.0971949526044606</v>
      </c>
      <c r="AC35">
        <f t="shared" si="38"/>
        <v>-8.2090720401139974E-2</v>
      </c>
    </row>
    <row r="36" spans="1:29" x14ac:dyDescent="0.3">
      <c r="A36" s="91">
        <f t="shared" si="15"/>
        <v>47047</v>
      </c>
      <c r="B36">
        <v>2.625</v>
      </c>
      <c r="C36">
        <f t="shared" si="16"/>
        <v>4.5250000000000004</v>
      </c>
      <c r="D36">
        <v>2</v>
      </c>
      <c r="F36">
        <f>0</f>
        <v>0</v>
      </c>
      <c r="G36">
        <f t="shared" si="43"/>
        <v>1</v>
      </c>
      <c r="H36">
        <f t="shared" si="41"/>
        <v>2.625</v>
      </c>
      <c r="I36">
        <f t="shared" si="42"/>
        <v>-0.11878125</v>
      </c>
      <c r="K36">
        <v>4.357998750207857</v>
      </c>
      <c r="L36">
        <f t="shared" si="27"/>
        <v>0.97867468473531705</v>
      </c>
      <c r="M36">
        <f t="shared" si="28"/>
        <v>2.159764592685395</v>
      </c>
      <c r="N36">
        <f t="shared" si="29"/>
        <v>-9.5645238666161786E-2</v>
      </c>
      <c r="P36">
        <v>5.5790028317379878</v>
      </c>
      <c r="Q36">
        <f t="shared" si="30"/>
        <v>0.97286200071558726</v>
      </c>
      <c r="R36">
        <f t="shared" si="31"/>
        <v>2.0464118135103138</v>
      </c>
      <c r="S36">
        <f t="shared" si="32"/>
        <v>-9.0087152175879481E-2</v>
      </c>
      <c r="U36">
        <v>5.6553604774114667</v>
      </c>
      <c r="V36">
        <f t="shared" si="33"/>
        <v>0.97250078741306312</v>
      </c>
      <c r="W36">
        <f t="shared" si="34"/>
        <v>2.0395457919431816</v>
      </c>
      <c r="X36">
        <f t="shared" si="35"/>
        <v>-8.9751559960495914E-2</v>
      </c>
      <c r="Z36">
        <v>5.6556366659862842</v>
      </c>
      <c r="AA36">
        <f t="shared" si="36"/>
        <v>0.9724994813773481</v>
      </c>
      <c r="AB36">
        <f t="shared" si="37"/>
        <v>2.0395210037550302</v>
      </c>
      <c r="AC36">
        <f t="shared" si="38"/>
        <v>-8.9750348608051395E-2</v>
      </c>
    </row>
    <row r="37" spans="1:29" x14ac:dyDescent="0.3">
      <c r="A37" s="91">
        <f t="shared" si="15"/>
        <v>47229</v>
      </c>
      <c r="B37">
        <v>2.625</v>
      </c>
      <c r="C37">
        <f t="shared" si="16"/>
        <v>5.0250000000000004</v>
      </c>
      <c r="D37">
        <v>2</v>
      </c>
      <c r="F37">
        <f>0</f>
        <v>0</v>
      </c>
      <c r="G37">
        <f t="shared" si="43"/>
        <v>1</v>
      </c>
      <c r="H37">
        <f t="shared" si="41"/>
        <v>2.625</v>
      </c>
      <c r="I37">
        <f t="shared" si="42"/>
        <v>-0.13190625</v>
      </c>
      <c r="K37">
        <v>4.357998750207857</v>
      </c>
      <c r="L37">
        <f t="shared" si="27"/>
        <v>0.97867468473531705</v>
      </c>
      <c r="M37">
        <f t="shared" si="28"/>
        <v>2.1137069318488795</v>
      </c>
      <c r="N37">
        <f t="shared" si="29"/>
        <v>-0.10394873112379036</v>
      </c>
      <c r="P37">
        <v>5.5790028317379878</v>
      </c>
      <c r="Q37">
        <f t="shared" si="30"/>
        <v>0.97286200071558726</v>
      </c>
      <c r="R37">
        <f t="shared" si="31"/>
        <v>1.9908762911796571</v>
      </c>
      <c r="S37">
        <f t="shared" si="32"/>
        <v>-9.7326606563667054E-2</v>
      </c>
      <c r="U37">
        <v>5.6553604774114667</v>
      </c>
      <c r="V37">
        <f t="shared" si="33"/>
        <v>0.97250078741306312</v>
      </c>
      <c r="W37">
        <f t="shared" si="34"/>
        <v>1.9834598886297434</v>
      </c>
      <c r="X37">
        <f t="shared" si="35"/>
        <v>-9.6928044250606263E-2</v>
      </c>
      <c r="Z37">
        <v>5.6556366659862842</v>
      </c>
      <c r="AA37">
        <f t="shared" si="36"/>
        <v>0.9724994813773481</v>
      </c>
      <c r="AB37">
        <f t="shared" si="37"/>
        <v>1.9834331184099749</v>
      </c>
      <c r="AC37">
        <f t="shared" si="38"/>
        <v>-9.6926605869767937E-2</v>
      </c>
    </row>
    <row r="38" spans="1:29" x14ac:dyDescent="0.3">
      <c r="A38" s="91">
        <f t="shared" si="15"/>
        <v>47412</v>
      </c>
      <c r="B38">
        <v>2.625</v>
      </c>
      <c r="C38">
        <f t="shared" si="16"/>
        <v>5.5250000000000004</v>
      </c>
      <c r="D38">
        <v>2</v>
      </c>
      <c r="F38">
        <f>0</f>
        <v>0</v>
      </c>
      <c r="G38">
        <f t="shared" si="43"/>
        <v>1</v>
      </c>
      <c r="H38">
        <f t="shared" si="41"/>
        <v>2.625</v>
      </c>
      <c r="I38">
        <f t="shared" si="42"/>
        <v>-0.14503125</v>
      </c>
      <c r="K38">
        <v>4.357998750207857</v>
      </c>
      <c r="L38">
        <f t="shared" si="27"/>
        <v>0.97867468473531705</v>
      </c>
      <c r="M38">
        <f t="shared" si="28"/>
        <v>2.0686314651500561</v>
      </c>
      <c r="N38">
        <f t="shared" si="29"/>
        <v>-0.11185457789615819</v>
      </c>
      <c r="P38">
        <v>5.5790028317379878</v>
      </c>
      <c r="Q38">
        <f t="shared" si="30"/>
        <v>0.97286200071558726</v>
      </c>
      <c r="R38">
        <f t="shared" si="31"/>
        <v>1.9368478918142691</v>
      </c>
      <c r="S38">
        <f t="shared" si="32"/>
        <v>-0.10410678575994892</v>
      </c>
      <c r="U38">
        <v>5.6553604774114667</v>
      </c>
      <c r="V38">
        <f t="shared" si="33"/>
        <v>0.97250078741306312</v>
      </c>
      <c r="W38">
        <f t="shared" si="34"/>
        <v>1.9289163034946519</v>
      </c>
      <c r="X38">
        <f t="shared" si="35"/>
        <v>-0.10364196247613504</v>
      </c>
      <c r="Z38">
        <v>5.6556366659862842</v>
      </c>
      <c r="AA38">
        <f t="shared" si="36"/>
        <v>0.9724994813773481</v>
      </c>
      <c r="AB38">
        <f t="shared" si="37"/>
        <v>1.9288876790003571</v>
      </c>
      <c r="AC38">
        <f t="shared" si="38"/>
        <v>-0.10364028527733098</v>
      </c>
    </row>
    <row r="39" spans="1:29" x14ac:dyDescent="0.3">
      <c r="A39" s="91">
        <f t="shared" si="15"/>
        <v>47594</v>
      </c>
      <c r="B39">
        <v>2.625</v>
      </c>
      <c r="C39">
        <f t="shared" si="16"/>
        <v>6.0250000000000004</v>
      </c>
      <c r="D39">
        <v>2</v>
      </c>
      <c r="F39">
        <f>0</f>
        <v>0</v>
      </c>
      <c r="G39">
        <f t="shared" si="43"/>
        <v>1</v>
      </c>
      <c r="H39">
        <f t="shared" si="41"/>
        <v>2.625</v>
      </c>
      <c r="I39">
        <f t="shared" si="42"/>
        <v>-0.15815625</v>
      </c>
      <c r="K39">
        <v>4.357998750207857</v>
      </c>
      <c r="L39">
        <f t="shared" si="27"/>
        <v>0.97867468473531705</v>
      </c>
      <c r="M39">
        <f t="shared" si="28"/>
        <v>2.0245172469892885</v>
      </c>
      <c r="N39">
        <f t="shared" si="29"/>
        <v>-0.11937596265091686</v>
      </c>
      <c r="P39">
        <v>5.5790028317379878</v>
      </c>
      <c r="Q39">
        <f t="shared" si="30"/>
        <v>0.97286200071558726</v>
      </c>
      <c r="R39">
        <f t="shared" si="31"/>
        <v>1.884285715112197</v>
      </c>
      <c r="S39">
        <f t="shared" si="32"/>
        <v>-0.11044728573611215</v>
      </c>
      <c r="U39">
        <v>5.6553604774114667</v>
      </c>
      <c r="V39">
        <f t="shared" si="33"/>
        <v>0.97250078741306312</v>
      </c>
      <c r="W39">
        <f t="shared" si="34"/>
        <v>1.8758726240024439</v>
      </c>
      <c r="X39">
        <f t="shared" si="35"/>
        <v>-0.1099133281367214</v>
      </c>
      <c r="Z39">
        <v>5.6556366659862842</v>
      </c>
      <c r="AA39">
        <f t="shared" si="36"/>
        <v>0.9724994813773481</v>
      </c>
      <c r="AB39">
        <f t="shared" si="37"/>
        <v>1.875842267463004</v>
      </c>
      <c r="AC39">
        <f t="shared" si="38"/>
        <v>-0.10991140184327218</v>
      </c>
    </row>
    <row r="40" spans="1:29" x14ac:dyDescent="0.3">
      <c r="A40" s="91">
        <f t="shared" si="15"/>
        <v>47777</v>
      </c>
      <c r="B40">
        <v>2.625</v>
      </c>
      <c r="C40">
        <f t="shared" si="16"/>
        <v>6.5250000000000004</v>
      </c>
      <c r="D40">
        <v>2</v>
      </c>
      <c r="F40">
        <f>0</f>
        <v>0</v>
      </c>
      <c r="G40">
        <f t="shared" si="43"/>
        <v>1</v>
      </c>
      <c r="H40">
        <f t="shared" si="41"/>
        <v>2.625</v>
      </c>
      <c r="I40">
        <f t="shared" si="42"/>
        <v>-0.17128125</v>
      </c>
      <c r="K40">
        <v>4.357998750207857</v>
      </c>
      <c r="L40">
        <f t="shared" si="27"/>
        <v>0.97867468473531705</v>
      </c>
      <c r="M40">
        <f t="shared" si="28"/>
        <v>1.9813437784384538</v>
      </c>
      <c r="N40">
        <f t="shared" si="29"/>
        <v>-0.12652568760093871</v>
      </c>
      <c r="P40">
        <v>5.5790028317379878</v>
      </c>
      <c r="Q40">
        <f t="shared" si="30"/>
        <v>0.97286200071558726</v>
      </c>
      <c r="R40">
        <f t="shared" si="31"/>
        <v>1.8331499707238534</v>
      </c>
      <c r="S40">
        <f t="shared" si="32"/>
        <v>-0.11636697711549088</v>
      </c>
      <c r="U40">
        <v>5.6553604774114667</v>
      </c>
      <c r="V40">
        <f t="shared" si="33"/>
        <v>0.97250078741306312</v>
      </c>
      <c r="W40">
        <f t="shared" si="34"/>
        <v>1.8242876039289857</v>
      </c>
      <c r="X40">
        <f t="shared" si="35"/>
        <v>-0.11576140381659608</v>
      </c>
      <c r="Z40">
        <v>5.6556366659862842</v>
      </c>
      <c r="AA40">
        <f t="shared" si="36"/>
        <v>0.9724994813773481</v>
      </c>
      <c r="AB40">
        <f t="shared" si="37"/>
        <v>1.82425563225348</v>
      </c>
      <c r="AC40">
        <f t="shared" si="38"/>
        <v>-0.11575921957137057</v>
      </c>
    </row>
    <row r="41" spans="1:29" x14ac:dyDescent="0.3">
      <c r="A41" s="91">
        <f t="shared" si="15"/>
        <v>47959</v>
      </c>
      <c r="B41">
        <v>2.625</v>
      </c>
      <c r="C41">
        <f t="shared" si="16"/>
        <v>7.0250000000000004</v>
      </c>
      <c r="D41">
        <v>2</v>
      </c>
      <c r="F41">
        <f>0</f>
        <v>0</v>
      </c>
      <c r="G41">
        <f t="shared" si="43"/>
        <v>1</v>
      </c>
      <c r="H41">
        <f t="shared" si="41"/>
        <v>2.625</v>
      </c>
      <c r="I41">
        <f t="shared" si="42"/>
        <v>-0.18440624999999999</v>
      </c>
      <c r="K41">
        <v>4.357998750207857</v>
      </c>
      <c r="L41">
        <f t="shared" si="27"/>
        <v>0.97867468473531705</v>
      </c>
      <c r="M41">
        <f t="shared" si="28"/>
        <v>1.9390909977155355</v>
      </c>
      <c r="N41">
        <f t="shared" si="29"/>
        <v>-0.13331618377807961</v>
      </c>
      <c r="P41">
        <v>5.5790028317379878</v>
      </c>
      <c r="Q41">
        <f t="shared" si="30"/>
        <v>0.97286200071558726</v>
      </c>
      <c r="R41">
        <f t="shared" si="31"/>
        <v>1.7834019481301282</v>
      </c>
      <c r="S41">
        <f t="shared" si="32"/>
        <v>-0.12188403011049118</v>
      </c>
      <c r="U41">
        <v>5.6553604774114667</v>
      </c>
      <c r="V41">
        <f t="shared" si="33"/>
        <v>0.97250078741306312</v>
      </c>
      <c r="W41">
        <f t="shared" si="34"/>
        <v>1.774121131288829</v>
      </c>
      <c r="X41">
        <f t="shared" si="35"/>
        <v>-0.12120472734940398</v>
      </c>
      <c r="Z41">
        <v>5.6556366659862842</v>
      </c>
      <c r="AA41">
        <f t="shared" si="36"/>
        <v>0.9724994813773481</v>
      </c>
      <c r="AB41">
        <f t="shared" si="37"/>
        <v>1.7740876562662156</v>
      </c>
      <c r="AC41">
        <f t="shared" si="38"/>
        <v>-0.1212022776259887</v>
      </c>
    </row>
    <row r="42" spans="1:29" x14ac:dyDescent="0.3">
      <c r="A42" s="91">
        <f t="shared" si="15"/>
        <v>48142</v>
      </c>
      <c r="B42">
        <v>2.625</v>
      </c>
      <c r="C42">
        <f t="shared" si="16"/>
        <v>7.5250000000000004</v>
      </c>
      <c r="D42">
        <v>2</v>
      </c>
      <c r="F42">
        <f>0</f>
        <v>0</v>
      </c>
      <c r="G42">
        <f t="shared" si="43"/>
        <v>1</v>
      </c>
      <c r="H42">
        <f t="shared" si="41"/>
        <v>2.625</v>
      </c>
      <c r="I42">
        <f t="shared" si="42"/>
        <v>-0.19753124999999999</v>
      </c>
      <c r="K42">
        <v>4.357998750207857</v>
      </c>
      <c r="L42">
        <f t="shared" si="27"/>
        <v>0.97867468473531705</v>
      </c>
      <c r="M42">
        <f t="shared" si="28"/>
        <v>1.8977392708623431</v>
      </c>
      <c r="N42">
        <f t="shared" si="29"/>
        <v>-0.13975952104223283</v>
      </c>
      <c r="P42">
        <v>5.5790028317379878</v>
      </c>
      <c r="Q42">
        <f t="shared" si="30"/>
        <v>0.97286200071558726</v>
      </c>
      <c r="R42">
        <f t="shared" si="31"/>
        <v>1.7350039873379524</v>
      </c>
      <c r="S42">
        <f t="shared" si="32"/>
        <v>-0.1270159386404269</v>
      </c>
      <c r="U42">
        <v>5.6553604774114667</v>
      </c>
      <c r="V42">
        <f t="shared" si="33"/>
        <v>0.97250078741306312</v>
      </c>
      <c r="W42">
        <f t="shared" si="34"/>
        <v>1.7253341971445404</v>
      </c>
      <c r="X42">
        <f t="shared" si="35"/>
        <v>-0.12626113711184975</v>
      </c>
      <c r="Z42">
        <v>5.6556366659862842</v>
      </c>
      <c r="AA42">
        <f t="shared" si="36"/>
        <v>0.9724994813773481</v>
      </c>
      <c r="AB42">
        <f t="shared" si="37"/>
        <v>1.7252993256368496</v>
      </c>
      <c r="AC42">
        <f t="shared" si="38"/>
        <v>-0.12625841563003998</v>
      </c>
    </row>
    <row r="43" spans="1:29" x14ac:dyDescent="0.3">
      <c r="A43" s="91">
        <f t="shared" si="15"/>
        <v>48325</v>
      </c>
      <c r="B43">
        <v>2.625</v>
      </c>
      <c r="C43">
        <f t="shared" si="16"/>
        <v>8.0250000000000004</v>
      </c>
      <c r="D43">
        <v>2</v>
      </c>
      <c r="F43">
        <f>0</f>
        <v>0</v>
      </c>
      <c r="G43">
        <f t="shared" si="43"/>
        <v>1</v>
      </c>
      <c r="H43">
        <f t="shared" si="41"/>
        <v>2.625</v>
      </c>
      <c r="I43">
        <f t="shared" si="42"/>
        <v>-0.21065624999999999</v>
      </c>
      <c r="K43">
        <v>4.357998750207857</v>
      </c>
      <c r="L43">
        <f t="shared" si="27"/>
        <v>0.97867468473531705</v>
      </c>
      <c r="M43">
        <f t="shared" si="28"/>
        <v>1.8572693826210342</v>
      </c>
      <c r="N43">
        <f t="shared" si="29"/>
        <v>-0.14586741783229215</v>
      </c>
      <c r="P43">
        <v>5.5790028317379878</v>
      </c>
      <c r="Q43">
        <f t="shared" si="30"/>
        <v>0.97286200071558726</v>
      </c>
      <c r="R43">
        <f t="shared" si="31"/>
        <v>1.6879194503711217</v>
      </c>
      <c r="S43">
        <f t="shared" si="32"/>
        <v>-0.13177954365616804</v>
      </c>
      <c r="U43">
        <v>5.6553604774114667</v>
      </c>
      <c r="V43">
        <f t="shared" si="33"/>
        <v>0.97250078741306312</v>
      </c>
      <c r="W43">
        <f t="shared" si="34"/>
        <v>1.6778888652737505</v>
      </c>
      <c r="X43">
        <f t="shared" si="35"/>
        <v>-0.13094779647429425</v>
      </c>
      <c r="Z43">
        <v>5.6556366659862842</v>
      </c>
      <c r="AA43">
        <f t="shared" si="36"/>
        <v>0.9724994813773481</v>
      </c>
      <c r="AB43">
        <f t="shared" si="37"/>
        <v>1.6778526994025247</v>
      </c>
      <c r="AC43">
        <f t="shared" si="38"/>
        <v>-0.13094479811972223</v>
      </c>
    </row>
    <row r="44" spans="1:29" x14ac:dyDescent="0.3">
      <c r="A44" s="91">
        <f t="shared" si="15"/>
        <v>48508</v>
      </c>
      <c r="B44">
        <v>2.625</v>
      </c>
      <c r="C44">
        <f t="shared" si="16"/>
        <v>8.5250000000000004</v>
      </c>
      <c r="D44">
        <v>2</v>
      </c>
      <c r="F44">
        <f>0</f>
        <v>0</v>
      </c>
      <c r="G44">
        <f t="shared" si="43"/>
        <v>1</v>
      </c>
      <c r="H44">
        <f t="shared" si="41"/>
        <v>2.625</v>
      </c>
      <c r="I44">
        <f t="shared" si="42"/>
        <v>-0.22378125000000001</v>
      </c>
      <c r="K44">
        <v>4.357998750207857</v>
      </c>
      <c r="L44">
        <f t="shared" si="27"/>
        <v>0.97867468473531705</v>
      </c>
      <c r="M44">
        <f t="shared" si="28"/>
        <v>1.8176625275051974</v>
      </c>
      <c r="N44">
        <f t="shared" si="29"/>
        <v>-0.15165125066547999</v>
      </c>
      <c r="P44">
        <v>5.5790028317379878</v>
      </c>
      <c r="Q44">
        <f t="shared" si="30"/>
        <v>0.97286200071558726</v>
      </c>
      <c r="R44">
        <f t="shared" si="31"/>
        <v>1.6421126935348038</v>
      </c>
      <c r="S44">
        <f t="shared" si="32"/>
        <v>-0.13619105569689036</v>
      </c>
      <c r="U44">
        <v>5.6553604774114667</v>
      </c>
      <c r="V44">
        <f t="shared" si="33"/>
        <v>0.97250078741306312</v>
      </c>
      <c r="W44">
        <f t="shared" si="34"/>
        <v>1.6317482426703334</v>
      </c>
      <c r="X44">
        <f t="shared" si="35"/>
        <v>-0.13528121743554061</v>
      </c>
      <c r="Z44">
        <v>5.6556366659862842</v>
      </c>
      <c r="AA44">
        <f t="shared" si="36"/>
        <v>0.9724994813773481</v>
      </c>
      <c r="AB44">
        <f t="shared" si="37"/>
        <v>1.6317108799965387</v>
      </c>
      <c r="AC44">
        <f t="shared" si="38"/>
        <v>-0.1352779381832635</v>
      </c>
    </row>
    <row r="45" spans="1:29" x14ac:dyDescent="0.3">
      <c r="A45" s="91">
        <f t="shared" si="15"/>
        <v>48690</v>
      </c>
      <c r="B45">
        <v>2.625</v>
      </c>
      <c r="C45">
        <f t="shared" si="16"/>
        <v>9.0250000000000004</v>
      </c>
      <c r="D45">
        <v>2</v>
      </c>
      <c r="F45">
        <f>0</f>
        <v>0</v>
      </c>
      <c r="G45">
        <f t="shared" si="43"/>
        <v>1</v>
      </c>
      <c r="H45">
        <f t="shared" si="41"/>
        <v>2.625</v>
      </c>
      <c r="I45">
        <f t="shared" si="42"/>
        <v>-0.23690625000000001</v>
      </c>
      <c r="K45">
        <v>4.357998750207857</v>
      </c>
      <c r="L45">
        <f t="shared" si="27"/>
        <v>0.97867468473531705</v>
      </c>
      <c r="M45">
        <f t="shared" si="28"/>
        <v>1.7789003010613489</v>
      </c>
      <c r="N45">
        <f t="shared" si="29"/>
        <v>-0.15712206339133908</v>
      </c>
      <c r="P45">
        <v>5.5790028317379878</v>
      </c>
      <c r="Q45">
        <f t="shared" si="30"/>
        <v>0.97286200071558726</v>
      </c>
      <c r="R45">
        <f t="shared" si="31"/>
        <v>1.5975490404327313</v>
      </c>
      <c r="S45">
        <f t="shared" si="32"/>
        <v>-0.140266076703428</v>
      </c>
      <c r="U45">
        <v>5.6553604774114667</v>
      </c>
      <c r="V45">
        <f t="shared" si="33"/>
        <v>0.97250078741306312</v>
      </c>
      <c r="W45">
        <f t="shared" si="34"/>
        <v>1.586876450856781</v>
      </c>
      <c r="X45">
        <f t="shared" si="35"/>
        <v>-0.13927728346818835</v>
      </c>
      <c r="Z45">
        <v>5.6556366659862842</v>
      </c>
      <c r="AA45">
        <f t="shared" si="36"/>
        <v>0.9724994813773481</v>
      </c>
      <c r="AB45">
        <f t="shared" si="37"/>
        <v>1.5868379845544101</v>
      </c>
      <c r="AC45">
        <f t="shared" si="38"/>
        <v>-0.13927372031006588</v>
      </c>
    </row>
    <row r="46" spans="1:29" x14ac:dyDescent="0.3">
      <c r="A46" s="91">
        <f>EDATE(A45,3)</f>
        <v>48781</v>
      </c>
      <c r="B46">
        <f>(A46-A45)*C15/360</f>
        <v>1.8149444444444445</v>
      </c>
      <c r="C46">
        <f>(A46-B2)/360</f>
        <v>9.4083333333333332</v>
      </c>
      <c r="D46">
        <v>4</v>
      </c>
      <c r="F46">
        <f>0</f>
        <v>0</v>
      </c>
      <c r="G46">
        <f t="shared" si="43"/>
        <v>1</v>
      </c>
      <c r="H46">
        <f t="shared" si="41"/>
        <v>1.8149444444444445</v>
      </c>
      <c r="I46">
        <f t="shared" si="42"/>
        <v>-0.17075602314814814</v>
      </c>
      <c r="K46">
        <v>4.357998750207857</v>
      </c>
      <c r="L46">
        <f t="shared" si="27"/>
        <v>0.98922242477290523</v>
      </c>
      <c r="M46">
        <f t="shared" si="28"/>
        <v>1.20714404186771</v>
      </c>
      <c r="N46">
        <f t="shared" si="29"/>
        <v>-0.1123481030407871</v>
      </c>
      <c r="P46">
        <v>5.5790028317379878</v>
      </c>
      <c r="Q46">
        <f t="shared" si="30"/>
        <v>0.98624434994714827</v>
      </c>
      <c r="R46">
        <f t="shared" si="31"/>
        <v>1.0776583068228029</v>
      </c>
      <c r="S46">
        <f t="shared" si="32"/>
        <v>-9.9995004664784184E-2</v>
      </c>
      <c r="U46">
        <v>5.6553604774114667</v>
      </c>
      <c r="V46">
        <f t="shared" si="33"/>
        <v>0.98605870640842586</v>
      </c>
      <c r="W46">
        <f t="shared" si="34"/>
        <v>1.0700506224659669</v>
      </c>
      <c r="X46">
        <f t="shared" si="35"/>
        <v>-9.9270404590265315E-2</v>
      </c>
      <c r="Z46">
        <v>5.6556366659862842</v>
      </c>
      <c r="AA46">
        <f t="shared" si="36"/>
        <v>0.98605803505537604</v>
      </c>
      <c r="AB46">
        <f t="shared" si="37"/>
        <v>1.0700232054749776</v>
      </c>
      <c r="AC46">
        <f t="shared" si="38"/>
        <v>-9.9267793483659786E-2</v>
      </c>
    </row>
    <row r="47" spans="1:29" x14ac:dyDescent="0.3">
      <c r="A47" s="91">
        <f t="shared" ref="A47:A49" si="44">EDATE(A46,3)</f>
        <v>48873</v>
      </c>
      <c r="B47">
        <f>(A47-A46)*C15/360</f>
        <v>1.8348888888888888</v>
      </c>
      <c r="C47">
        <f>(A47-B2)/360</f>
        <v>9.6638888888888896</v>
      </c>
      <c r="D47">
        <v>4</v>
      </c>
      <c r="F47">
        <f>0</f>
        <v>0</v>
      </c>
      <c r="G47">
        <f t="shared" si="43"/>
        <v>1</v>
      </c>
      <c r="H47">
        <f t="shared" si="41"/>
        <v>1.8348888888888888</v>
      </c>
      <c r="I47">
        <f t="shared" si="42"/>
        <v>-0.17732162345679012</v>
      </c>
      <c r="K47">
        <v>4.357998750207857</v>
      </c>
      <c r="L47">
        <f t="shared" si="27"/>
        <v>0.98922242477290523</v>
      </c>
      <c r="M47">
        <f t="shared" si="28"/>
        <v>1.2069656330080936</v>
      </c>
      <c r="N47">
        <f t="shared" si="29"/>
        <v>-0.11538272329122973</v>
      </c>
      <c r="P47">
        <v>5.5790028317379878</v>
      </c>
      <c r="Q47">
        <f t="shared" si="30"/>
        <v>0.98624434994714827</v>
      </c>
      <c r="R47">
        <f t="shared" si="31"/>
        <v>1.0741832276310119</v>
      </c>
      <c r="S47">
        <f t="shared" si="32"/>
        <v>-0.10237992879962579</v>
      </c>
      <c r="U47">
        <v>5.6553604774114667</v>
      </c>
      <c r="V47">
        <f t="shared" si="33"/>
        <v>0.98605870640842586</v>
      </c>
      <c r="W47">
        <f t="shared" si="34"/>
        <v>1.0663948452233791</v>
      </c>
      <c r="X47">
        <f t="shared" si="35"/>
        <v>-0.10161848997921924</v>
      </c>
      <c r="Z47">
        <v>5.6556366659862842</v>
      </c>
      <c r="AA47">
        <f t="shared" si="36"/>
        <v>0.98605803505537604</v>
      </c>
      <c r="AB47">
        <f t="shared" si="37"/>
        <v>1.0663667797363281</v>
      </c>
      <c r="AC47">
        <f t="shared" si="38"/>
        <v>-0.10161574638894408</v>
      </c>
    </row>
    <row r="48" spans="1:29" x14ac:dyDescent="0.3">
      <c r="A48" s="91">
        <f t="shared" si="44"/>
        <v>48965</v>
      </c>
      <c r="B48">
        <f>(A48-A47)*C15/360</f>
        <v>1.8348888888888888</v>
      </c>
      <c r="C48">
        <f>(A48-B2)/360</f>
        <v>9.9194444444444443</v>
      </c>
      <c r="D48">
        <v>4</v>
      </c>
      <c r="F48">
        <f>0</f>
        <v>0</v>
      </c>
      <c r="G48">
        <f t="shared" si="43"/>
        <v>1</v>
      </c>
      <c r="H48">
        <f t="shared" si="41"/>
        <v>1.8348888888888888</v>
      </c>
      <c r="I48">
        <f t="shared" si="42"/>
        <v>-0.18201078395061726</v>
      </c>
      <c r="K48">
        <v>4.357998750207857</v>
      </c>
      <c r="L48">
        <f t="shared" si="27"/>
        <v>0.98922242477290523</v>
      </c>
      <c r="M48">
        <f t="shared" si="28"/>
        <v>1.1936699977932648</v>
      </c>
      <c r="N48">
        <f t="shared" si="29"/>
        <v>-0.11712930882739786</v>
      </c>
      <c r="P48">
        <v>5.5790028317379878</v>
      </c>
      <c r="Q48">
        <f t="shared" si="30"/>
        <v>0.98624434994714827</v>
      </c>
      <c r="R48">
        <f t="shared" si="31"/>
        <v>1.0590811005282486</v>
      </c>
      <c r="S48">
        <f t="shared" si="32"/>
        <v>-0.10360986210333424</v>
      </c>
      <c r="U48">
        <v>5.6553604774114667</v>
      </c>
      <c r="V48">
        <f t="shared" si="33"/>
        <v>0.98605870640842586</v>
      </c>
      <c r="W48">
        <f t="shared" si="34"/>
        <v>1.0511999104034251</v>
      </c>
      <c r="X48">
        <f t="shared" si="35"/>
        <v>-0.1028194879414876</v>
      </c>
      <c r="Z48">
        <v>5.6556366659862842</v>
      </c>
      <c r="AA48">
        <f t="shared" si="36"/>
        <v>0.98605803505537604</v>
      </c>
      <c r="AB48">
        <f t="shared" si="37"/>
        <v>1.0511715132288182</v>
      </c>
      <c r="AC48">
        <f t="shared" si="38"/>
        <v>-0.10281664036771565</v>
      </c>
    </row>
    <row r="49" spans="1:29" x14ac:dyDescent="0.3">
      <c r="A49" s="91">
        <f t="shared" si="44"/>
        <v>49055</v>
      </c>
      <c r="B49">
        <f>B7+(A49-A48)*C15/360</f>
        <v>101.795</v>
      </c>
      <c r="C49">
        <f>(A49-B2)/360</f>
        <v>10.169444444444444</v>
      </c>
      <c r="D49">
        <v>4</v>
      </c>
      <c r="F49">
        <f>0</f>
        <v>0</v>
      </c>
      <c r="G49">
        <f t="shared" si="43"/>
        <v>1</v>
      </c>
      <c r="H49">
        <f t="shared" si="41"/>
        <v>101.795</v>
      </c>
      <c r="I49">
        <f t="shared" si="42"/>
        <v>-10.351985972222224</v>
      </c>
      <c r="K49">
        <v>4.357998750207857</v>
      </c>
      <c r="L49">
        <f t="shared" si="27"/>
        <v>0.98922242477290523</v>
      </c>
      <c r="M49">
        <f t="shared" si="28"/>
        <v>65.508085473220802</v>
      </c>
      <c r="N49">
        <f t="shared" si="29"/>
        <v>-6.5900102180827176</v>
      </c>
      <c r="P49">
        <v>5.5790028317379878</v>
      </c>
      <c r="Q49">
        <f t="shared" si="30"/>
        <v>0.98624434994714827</v>
      </c>
      <c r="R49">
        <f t="shared" si="31"/>
        <v>57.946928659295736</v>
      </c>
      <c r="S49">
        <f t="shared" si="32"/>
        <v>-5.8118203123189867</v>
      </c>
      <c r="U49">
        <v>5.6553604774114667</v>
      </c>
      <c r="V49">
        <f t="shared" si="33"/>
        <v>0.98605870640842586</v>
      </c>
      <c r="W49">
        <f t="shared" si="34"/>
        <v>57.504888160052531</v>
      </c>
      <c r="X49">
        <f t="shared" si="35"/>
        <v>-5.7663999779459001</v>
      </c>
      <c r="Z49">
        <v>5.6556366659862842</v>
      </c>
      <c r="AA49">
        <f t="shared" si="36"/>
        <v>0.98605803505537604</v>
      </c>
      <c r="AB49">
        <f t="shared" si="37"/>
        <v>57.50329556885643</v>
      </c>
      <c r="AC49">
        <f t="shared" si="38"/>
        <v>-5.7662363522531725</v>
      </c>
    </row>
    <row r="50" spans="1:29" x14ac:dyDescent="0.3">
      <c r="A50" s="91"/>
      <c r="G50" t="s">
        <v>52</v>
      </c>
      <c r="H50">
        <f>SUM(H27:H49)</f>
        <v>157.15472222222223</v>
      </c>
      <c r="I50">
        <f>SUM(I27:I49)</f>
        <v>-13.13891815277778</v>
      </c>
      <c r="L50" t="s">
        <v>52</v>
      </c>
      <c r="M50">
        <f>SUM(M27:M49)</f>
        <v>110.43800265341176</v>
      </c>
      <c r="N50">
        <f>SUM(N27:N49)</f>
        <v>-8.6344259446427234</v>
      </c>
      <c r="Q50" t="s">
        <v>52</v>
      </c>
      <c r="R50">
        <f>SUM(R27:R49)</f>
        <v>100.48266038752053</v>
      </c>
      <c r="S50">
        <f>SUM(S27:S49)</f>
        <v>-7.6917910316239757</v>
      </c>
      <c r="V50" t="s">
        <v>52</v>
      </c>
      <c r="W50">
        <f>SUM(W27:W49)</f>
        <v>99.897442479973137</v>
      </c>
      <c r="X50">
        <f>SUM(X27:X49)</f>
        <v>-7.6366179925693496</v>
      </c>
      <c r="AA50" t="s">
        <v>52</v>
      </c>
      <c r="AB50">
        <f>SUM(AB27:AB49)</f>
        <v>99.895333360785315</v>
      </c>
      <c r="AC50">
        <f>SUM(AC27:AC49)</f>
        <v>-7.636419200080419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8E70-AE47-4D59-BB84-1A196C346487}">
  <dimension ref="A1:AC51"/>
  <sheetViews>
    <sheetView workbookViewId="0">
      <selection activeCell="B17" sqref="B17"/>
    </sheetView>
  </sheetViews>
  <sheetFormatPr defaultRowHeight="14.4" x14ac:dyDescent="0.3"/>
  <cols>
    <col min="1" max="1" width="30.6640625" bestFit="1" customWidth="1"/>
    <col min="2" max="2" width="9.6640625" bestFit="1" customWidth="1"/>
    <col min="3" max="3" width="11.88671875" bestFit="1" customWidth="1"/>
    <col min="4" max="4" width="17.33203125" bestFit="1" customWidth="1"/>
  </cols>
  <sheetData>
    <row r="1" spans="1:4" x14ac:dyDescent="0.3">
      <c r="A1" s="61" t="s">
        <v>110</v>
      </c>
      <c r="B1" s="91">
        <v>44882</v>
      </c>
      <c r="C1" s="63"/>
      <c r="D1" s="64"/>
    </row>
    <row r="2" spans="1:4" x14ac:dyDescent="0.3">
      <c r="A2" s="61" t="s">
        <v>111</v>
      </c>
      <c r="B2" s="91">
        <v>45425</v>
      </c>
      <c r="C2" s="65"/>
      <c r="D2" s="65"/>
    </row>
    <row r="3" spans="1:4" x14ac:dyDescent="0.3">
      <c r="A3" s="61" t="s">
        <v>113</v>
      </c>
      <c r="B3" s="91">
        <v>48900</v>
      </c>
      <c r="C3" s="65"/>
      <c r="D3" s="65"/>
    </row>
    <row r="4" spans="1:4" x14ac:dyDescent="0.3">
      <c r="A4" s="61" t="s">
        <v>114</v>
      </c>
      <c r="B4" s="91">
        <v>45063</v>
      </c>
      <c r="C4" s="65"/>
      <c r="D4" s="65"/>
    </row>
    <row r="5" spans="1:4" x14ac:dyDescent="0.3">
      <c r="A5" s="61" t="s">
        <v>115</v>
      </c>
      <c r="B5" s="91">
        <v>48808</v>
      </c>
      <c r="C5" s="65"/>
      <c r="D5" s="65"/>
    </row>
    <row r="6" spans="1:4" x14ac:dyDescent="0.3">
      <c r="A6" s="61" t="s">
        <v>116</v>
      </c>
      <c r="B6">
        <v>104.482</v>
      </c>
      <c r="C6" s="65"/>
      <c r="D6" s="65"/>
    </row>
    <row r="7" spans="1:4" x14ac:dyDescent="0.3">
      <c r="A7" s="61" t="s">
        <v>4</v>
      </c>
      <c r="B7" s="65">
        <v>100</v>
      </c>
      <c r="C7" s="65"/>
      <c r="D7" s="65"/>
    </row>
    <row r="8" spans="1:4" x14ac:dyDescent="0.3">
      <c r="A8" s="65"/>
      <c r="B8" s="61" t="s">
        <v>117</v>
      </c>
      <c r="C8" s="61" t="s">
        <v>224</v>
      </c>
      <c r="D8" s="61" t="s">
        <v>225</v>
      </c>
    </row>
    <row r="9" spans="1:4" x14ac:dyDescent="0.3">
      <c r="A9" s="61" t="s">
        <v>119</v>
      </c>
      <c r="B9" s="65" t="s">
        <v>44</v>
      </c>
      <c r="C9" s="65" t="s">
        <v>120</v>
      </c>
      <c r="D9" s="65" t="s">
        <v>120</v>
      </c>
    </row>
    <row r="10" spans="1:4" x14ac:dyDescent="0.3">
      <c r="A10" s="61" t="s">
        <v>121</v>
      </c>
      <c r="B10" s="65">
        <v>2</v>
      </c>
      <c r="C10" s="65">
        <v>4</v>
      </c>
      <c r="D10" s="65">
        <v>4</v>
      </c>
    </row>
    <row r="11" spans="1:4" x14ac:dyDescent="0.3">
      <c r="A11" s="61" t="s">
        <v>122</v>
      </c>
      <c r="B11" s="62">
        <v>44882</v>
      </c>
      <c r="C11" s="62">
        <v>48535</v>
      </c>
      <c r="D11" s="92">
        <v>48808</v>
      </c>
    </row>
    <row r="12" spans="1:4" x14ac:dyDescent="0.3">
      <c r="A12" s="61" t="s">
        <v>123</v>
      </c>
      <c r="B12" s="62">
        <v>48534</v>
      </c>
      <c r="C12" s="62">
        <v>48807</v>
      </c>
      <c r="D12" s="92">
        <v>48899</v>
      </c>
    </row>
    <row r="13" spans="1:4" x14ac:dyDescent="0.3">
      <c r="A13" s="61" t="s">
        <v>192</v>
      </c>
      <c r="B13" s="62"/>
      <c r="C13">
        <v>5.31</v>
      </c>
      <c r="D13">
        <v>5.31</v>
      </c>
    </row>
    <row r="14" spans="1:4" x14ac:dyDescent="0.3">
      <c r="A14" s="61" t="s">
        <v>193</v>
      </c>
      <c r="B14" s="62"/>
      <c r="C14">
        <v>2.3380000000000001</v>
      </c>
      <c r="D14">
        <v>2.3380000000000001</v>
      </c>
    </row>
    <row r="15" spans="1:4" x14ac:dyDescent="0.3">
      <c r="A15" s="61" t="s">
        <v>124</v>
      </c>
      <c r="B15">
        <v>6.27</v>
      </c>
      <c r="C15">
        <f>C13+C14</f>
        <v>7.6479999999999997</v>
      </c>
      <c r="D15">
        <f>D14+D13</f>
        <v>7.6479999999999997</v>
      </c>
    </row>
    <row r="17" spans="1:29" x14ac:dyDescent="0.3">
      <c r="A17" s="61" t="s">
        <v>222</v>
      </c>
      <c r="B17" s="18">
        <f>(DATEDIF(A27,B2,"md")+DATEDIF(A27,B2,"ym")*30+DATEDIF(A27,B2,"y")*360)</f>
        <v>176</v>
      </c>
      <c r="C17" s="18"/>
    </row>
    <row r="18" spans="1:29" x14ac:dyDescent="0.3">
      <c r="A18" s="61" t="s">
        <v>140</v>
      </c>
      <c r="B18" s="18">
        <f>B17/360</f>
        <v>0.48888888888888887</v>
      </c>
      <c r="C18" s="18"/>
    </row>
    <row r="19" spans="1:29" x14ac:dyDescent="0.3">
      <c r="A19" s="61" t="s">
        <v>125</v>
      </c>
      <c r="B19" s="18">
        <f>B18*B15</f>
        <v>3.0653333333333332</v>
      </c>
      <c r="C19" s="18"/>
    </row>
    <row r="20" spans="1:29" x14ac:dyDescent="0.3">
      <c r="A20" s="61" t="s">
        <v>126</v>
      </c>
      <c r="B20" s="18">
        <f>B19+B6</f>
        <v>107.54733333333333</v>
      </c>
    </row>
    <row r="21" spans="1:29" x14ac:dyDescent="0.3">
      <c r="A21" s="61" t="s">
        <v>128</v>
      </c>
      <c r="B21" s="18">
        <f>AA24</f>
        <v>5.6782932942884878</v>
      </c>
    </row>
    <row r="22" spans="1:29" x14ac:dyDescent="0.3">
      <c r="A22" s="61" t="s">
        <v>130</v>
      </c>
      <c r="B22" s="65"/>
    </row>
    <row r="23" spans="1:29" x14ac:dyDescent="0.3">
      <c r="A23" s="18"/>
    </row>
    <row r="24" spans="1:29" x14ac:dyDescent="0.3">
      <c r="A24" s="61" t="s">
        <v>90</v>
      </c>
      <c r="F24" t="s">
        <v>131</v>
      </c>
      <c r="G24">
        <f>0</f>
        <v>0</v>
      </c>
      <c r="K24" t="s">
        <v>53</v>
      </c>
      <c r="L24">
        <f>G24+(B20-H50)/I50</f>
        <v>4.432950835053413</v>
      </c>
      <c r="P24" t="s">
        <v>55</v>
      </c>
      <c r="Q24">
        <f>L24+(B20-M50)/N50</f>
        <v>5.6114665816476155</v>
      </c>
      <c r="U24" t="s">
        <v>57</v>
      </c>
      <c r="V24">
        <f>Q24+(B20-R50)/S50</f>
        <v>5.6780950932551058</v>
      </c>
      <c r="Z24" s="13" t="s">
        <v>59</v>
      </c>
      <c r="AA24" s="13">
        <f>V24+(B20-W50)/X50</f>
        <v>5.6782932942884878</v>
      </c>
    </row>
    <row r="25" spans="1:29" x14ac:dyDescent="0.3">
      <c r="A25" s="61" t="s">
        <v>132</v>
      </c>
      <c r="B25" s="66" t="s">
        <v>133</v>
      </c>
      <c r="C25" s="66" t="s">
        <v>134</v>
      </c>
      <c r="D25" s="66" t="s">
        <v>135</v>
      </c>
      <c r="F25" s="70" t="s">
        <v>136</v>
      </c>
      <c r="G25" s="70" t="s">
        <v>48</v>
      </c>
      <c r="H25" s="70" t="s">
        <v>49</v>
      </c>
      <c r="I25" s="70" t="s">
        <v>50</v>
      </c>
      <c r="K25" s="70" t="s">
        <v>136</v>
      </c>
      <c r="L25" s="70" t="s">
        <v>48</v>
      </c>
      <c r="M25" s="70" t="s">
        <v>49</v>
      </c>
      <c r="N25" s="70" t="s">
        <v>50</v>
      </c>
      <c r="P25" s="70" t="s">
        <v>136</v>
      </c>
      <c r="Q25" s="70" t="s">
        <v>48</v>
      </c>
      <c r="R25" s="70" t="s">
        <v>49</v>
      </c>
      <c r="S25" s="70" t="s">
        <v>50</v>
      </c>
      <c r="U25" s="70" t="s">
        <v>136</v>
      </c>
      <c r="V25" s="70" t="s">
        <v>48</v>
      </c>
      <c r="W25" s="70" t="s">
        <v>49</v>
      </c>
      <c r="X25" s="70" t="s">
        <v>50</v>
      </c>
      <c r="Z25" s="70" t="s">
        <v>136</v>
      </c>
      <c r="AA25" s="70" t="s">
        <v>48</v>
      </c>
      <c r="AB25" s="70" t="s">
        <v>49</v>
      </c>
      <c r="AC25" s="70" t="s">
        <v>50</v>
      </c>
    </row>
    <row r="26" spans="1:29" x14ac:dyDescent="0.3">
      <c r="A26" s="91">
        <f>B4</f>
        <v>45063</v>
      </c>
    </row>
    <row r="27" spans="1:29" x14ac:dyDescent="0.3">
      <c r="A27" s="91">
        <f>EDATE(A26,6)</f>
        <v>45247</v>
      </c>
    </row>
    <row r="28" spans="1:29" x14ac:dyDescent="0.3">
      <c r="A28" s="91">
        <f>EDATE(A27,6)</f>
        <v>45429</v>
      </c>
      <c r="B28">
        <v>3.1349999999999998</v>
      </c>
      <c r="C28">
        <f>(DATEDIF(B2,A28,"md")+DATEDIF(B2,A28,"ym")*30+DATEDIF(B2,A28,"y")*360)/360</f>
        <v>1.1111111111111112E-2</v>
      </c>
      <c r="D28">
        <v>2</v>
      </c>
      <c r="F28">
        <f>0</f>
        <v>0</v>
      </c>
      <c r="G28">
        <f t="shared" ref="G28:G32" si="0">1/(1+F28/(100*D28))</f>
        <v>1</v>
      </c>
      <c r="H28">
        <f t="shared" ref="H28:H31" si="1">B28*POWER(G28,C28*D28)</f>
        <v>3.1349999999999998</v>
      </c>
      <c r="I28">
        <f t="shared" ref="I28:I31" si="2">-1*0.01*H28*G28*C28</f>
        <v>-3.4833333333333331E-4</v>
      </c>
      <c r="K28">
        <v>4.432950835053413</v>
      </c>
      <c r="L28">
        <f t="shared" ref="L28" si="3">1/(1+K28/(100*D28))</f>
        <v>0.97831586925226099</v>
      </c>
      <c r="M28">
        <f t="shared" ref="M28" si="4">B28*POWER(L28,C28*D28)</f>
        <v>3.1334730914771813</v>
      </c>
      <c r="N28">
        <f t="shared" ref="N28" si="5">-1*0.01*M28*L28*C28</f>
        <v>-3.4061405014078539E-4</v>
      </c>
      <c r="P28">
        <v>5.6114665816476155</v>
      </c>
      <c r="Q28">
        <f t="shared" ref="Q28" si="6">1/(1+P28/(100*D28))</f>
        <v>0.97270839669139109</v>
      </c>
      <c r="R28">
        <f t="shared" ref="R28" si="7">B28*POWER(Q28,C28*D28)</f>
        <v>3.1330728506424896</v>
      </c>
      <c r="S28">
        <f t="shared" ref="S28" si="8">-1*0.01*R28*Q28*C28</f>
        <v>-3.3861847436286475E-4</v>
      </c>
      <c r="U28">
        <v>5.6780950932551058</v>
      </c>
      <c r="V28">
        <f t="shared" ref="V28" si="9">1/(1+U28/(100*D28))</f>
        <v>0.97239329209714509</v>
      </c>
      <c r="W28">
        <f t="shared" ref="W28" si="10">B28*POWER(V28,C28*D28)</f>
        <v>3.1330502927335155</v>
      </c>
      <c r="X28">
        <f t="shared" ref="X28" si="11">-1*0.01*W28*V28*C28</f>
        <v>-3.3850634316189639E-4</v>
      </c>
      <c r="Z28">
        <v>5.6782932942884878</v>
      </c>
      <c r="AA28">
        <f t="shared" ref="AA28" si="12">1/(1+Z28/(100*D28))</f>
        <v>0.97239235505438648</v>
      </c>
      <c r="AB28">
        <f t="shared" ref="AB28" si="13">B28*POWER(AA28,C28*D28)</f>
        <v>3.1330502256412416</v>
      </c>
      <c r="AC28">
        <f t="shared" ref="AC28" si="14">-1*0.01*AB28*AA28*C28</f>
        <v>-3.3850600971277375E-4</v>
      </c>
    </row>
    <row r="29" spans="1:29" x14ac:dyDescent="0.3">
      <c r="A29" s="91">
        <f t="shared" ref="A29:A45" si="15">EDATE(A28,6)</f>
        <v>45613</v>
      </c>
      <c r="B29">
        <v>3.1349999999999998</v>
      </c>
      <c r="C29">
        <f>C28+DATEDIF(A28,A29,"ym")/12</f>
        <v>0.51111111111111107</v>
      </c>
      <c r="D29">
        <v>2</v>
      </c>
      <c r="F29">
        <f>0</f>
        <v>0</v>
      </c>
      <c r="G29">
        <f t="shared" si="0"/>
        <v>1</v>
      </c>
      <c r="H29">
        <f t="shared" si="1"/>
        <v>3.1349999999999998</v>
      </c>
      <c r="I29">
        <f t="shared" si="2"/>
        <v>-1.602333333333333E-2</v>
      </c>
      <c r="K29">
        <v>4.432950835053413</v>
      </c>
      <c r="L29">
        <f t="shared" ref="L29" si="16">1/(1+K29/(100*D29))</f>
        <v>0.97831586925226099</v>
      </c>
      <c r="M29">
        <f>B29*POWER(L29,C29*D29)</f>
        <v>3.0655264512670679</v>
      </c>
      <c r="N29">
        <f>-1*0.01*M29*L29*C29</f>
        <v>-1.5328494004978715E-2</v>
      </c>
      <c r="P29">
        <v>5.6114665816476155</v>
      </c>
      <c r="Q29">
        <f t="shared" ref="Q29" si="17">1/(1+P29/(100*D29))</f>
        <v>0.97270839669139109</v>
      </c>
      <c r="R29">
        <f t="shared" ref="R29" si="18">B29*POWER(Q29,C29*D29)</f>
        <v>3.0475662692657823</v>
      </c>
      <c r="S29">
        <f t="shared" ref="S29" si="19">-1*0.01*R29*Q29*C29</f>
        <v>-1.5151343531229005E-2</v>
      </c>
      <c r="U29">
        <v>5.6780950932551058</v>
      </c>
      <c r="V29">
        <f t="shared" ref="V29" si="20">1/(1+U29/(100*D29))</f>
        <v>0.97239329209714509</v>
      </c>
      <c r="W29">
        <f t="shared" ref="W29" si="21">B29*POWER(V29,C29*D29)</f>
        <v>3.0465570884570674</v>
      </c>
      <c r="X29">
        <f t="shared" ref="X29" si="22">-1*0.01*W29*V29*C29</f>
        <v>-1.5141419681456266E-2</v>
      </c>
      <c r="Z29">
        <v>5.6782932942884878</v>
      </c>
      <c r="AA29">
        <f t="shared" ref="AA29" si="23">1/(1+Z29/(100*D29))</f>
        <v>0.97239235505438648</v>
      </c>
      <c r="AB29">
        <f t="shared" ref="AB29" si="24">B29*POWER(AA29,C29*D29)</f>
        <v>3.0465540874149637</v>
      </c>
      <c r="AC29">
        <f t="shared" ref="AC29" si="25">-1*0.01*AB29*AA29*C29</f>
        <v>-1.5141390175294684E-2</v>
      </c>
    </row>
    <row r="30" spans="1:29" x14ac:dyDescent="0.3">
      <c r="A30" s="91">
        <f t="shared" si="15"/>
        <v>45794</v>
      </c>
      <c r="B30">
        <v>3.1349999999999998</v>
      </c>
      <c r="C30">
        <f t="shared" ref="C30:C45" si="26">C29+DATEDIF(A29,A30,"ym")/12</f>
        <v>1.0111111111111111</v>
      </c>
      <c r="D30">
        <v>2</v>
      </c>
      <c r="F30">
        <f>0</f>
        <v>0</v>
      </c>
      <c r="G30">
        <f t="shared" si="0"/>
        <v>1</v>
      </c>
      <c r="H30">
        <f t="shared" si="1"/>
        <v>3.1349999999999998</v>
      </c>
      <c r="I30">
        <f t="shared" si="2"/>
        <v>-3.1698333333333328E-2</v>
      </c>
      <c r="K30">
        <v>4.432950835053413</v>
      </c>
      <c r="L30">
        <f t="shared" ref="L30:L49" si="27">1/(1+K30/(100*D30))</f>
        <v>0.97831586925226099</v>
      </c>
      <c r="M30">
        <f t="shared" ref="M30:M49" si="28">B30*POWER(L30,C30*D30)</f>
        <v>2.9990531748871407</v>
      </c>
      <c r="N30">
        <f t="shared" ref="N30:N49" si="29">-1*0.01*M30*L30*C30</f>
        <v>-2.9666215505426155E-2</v>
      </c>
      <c r="P30">
        <v>5.6114665816476155</v>
      </c>
      <c r="Q30">
        <f t="shared" ref="Q30:Q49" si="30">1/(1+P30/(100*D30))</f>
        <v>0.97270839669139109</v>
      </c>
      <c r="R30">
        <f t="shared" ref="R30:R49" si="31">B30*POWER(Q30,C30*D30)</f>
        <v>2.9643932995882833</v>
      </c>
      <c r="S30">
        <f t="shared" ref="S30:S49" si="32">-1*0.01*R30*Q30*C30</f>
        <v>-2.9155290342008349E-2</v>
      </c>
      <c r="U30">
        <v>5.6780950932551058</v>
      </c>
      <c r="V30">
        <f t="shared" ref="V30:V49" si="33">1/(1+U30/(100*D30))</f>
        <v>0.97239329209714509</v>
      </c>
      <c r="W30">
        <f t="shared" ref="W30:W49" si="34">B30*POWER(V30,C30*D30)</f>
        <v>2.9624516768066611</v>
      </c>
      <c r="X30">
        <f t="shared" ref="X30:X49" si="35">-1*0.01*W30*V30*C30</f>
        <v>-2.9126755624519447E-2</v>
      </c>
      <c r="Z30">
        <v>5.6782932942884878</v>
      </c>
      <c r="AA30">
        <f t="shared" ref="AA30:AA49" si="36">1/(1+Z30/(100*D30))</f>
        <v>0.97239235505438648</v>
      </c>
      <c r="AB30">
        <f t="shared" ref="AB30:AB49" si="37">B30*POWER(AA30,C30*D30)</f>
        <v>2.9624459038620037</v>
      </c>
      <c r="AC30">
        <f t="shared" ref="AC30:AC49" si="38">-1*0.01*AB30*AA30*C30</f>
        <v>-2.9126670797240118E-2</v>
      </c>
    </row>
    <row r="31" spans="1:29" x14ac:dyDescent="0.3">
      <c r="A31" s="91">
        <f t="shared" si="15"/>
        <v>45978</v>
      </c>
      <c r="B31">
        <v>3.1349999999999998</v>
      </c>
      <c r="C31">
        <f t="shared" si="26"/>
        <v>1.5111111111111111</v>
      </c>
      <c r="D31">
        <v>2</v>
      </c>
      <c r="F31">
        <f>0</f>
        <v>0</v>
      </c>
      <c r="G31">
        <f t="shared" si="0"/>
        <v>1</v>
      </c>
      <c r="H31">
        <f t="shared" si="1"/>
        <v>3.1349999999999998</v>
      </c>
      <c r="I31">
        <f t="shared" si="2"/>
        <v>-4.7373333333333323E-2</v>
      </c>
      <c r="K31">
        <v>4.432950835053413</v>
      </c>
      <c r="L31">
        <f t="shared" si="27"/>
        <v>0.97831586925226099</v>
      </c>
      <c r="M31">
        <f t="shared" si="28"/>
        <v>2.9340213137234663</v>
      </c>
      <c r="N31">
        <f t="shared" si="29"/>
        <v>-4.3374927469316066E-2</v>
      </c>
      <c r="P31">
        <v>5.6114665816476155</v>
      </c>
      <c r="Q31">
        <f t="shared" si="30"/>
        <v>0.97270839669139109</v>
      </c>
      <c r="R31">
        <f t="shared" si="31"/>
        <v>2.8834902536052218</v>
      </c>
      <c r="S31">
        <f t="shared" si="32"/>
        <v>-4.2383571630944888E-2</v>
      </c>
      <c r="U31">
        <v>5.6780950932551058</v>
      </c>
      <c r="V31">
        <f t="shared" si="33"/>
        <v>0.97239329209714509</v>
      </c>
      <c r="W31">
        <f t="shared" si="34"/>
        <v>2.8806681386887369</v>
      </c>
      <c r="X31">
        <f t="shared" si="35"/>
        <v>-4.232837366392999E-2</v>
      </c>
      <c r="Z31">
        <v>5.6782932942884878</v>
      </c>
      <c r="AA31">
        <f t="shared" si="36"/>
        <v>0.97239235505438648</v>
      </c>
      <c r="AB31">
        <f t="shared" si="37"/>
        <v>2.8806597491775947</v>
      </c>
      <c r="AC31">
        <f t="shared" si="38"/>
        <v>-4.2328209599488048E-2</v>
      </c>
    </row>
    <row r="32" spans="1:29" x14ac:dyDescent="0.3">
      <c r="A32" s="91">
        <f t="shared" si="15"/>
        <v>46159</v>
      </c>
      <c r="B32">
        <v>3.1349999999999998</v>
      </c>
      <c r="C32">
        <f t="shared" si="26"/>
        <v>2.0111111111111111</v>
      </c>
      <c r="D32">
        <v>2</v>
      </c>
      <c r="F32">
        <f>0</f>
        <v>0</v>
      </c>
      <c r="G32">
        <f t="shared" si="0"/>
        <v>1</v>
      </c>
      <c r="H32">
        <f t="shared" ref="H32" si="39">B32*POWER(G32,C32*D32)</f>
        <v>3.1349999999999998</v>
      </c>
      <c r="I32">
        <f t="shared" ref="I32" si="40">-1*0.01*H32*G32*C32</f>
        <v>-6.3048333333333317E-2</v>
      </c>
      <c r="K32">
        <v>4.432950835053413</v>
      </c>
      <c r="L32">
        <f t="shared" si="27"/>
        <v>0.97831586925226099</v>
      </c>
      <c r="M32">
        <f t="shared" si="28"/>
        <v>2.8703996119400337</v>
      </c>
      <c r="N32">
        <f t="shared" si="29"/>
        <v>-5.6475167328180045E-2</v>
      </c>
      <c r="P32">
        <v>5.6114665816476155</v>
      </c>
      <c r="Q32">
        <f t="shared" si="30"/>
        <v>0.97270839669139109</v>
      </c>
      <c r="R32">
        <f t="shared" si="31"/>
        <v>2.8047951814595877</v>
      </c>
      <c r="S32">
        <f t="shared" si="32"/>
        <v>-5.4868095127217596E-2</v>
      </c>
      <c r="U32">
        <v>5.6780950932551058</v>
      </c>
      <c r="V32">
        <f t="shared" si="33"/>
        <v>0.97239329209714509</v>
      </c>
      <c r="W32">
        <f t="shared" si="34"/>
        <v>2.8011423748188959</v>
      </c>
      <c r="X32">
        <f t="shared" si="35"/>
        <v>-5.4778886893601775E-2</v>
      </c>
      <c r="Z32">
        <v>5.6782932942884878</v>
      </c>
      <c r="AA32">
        <f t="shared" si="36"/>
        <v>0.97239235505438648</v>
      </c>
      <c r="AB32">
        <f t="shared" si="37"/>
        <v>2.8011315176131797</v>
      </c>
      <c r="AC32">
        <f t="shared" si="38"/>
        <v>-5.4778621783826614E-2</v>
      </c>
    </row>
    <row r="33" spans="1:29" x14ac:dyDescent="0.3">
      <c r="A33" s="91">
        <f t="shared" si="15"/>
        <v>46343</v>
      </c>
      <c r="B33">
        <v>3.1349999999999998</v>
      </c>
      <c r="C33">
        <f t="shared" si="26"/>
        <v>2.5111111111111111</v>
      </c>
      <c r="D33">
        <v>2</v>
      </c>
      <c r="F33">
        <f>0</f>
        <v>0</v>
      </c>
      <c r="G33">
        <f>1/(1+F33/(100*D33))</f>
        <v>1</v>
      </c>
      <c r="H33">
        <f t="shared" ref="H33:H48" si="41">B33*POWER(G33,C33*D33)</f>
        <v>3.1349999999999998</v>
      </c>
      <c r="I33">
        <f t="shared" ref="I33:I49" si="42">-1*0.01*H33*G33*C33</f>
        <v>-7.8723333333333326E-2</v>
      </c>
      <c r="K33">
        <v>4.432950835053413</v>
      </c>
      <c r="L33">
        <f t="shared" si="27"/>
        <v>0.97831586925226099</v>
      </c>
      <c r="M33">
        <f t="shared" si="28"/>
        <v>2.8081574914564666</v>
      </c>
      <c r="N33">
        <f t="shared" si="29"/>
        <v>-6.8986877602092767E-2</v>
      </c>
      <c r="P33">
        <v>5.6114665816476155</v>
      </c>
      <c r="Q33">
        <f t="shared" si="30"/>
        <v>0.97270839669139109</v>
      </c>
      <c r="R33">
        <f t="shared" si="31"/>
        <v>2.7282478240052952</v>
      </c>
      <c r="S33">
        <f t="shared" si="32"/>
        <v>-6.6639604674031391E-2</v>
      </c>
      <c r="U33">
        <v>5.6780950932551058</v>
      </c>
      <c r="V33">
        <f t="shared" si="33"/>
        <v>0.97239329209714509</v>
      </c>
      <c r="W33">
        <f t="shared" si="34"/>
        <v>2.7238120554829615</v>
      </c>
      <c r="X33">
        <f t="shared" si="35"/>
        <v>-6.6509705022311419E-2</v>
      </c>
      <c r="Z33">
        <v>5.6782932942884878</v>
      </c>
      <c r="AA33">
        <f t="shared" si="36"/>
        <v>0.97239235505438648</v>
      </c>
      <c r="AB33">
        <f t="shared" si="37"/>
        <v>2.7237988732289473</v>
      </c>
      <c r="AC33">
        <f t="shared" si="38"/>
        <v>-6.6509319048176571E-2</v>
      </c>
    </row>
    <row r="34" spans="1:29" x14ac:dyDescent="0.3">
      <c r="A34" s="91">
        <f t="shared" si="15"/>
        <v>46524</v>
      </c>
      <c r="B34">
        <v>3.1349999999999998</v>
      </c>
      <c r="C34">
        <f t="shared" si="26"/>
        <v>3.0111111111111111</v>
      </c>
      <c r="D34">
        <v>2</v>
      </c>
      <c r="F34">
        <f>0</f>
        <v>0</v>
      </c>
      <c r="G34">
        <f t="shared" ref="G34:G49" si="43">1/(1+F34/(100*D34))</f>
        <v>1</v>
      </c>
      <c r="H34">
        <f t="shared" si="41"/>
        <v>3.1349999999999998</v>
      </c>
      <c r="I34">
        <f t="shared" si="42"/>
        <v>-9.439833333333332E-2</v>
      </c>
      <c r="K34">
        <v>4.432950835053413</v>
      </c>
      <c r="L34">
        <f t="shared" si="27"/>
        <v>0.97831586925226099</v>
      </c>
      <c r="M34">
        <f t="shared" si="28"/>
        <v>2.747265037251482</v>
      </c>
      <c r="N34">
        <f t="shared" si="29"/>
        <v>-8.0929422043215862E-2</v>
      </c>
      <c r="P34">
        <v>5.6114665816476155</v>
      </c>
      <c r="Q34">
        <f t="shared" si="30"/>
        <v>0.97270839669139109</v>
      </c>
      <c r="R34">
        <f t="shared" si="31"/>
        <v>2.6537895666649671</v>
      </c>
      <c r="S34">
        <f t="shared" si="32"/>
        <v>-7.7727719991360328E-2</v>
      </c>
      <c r="U34">
        <v>5.6780950932551058</v>
      </c>
      <c r="V34">
        <f t="shared" si="33"/>
        <v>0.97239329209714509</v>
      </c>
      <c r="W34">
        <f t="shared" si="34"/>
        <v>2.6486165716849688</v>
      </c>
      <c r="X34">
        <f t="shared" si="35"/>
        <v>-7.755107596127446E-2</v>
      </c>
      <c r="Z34">
        <v>5.6782932942884878</v>
      </c>
      <c r="AA34">
        <f t="shared" si="36"/>
        <v>0.97239235505438648</v>
      </c>
      <c r="AB34">
        <f t="shared" si="37"/>
        <v>2.6486012010335802</v>
      </c>
      <c r="AC34">
        <f t="shared" si="38"/>
        <v>-7.7550551179684582E-2</v>
      </c>
    </row>
    <row r="35" spans="1:29" x14ac:dyDescent="0.3">
      <c r="A35" s="91">
        <f t="shared" si="15"/>
        <v>46708</v>
      </c>
      <c r="B35">
        <v>3.1349999999999998</v>
      </c>
      <c r="C35">
        <f t="shared" si="26"/>
        <v>3.5111111111111111</v>
      </c>
      <c r="D35">
        <v>2</v>
      </c>
      <c r="F35">
        <f>0</f>
        <v>0</v>
      </c>
      <c r="G35">
        <f t="shared" si="43"/>
        <v>1</v>
      </c>
      <c r="H35">
        <f t="shared" si="41"/>
        <v>3.1349999999999998</v>
      </c>
      <c r="I35">
        <f t="shared" si="42"/>
        <v>-0.11007333333333331</v>
      </c>
      <c r="K35">
        <v>4.432950835053413</v>
      </c>
      <c r="L35">
        <f t="shared" si="27"/>
        <v>0.97831586925226099</v>
      </c>
      <c r="M35">
        <f t="shared" si="28"/>
        <v>2.6876929829850287</v>
      </c>
      <c r="N35">
        <f t="shared" si="29"/>
        <v>-9.2321601358952815E-2</v>
      </c>
      <c r="P35">
        <v>5.6114665816476155</v>
      </c>
      <c r="Q35">
        <f t="shared" si="30"/>
        <v>0.97270839669139109</v>
      </c>
      <c r="R35">
        <f t="shared" si="31"/>
        <v>2.5813633945470214</v>
      </c>
      <c r="S35">
        <f t="shared" si="32"/>
        <v>-8.8160975135211872E-2</v>
      </c>
      <c r="U35">
        <v>5.6780950932551058</v>
      </c>
      <c r="V35">
        <f t="shared" si="33"/>
        <v>0.97239329209714509</v>
      </c>
      <c r="W35">
        <f t="shared" si="34"/>
        <v>2.5754969876438003</v>
      </c>
      <c r="X35">
        <f t="shared" si="35"/>
        <v>-8.7932126032665592E-2</v>
      </c>
      <c r="Z35">
        <v>5.6782932942884878</v>
      </c>
      <c r="AA35">
        <f t="shared" si="36"/>
        <v>0.97239235505438648</v>
      </c>
      <c r="AB35">
        <f t="shared" si="37"/>
        <v>2.5754795594729196</v>
      </c>
      <c r="AC35">
        <f t="shared" si="38"/>
        <v>-8.793144626853075E-2</v>
      </c>
    </row>
    <row r="36" spans="1:29" x14ac:dyDescent="0.3">
      <c r="A36" s="91">
        <f t="shared" si="15"/>
        <v>46890</v>
      </c>
      <c r="B36">
        <v>3.1349999999999998</v>
      </c>
      <c r="C36">
        <f t="shared" si="26"/>
        <v>4.0111111111111111</v>
      </c>
      <c r="D36">
        <v>2</v>
      </c>
      <c r="F36">
        <f>0</f>
        <v>0</v>
      </c>
      <c r="G36">
        <f t="shared" si="43"/>
        <v>1</v>
      </c>
      <c r="H36">
        <f t="shared" si="41"/>
        <v>3.1349999999999998</v>
      </c>
      <c r="I36">
        <f t="shared" si="42"/>
        <v>-0.12574833333333332</v>
      </c>
      <c r="K36">
        <v>4.432950835053413</v>
      </c>
      <c r="L36">
        <f t="shared" si="27"/>
        <v>0.97831586925226099</v>
      </c>
      <c r="M36">
        <f t="shared" si="28"/>
        <v>2.6294126969322007</v>
      </c>
      <c r="N36">
        <f t="shared" si="29"/>
        <v>-0.10318166852535546</v>
      </c>
      <c r="P36">
        <v>5.6114665816476155</v>
      </c>
      <c r="Q36">
        <f t="shared" si="30"/>
        <v>0.97270839669139109</v>
      </c>
      <c r="R36">
        <f t="shared" si="31"/>
        <v>2.5109138487876801</v>
      </c>
      <c r="S36">
        <f t="shared" si="32"/>
        <v>-9.7966855694943913E-2</v>
      </c>
      <c r="U36">
        <v>5.6780950932551058</v>
      </c>
      <c r="V36">
        <f t="shared" si="33"/>
        <v>0.97239329209714509</v>
      </c>
      <c r="W36">
        <f t="shared" si="34"/>
        <v>2.5043959946012353</v>
      </c>
      <c r="X36">
        <f t="shared" si="35"/>
        <v>-9.7680898843530775E-2</v>
      </c>
      <c r="Z36">
        <v>5.6782932942884878</v>
      </c>
      <c r="AA36">
        <f t="shared" si="36"/>
        <v>0.97239235505438648</v>
      </c>
      <c r="AB36">
        <f t="shared" si="37"/>
        <v>2.5043766342303062</v>
      </c>
      <c r="AC36">
        <f t="shared" si="38"/>
        <v>-9.7680049586906792E-2</v>
      </c>
    </row>
    <row r="37" spans="1:29" x14ac:dyDescent="0.3">
      <c r="A37" s="91">
        <f t="shared" si="15"/>
        <v>47074</v>
      </c>
      <c r="B37">
        <v>3.1349999999999998</v>
      </c>
      <c r="C37">
        <f t="shared" si="26"/>
        <v>4.5111111111111111</v>
      </c>
      <c r="D37">
        <v>2</v>
      </c>
      <c r="F37">
        <f>0</f>
        <v>0</v>
      </c>
      <c r="G37">
        <f t="shared" si="43"/>
        <v>1</v>
      </c>
      <c r="H37">
        <f t="shared" si="41"/>
        <v>3.1349999999999998</v>
      </c>
      <c r="I37">
        <f t="shared" si="42"/>
        <v>-0.14142333333333332</v>
      </c>
      <c r="K37">
        <v>4.432950835053413</v>
      </c>
      <c r="L37">
        <f t="shared" si="27"/>
        <v>0.97831586925226099</v>
      </c>
      <c r="M37">
        <f t="shared" si="28"/>
        <v>2.5723961682221579</v>
      </c>
      <c r="N37">
        <f t="shared" si="29"/>
        <v>-0.11352734370115899</v>
      </c>
      <c r="P37">
        <v>5.6114665816476155</v>
      </c>
      <c r="Q37">
        <f t="shared" si="30"/>
        <v>0.97270839669139109</v>
      </c>
      <c r="R37">
        <f t="shared" si="31"/>
        <v>2.4423869840844743</v>
      </c>
      <c r="S37">
        <f t="shared" si="32"/>
        <v>-0.10717183476886942</v>
      </c>
      <c r="U37">
        <v>5.6780950932551058</v>
      </c>
      <c r="V37">
        <f t="shared" si="33"/>
        <v>0.97239329209714509</v>
      </c>
      <c r="W37">
        <f t="shared" si="34"/>
        <v>2.4352578659051995</v>
      </c>
      <c r="X37">
        <f t="shared" si="35"/>
        <v>-0.10682439286813424</v>
      </c>
      <c r="Z37">
        <v>5.6782932942884878</v>
      </c>
      <c r="AA37">
        <f t="shared" si="36"/>
        <v>0.97239235505438648</v>
      </c>
      <c r="AB37">
        <f t="shared" si="37"/>
        <v>2.4352366933023855</v>
      </c>
      <c r="AC37">
        <f t="shared" si="38"/>
        <v>-0.10682336117621738</v>
      </c>
    </row>
    <row r="38" spans="1:29" x14ac:dyDescent="0.3">
      <c r="A38" s="91">
        <f t="shared" si="15"/>
        <v>47255</v>
      </c>
      <c r="B38">
        <v>3.1349999999999998</v>
      </c>
      <c r="C38">
        <f t="shared" si="26"/>
        <v>5.0111111111111111</v>
      </c>
      <c r="D38">
        <v>2</v>
      </c>
      <c r="F38">
        <f>0</f>
        <v>0</v>
      </c>
      <c r="G38">
        <f t="shared" si="43"/>
        <v>1</v>
      </c>
      <c r="H38">
        <f t="shared" si="41"/>
        <v>3.1349999999999998</v>
      </c>
      <c r="I38">
        <f t="shared" si="42"/>
        <v>-0.15709833333333331</v>
      </c>
      <c r="K38">
        <v>4.432950835053413</v>
      </c>
      <c r="L38">
        <f t="shared" si="27"/>
        <v>0.97831586925226099</v>
      </c>
      <c r="M38">
        <f t="shared" si="28"/>
        <v>2.5166159933754453</v>
      </c>
      <c r="N38">
        <f t="shared" si="29"/>
        <v>-0.12337582875256574</v>
      </c>
      <c r="P38">
        <v>5.6114665816476155</v>
      </c>
      <c r="Q38">
        <f t="shared" si="30"/>
        <v>0.97270839669139109</v>
      </c>
      <c r="R38">
        <f t="shared" si="31"/>
        <v>2.3757303273887311</v>
      </c>
      <c r="S38">
        <f t="shared" si="32"/>
        <v>-0.1158014077571287</v>
      </c>
      <c r="U38">
        <v>5.6780950932551058</v>
      </c>
      <c r="V38">
        <f t="shared" si="33"/>
        <v>0.97239329209714509</v>
      </c>
      <c r="W38">
        <f t="shared" si="34"/>
        <v>2.3680284133330245</v>
      </c>
      <c r="X38">
        <f t="shared" si="35"/>
        <v>-0.11538859778042622</v>
      </c>
      <c r="Z38">
        <v>5.6782932942884878</v>
      </c>
      <c r="AA38">
        <f t="shared" si="36"/>
        <v>0.97239235505438648</v>
      </c>
      <c r="AB38">
        <f t="shared" si="37"/>
        <v>2.3680055433151632</v>
      </c>
      <c r="AC38">
        <f t="shared" si="38"/>
        <v>-0.11538737218419769</v>
      </c>
    </row>
    <row r="39" spans="1:29" x14ac:dyDescent="0.3">
      <c r="A39" s="91">
        <f t="shared" si="15"/>
        <v>47439</v>
      </c>
      <c r="B39">
        <v>3.1349999999999998</v>
      </c>
      <c r="C39">
        <f t="shared" si="26"/>
        <v>5.5111111111111111</v>
      </c>
      <c r="D39">
        <v>2</v>
      </c>
      <c r="F39">
        <f>0</f>
        <v>0</v>
      </c>
      <c r="G39">
        <f t="shared" si="43"/>
        <v>1</v>
      </c>
      <c r="H39">
        <f t="shared" si="41"/>
        <v>3.1349999999999998</v>
      </c>
      <c r="I39">
        <f t="shared" si="42"/>
        <v>-0.17277333333333331</v>
      </c>
      <c r="K39">
        <v>4.432950835053413</v>
      </c>
      <c r="L39">
        <f t="shared" si="27"/>
        <v>0.97831586925226099</v>
      </c>
      <c r="M39">
        <f t="shared" si="28"/>
        <v>2.4620453631332415</v>
      </c>
      <c r="N39">
        <f t="shared" si="29"/>
        <v>-0.13274382139864546</v>
      </c>
      <c r="P39">
        <v>5.6114665816476155</v>
      </c>
      <c r="Q39">
        <f t="shared" si="30"/>
        <v>0.97270839669139109</v>
      </c>
      <c r="R39">
        <f t="shared" si="31"/>
        <v>2.3108928377254063</v>
      </c>
      <c r="S39">
        <f t="shared" si="32"/>
        <v>-0.12388012600959016</v>
      </c>
      <c r="U39">
        <v>5.6780950932551058</v>
      </c>
      <c r="V39">
        <f t="shared" si="33"/>
        <v>0.97239329209714509</v>
      </c>
      <c r="W39">
        <f t="shared" si="34"/>
        <v>2.3026549446204791</v>
      </c>
      <c r="X39">
        <f t="shared" si="35"/>
        <v>-0.12339852957699839</v>
      </c>
      <c r="Z39">
        <v>5.6782932942884878</v>
      </c>
      <c r="AA39">
        <f t="shared" si="36"/>
        <v>0.97239235505438648</v>
      </c>
      <c r="AB39">
        <f t="shared" si="37"/>
        <v>2.3026304870460734</v>
      </c>
      <c r="AC39">
        <f t="shared" si="38"/>
        <v>-0.12339709999232279</v>
      </c>
    </row>
    <row r="40" spans="1:29" x14ac:dyDescent="0.3">
      <c r="A40" s="91">
        <f t="shared" si="15"/>
        <v>47620</v>
      </c>
      <c r="B40">
        <v>3.1349999999999998</v>
      </c>
      <c r="C40">
        <f t="shared" si="26"/>
        <v>6.0111111111111111</v>
      </c>
      <c r="D40">
        <v>2</v>
      </c>
      <c r="F40">
        <f>0</f>
        <v>0</v>
      </c>
      <c r="G40">
        <f t="shared" si="43"/>
        <v>1</v>
      </c>
      <c r="H40">
        <f t="shared" si="41"/>
        <v>3.1349999999999998</v>
      </c>
      <c r="I40">
        <f t="shared" si="42"/>
        <v>-0.1884483333333333</v>
      </c>
      <c r="K40">
        <v>4.432950835053413</v>
      </c>
      <c r="L40">
        <f t="shared" si="27"/>
        <v>0.97831586925226099</v>
      </c>
      <c r="M40">
        <f t="shared" si="28"/>
        <v>2.4086580495721956</v>
      </c>
      <c r="N40">
        <f t="shared" si="29"/>
        <v>-0.14164752898697608</v>
      </c>
      <c r="P40">
        <v>5.6114665816476155</v>
      </c>
      <c r="Q40">
        <f t="shared" si="30"/>
        <v>0.97270839669139109</v>
      </c>
      <c r="R40">
        <f t="shared" si="31"/>
        <v>2.2478248671094994</v>
      </c>
      <c r="S40">
        <f t="shared" si="32"/>
        <v>-0.13143162936536157</v>
      </c>
      <c r="U40">
        <v>5.6780950932551058</v>
      </c>
      <c r="V40">
        <f t="shared" si="33"/>
        <v>0.97239329209714509</v>
      </c>
      <c r="W40">
        <f t="shared" si="34"/>
        <v>2.2390862221632766</v>
      </c>
      <c r="X40">
        <f t="shared" si="35"/>
        <v>-0.1308782645296179</v>
      </c>
      <c r="Z40">
        <v>5.6782932942884878</v>
      </c>
      <c r="AA40">
        <f t="shared" si="36"/>
        <v>0.97239235505438648</v>
      </c>
      <c r="AB40">
        <f t="shared" si="37"/>
        <v>2.2390602821187602</v>
      </c>
      <c r="AC40">
        <f t="shared" si="38"/>
        <v>-0.13087662217260737</v>
      </c>
    </row>
    <row r="41" spans="1:29" x14ac:dyDescent="0.3">
      <c r="A41" s="91">
        <f t="shared" si="15"/>
        <v>47804</v>
      </c>
      <c r="B41">
        <v>3.1349999999999998</v>
      </c>
      <c r="C41">
        <f t="shared" si="26"/>
        <v>6.5111111111111111</v>
      </c>
      <c r="D41">
        <v>2</v>
      </c>
      <c r="F41">
        <f>0</f>
        <v>0</v>
      </c>
      <c r="G41">
        <f t="shared" si="43"/>
        <v>1</v>
      </c>
      <c r="H41">
        <f t="shared" si="41"/>
        <v>3.1349999999999998</v>
      </c>
      <c r="I41">
        <f t="shared" si="42"/>
        <v>-0.2041233333333333</v>
      </c>
      <c r="K41">
        <v>4.432950835053413</v>
      </c>
      <c r="L41">
        <f t="shared" si="27"/>
        <v>0.97831586925226099</v>
      </c>
      <c r="M41">
        <f t="shared" si="28"/>
        <v>2.3564283934986778</v>
      </c>
      <c r="N41">
        <f t="shared" si="29"/>
        <v>-0.15010268190891018</v>
      </c>
      <c r="P41">
        <v>5.6114665816476155</v>
      </c>
      <c r="Q41">
        <f t="shared" si="30"/>
        <v>0.97270839669139109</v>
      </c>
      <c r="R41">
        <f t="shared" si="31"/>
        <v>2.1864781225291199</v>
      </c>
      <c r="S41">
        <f t="shared" si="32"/>
        <v>-0.13847867761934848</v>
      </c>
      <c r="U41">
        <v>5.6780950932551058</v>
      </c>
      <c r="V41">
        <f t="shared" si="33"/>
        <v>0.97239329209714509</v>
      </c>
      <c r="W41">
        <f t="shared" si="34"/>
        <v>2.1772724228587084</v>
      </c>
      <c r="X41">
        <f t="shared" si="35"/>
        <v>-0.13785097200519572</v>
      </c>
      <c r="Z41">
        <v>5.6782932942884878</v>
      </c>
      <c r="AA41">
        <f t="shared" si="36"/>
        <v>0.97239235505438648</v>
      </c>
      <c r="AB41">
        <f t="shared" si="37"/>
        <v>2.1772451008382001</v>
      </c>
      <c r="AC41">
        <f t="shared" si="38"/>
        <v>-0.13784910931165822</v>
      </c>
    </row>
    <row r="42" spans="1:29" x14ac:dyDescent="0.3">
      <c r="A42" s="91">
        <f t="shared" si="15"/>
        <v>47985</v>
      </c>
      <c r="B42">
        <v>3.1349999999999998</v>
      </c>
      <c r="C42">
        <f t="shared" si="26"/>
        <v>7.0111111111111111</v>
      </c>
      <c r="D42">
        <v>2</v>
      </c>
      <c r="F42">
        <f>0</f>
        <v>0</v>
      </c>
      <c r="G42">
        <f t="shared" si="43"/>
        <v>1</v>
      </c>
      <c r="H42">
        <f t="shared" si="41"/>
        <v>3.1349999999999998</v>
      </c>
      <c r="I42">
        <f t="shared" si="42"/>
        <v>-0.21979833333333329</v>
      </c>
      <c r="K42">
        <v>4.432950835053413</v>
      </c>
      <c r="L42">
        <f t="shared" si="27"/>
        <v>0.97831586925226099</v>
      </c>
      <c r="M42">
        <f t="shared" si="28"/>
        <v>2.3053312921163678</v>
      </c>
      <c r="N42">
        <f t="shared" si="29"/>
        <v>-0.15812454666361742</v>
      </c>
      <c r="P42">
        <v>5.6114665816476155</v>
      </c>
      <c r="Q42">
        <f t="shared" si="30"/>
        <v>0.97270839669139109</v>
      </c>
      <c r="R42">
        <f t="shared" si="31"/>
        <v>2.1268056289661033</v>
      </c>
      <c r="S42">
        <f t="shared" si="32"/>
        <v>-0.1450431809501897</v>
      </c>
      <c r="U42">
        <v>5.6780950932551058</v>
      </c>
      <c r="V42">
        <f t="shared" si="33"/>
        <v>0.97239329209714509</v>
      </c>
      <c r="W42">
        <f t="shared" si="34"/>
        <v>2.1171650990559066</v>
      </c>
      <c r="X42">
        <f t="shared" si="35"/>
        <v>-0.14433894618984436</v>
      </c>
      <c r="Z42">
        <v>5.6782932942884878</v>
      </c>
      <c r="AA42">
        <f t="shared" si="36"/>
        <v>0.97239235505438648</v>
      </c>
      <c r="AB42">
        <f t="shared" si="37"/>
        <v>2.1171364911346826</v>
      </c>
      <c r="AC42">
        <f t="shared" si="38"/>
        <v>-0.14433685673864308</v>
      </c>
    </row>
    <row r="43" spans="1:29" x14ac:dyDescent="0.3">
      <c r="A43" s="91">
        <f t="shared" si="15"/>
        <v>48169</v>
      </c>
      <c r="B43">
        <v>3.1349999999999998</v>
      </c>
      <c r="C43">
        <f t="shared" si="26"/>
        <v>7.5111111111111111</v>
      </c>
      <c r="D43">
        <v>2</v>
      </c>
      <c r="F43">
        <f>0</f>
        <v>0</v>
      </c>
      <c r="G43">
        <f t="shared" si="43"/>
        <v>1</v>
      </c>
      <c r="H43">
        <f t="shared" si="41"/>
        <v>3.1349999999999998</v>
      </c>
      <c r="I43">
        <f t="shared" si="42"/>
        <v>-0.23547333333333331</v>
      </c>
      <c r="K43">
        <v>4.432950835053413</v>
      </c>
      <c r="L43">
        <f t="shared" si="27"/>
        <v>0.97831586925226099</v>
      </c>
      <c r="M43">
        <f t="shared" si="28"/>
        <v>2.2553421869612627</v>
      </c>
      <c r="N43">
        <f t="shared" si="29"/>
        <v>-0.16572793857982807</v>
      </c>
      <c r="P43">
        <v>5.6114665816476155</v>
      </c>
      <c r="Q43">
        <f t="shared" si="30"/>
        <v>0.97270839669139109</v>
      </c>
      <c r="R43">
        <f t="shared" si="31"/>
        <v>2.0687616934258442</v>
      </c>
      <c r="S43">
        <f t="shared" si="32"/>
        <v>-0.15114622934282249</v>
      </c>
      <c r="U43">
        <v>5.6780950932551058</v>
      </c>
      <c r="V43">
        <f t="shared" si="33"/>
        <v>0.97239329209714509</v>
      </c>
      <c r="W43">
        <f t="shared" si="34"/>
        <v>2.0587171405841516</v>
      </c>
      <c r="X43">
        <f t="shared" si="35"/>
        <v>-0.15036363675252268</v>
      </c>
      <c r="Z43">
        <v>5.6782932942884878</v>
      </c>
      <c r="AA43">
        <f t="shared" si="36"/>
        <v>0.97239235505438648</v>
      </c>
      <c r="AB43">
        <f t="shared" si="37"/>
        <v>2.0586873385860347</v>
      </c>
      <c r="AC43">
        <f t="shared" si="38"/>
        <v>-0.15036131519267837</v>
      </c>
    </row>
    <row r="44" spans="1:29" x14ac:dyDescent="0.3">
      <c r="A44" s="91">
        <f t="shared" si="15"/>
        <v>48351</v>
      </c>
      <c r="B44">
        <v>3.1349999999999998</v>
      </c>
      <c r="C44">
        <f t="shared" si="26"/>
        <v>8.0111111111111111</v>
      </c>
      <c r="D44">
        <v>2</v>
      </c>
      <c r="F44">
        <f>0</f>
        <v>0</v>
      </c>
      <c r="G44">
        <f t="shared" si="43"/>
        <v>1</v>
      </c>
      <c r="H44">
        <f t="shared" si="41"/>
        <v>3.1349999999999998</v>
      </c>
      <c r="I44">
        <f t="shared" si="42"/>
        <v>-0.25114833333333331</v>
      </c>
      <c r="K44">
        <v>4.432950835053413</v>
      </c>
      <c r="L44">
        <f t="shared" si="27"/>
        <v>0.97831586925226099</v>
      </c>
      <c r="M44">
        <f t="shared" si="28"/>
        <v>2.2064370520983032</v>
      </c>
      <c r="N44">
        <f t="shared" si="29"/>
        <v>-0.1729272342039796</v>
      </c>
      <c r="P44">
        <v>5.6114665816476155</v>
      </c>
      <c r="Q44">
        <f t="shared" si="30"/>
        <v>0.97270839669139109</v>
      </c>
      <c r="R44">
        <f t="shared" si="31"/>
        <v>2.01230186994882</v>
      </c>
      <c r="S44">
        <f t="shared" si="32"/>
        <v>-0.15680812103789116</v>
      </c>
      <c r="U44">
        <v>5.6780950932551058</v>
      </c>
      <c r="V44">
        <f t="shared" si="33"/>
        <v>0.97239329209714509</v>
      </c>
      <c r="W44">
        <f t="shared" si="34"/>
        <v>2.0018827378294444</v>
      </c>
      <c r="X44">
        <f t="shared" si="35"/>
        <v>-0.15594567848263693</v>
      </c>
      <c r="Z44">
        <v>5.6782932942884878</v>
      </c>
      <c r="AA44">
        <f t="shared" si="36"/>
        <v>0.97239235505438648</v>
      </c>
      <c r="AB44">
        <f t="shared" si="37"/>
        <v>2.0018518294883214</v>
      </c>
      <c r="AC44">
        <f t="shared" si="38"/>
        <v>-0.15594312046401382</v>
      </c>
    </row>
    <row r="45" spans="1:29" x14ac:dyDescent="0.3">
      <c r="A45" s="91">
        <f t="shared" si="15"/>
        <v>48535</v>
      </c>
      <c r="B45">
        <v>3.1349999999999998</v>
      </c>
      <c r="C45">
        <f t="shared" si="26"/>
        <v>8.5111111111111111</v>
      </c>
      <c r="D45">
        <v>2</v>
      </c>
      <c r="F45">
        <f>0</f>
        <v>0</v>
      </c>
      <c r="G45">
        <f t="shared" si="43"/>
        <v>1</v>
      </c>
      <c r="H45">
        <f t="shared" si="41"/>
        <v>3.1349999999999998</v>
      </c>
      <c r="I45">
        <f t="shared" si="42"/>
        <v>-0.2668233333333333</v>
      </c>
      <c r="K45">
        <v>4.432950835053413</v>
      </c>
      <c r="L45">
        <f t="shared" si="27"/>
        <v>0.97831586925226099</v>
      </c>
      <c r="M45">
        <f t="shared" si="28"/>
        <v>2.1585923825739473</v>
      </c>
      <c r="N45">
        <f t="shared" si="29"/>
        <v>-0.17973638336325129</v>
      </c>
      <c r="P45">
        <v>5.6114665816476155</v>
      </c>
      <c r="Q45">
        <f t="shared" si="30"/>
        <v>0.97270839669139109</v>
      </c>
      <c r="R45">
        <f t="shared" si="31"/>
        <v>1.9573829255770048</v>
      </c>
      <c r="S45">
        <f t="shared" si="32"/>
        <v>-0.16204839003920227</v>
      </c>
      <c r="U45">
        <v>5.6780950932551058</v>
      </c>
      <c r="V45">
        <f t="shared" si="33"/>
        <v>0.97239329209714509</v>
      </c>
      <c r="W45">
        <f t="shared" si="34"/>
        <v>1.946617345830419</v>
      </c>
      <c r="X45">
        <f t="shared" si="35"/>
        <v>-0.16110491993488146</v>
      </c>
      <c r="Z45">
        <v>5.6782932942884878</v>
      </c>
      <c r="AA45">
        <f t="shared" si="36"/>
        <v>0.97239235505438648</v>
      </c>
      <c r="AB45">
        <f t="shared" si="37"/>
        <v>1.9465854149460806</v>
      </c>
      <c r="AC45">
        <f t="shared" si="38"/>
        <v>-0.16110212204230195</v>
      </c>
    </row>
    <row r="46" spans="1:29" x14ac:dyDescent="0.3">
      <c r="A46" s="91">
        <f>EDATE(A45,3)</f>
        <v>48627</v>
      </c>
      <c r="B46">
        <f>(A46-A45)*C15/360</f>
        <v>1.9544888888888889</v>
      </c>
      <c r="C46">
        <f>(A46-B2)/360</f>
        <v>8.8944444444444439</v>
      </c>
      <c r="D46">
        <v>4</v>
      </c>
      <c r="F46">
        <f>0</f>
        <v>0</v>
      </c>
      <c r="G46">
        <f t="shared" si="43"/>
        <v>1</v>
      </c>
      <c r="H46">
        <f t="shared" si="41"/>
        <v>1.9544888888888889</v>
      </c>
      <c r="I46">
        <f t="shared" si="42"/>
        <v>-0.17384092839506171</v>
      </c>
      <c r="K46">
        <v>4.432950835053413</v>
      </c>
      <c r="L46">
        <f t="shared" si="27"/>
        <v>0.9890390957860864</v>
      </c>
      <c r="M46">
        <f t="shared" si="28"/>
        <v>1.3205009578230609</v>
      </c>
      <c r="N46">
        <f t="shared" si="29"/>
        <v>-0.11616385246495999</v>
      </c>
      <c r="P46">
        <v>5.6114665816476155</v>
      </c>
      <c r="Q46">
        <f t="shared" si="30"/>
        <v>0.98616541433372418</v>
      </c>
      <c r="R46">
        <f t="shared" si="31"/>
        <v>1.1906369994578458</v>
      </c>
      <c r="S46">
        <f t="shared" si="32"/>
        <v>-0.10443545626978584</v>
      </c>
      <c r="U46">
        <v>5.6780950932551058</v>
      </c>
      <c r="V46">
        <f t="shared" si="33"/>
        <v>0.98600344666884254</v>
      </c>
      <c r="W46">
        <f t="shared" si="34"/>
        <v>1.1836994822670588</v>
      </c>
      <c r="X46">
        <f t="shared" si="35"/>
        <v>-0.10380988681700258</v>
      </c>
      <c r="Z46">
        <v>5.6782932942884878</v>
      </c>
      <c r="AA46">
        <f t="shared" si="36"/>
        <v>0.98600296494008044</v>
      </c>
      <c r="AB46">
        <f t="shared" si="37"/>
        <v>1.183678907224063</v>
      </c>
      <c r="AC46">
        <f t="shared" si="38"/>
        <v>-0.10380803167822204</v>
      </c>
    </row>
    <row r="47" spans="1:29" x14ac:dyDescent="0.3">
      <c r="A47" s="91">
        <f t="shared" ref="A47:A49" si="44">EDATE(A46,3)</f>
        <v>48716</v>
      </c>
      <c r="B47">
        <f>(A47-A46)*C15/360</f>
        <v>1.8907555555555555</v>
      </c>
      <c r="C47">
        <f>(A47-B2)/360</f>
        <v>9.1416666666666675</v>
      </c>
      <c r="D47">
        <v>4</v>
      </c>
      <c r="F47">
        <f>0</f>
        <v>0</v>
      </c>
      <c r="G47">
        <f t="shared" si="43"/>
        <v>1</v>
      </c>
      <c r="H47">
        <f t="shared" si="41"/>
        <v>1.8907555555555555</v>
      </c>
      <c r="I47">
        <f t="shared" si="42"/>
        <v>-0.17284657037037038</v>
      </c>
      <c r="K47">
        <v>4.432950835053413</v>
      </c>
      <c r="L47">
        <f t="shared" si="27"/>
        <v>0.9890390957860864</v>
      </c>
      <c r="M47">
        <f t="shared" si="28"/>
        <v>1.2635939644513956</v>
      </c>
      <c r="N47">
        <f t="shared" si="29"/>
        <v>-0.11424741531248465</v>
      </c>
      <c r="P47">
        <v>5.6114665816476155</v>
      </c>
      <c r="Q47">
        <f t="shared" si="30"/>
        <v>0.98616541433372418</v>
      </c>
      <c r="R47">
        <f t="shared" si="31"/>
        <v>1.1360528767539113</v>
      </c>
      <c r="S47">
        <f t="shared" si="32"/>
        <v>-0.10241738777768478</v>
      </c>
      <c r="U47">
        <v>5.6780950932551058</v>
      </c>
      <c r="V47">
        <f t="shared" si="33"/>
        <v>0.98600344666884254</v>
      </c>
      <c r="W47">
        <f t="shared" si="34"/>
        <v>1.1292499693068938</v>
      </c>
      <c r="X47">
        <f t="shared" si="35"/>
        <v>-0.10178737208252904</v>
      </c>
      <c r="Z47">
        <v>5.6782932942884878</v>
      </c>
      <c r="AA47">
        <f t="shared" si="36"/>
        <v>0.98600296494008044</v>
      </c>
      <c r="AB47">
        <f t="shared" si="37"/>
        <v>1.1292297951296999</v>
      </c>
      <c r="AC47">
        <f t="shared" si="38"/>
        <v>-0.10178550391066088</v>
      </c>
    </row>
    <row r="48" spans="1:29" x14ac:dyDescent="0.3">
      <c r="A48" s="91">
        <f t="shared" si="44"/>
        <v>48808</v>
      </c>
      <c r="B48">
        <f>(A48-A47)*C15/360</f>
        <v>1.9544888888888889</v>
      </c>
      <c r="C48">
        <f>(A48-B2)/360</f>
        <v>9.3972222222222221</v>
      </c>
      <c r="D48">
        <v>4</v>
      </c>
      <c r="F48">
        <f>0</f>
        <v>0</v>
      </c>
      <c r="G48">
        <f t="shared" si="43"/>
        <v>1</v>
      </c>
      <c r="H48">
        <f t="shared" si="41"/>
        <v>1.9544888888888889</v>
      </c>
      <c r="I48">
        <f t="shared" si="42"/>
        <v>-0.18366766419753086</v>
      </c>
      <c r="K48">
        <v>4.432950835053413</v>
      </c>
      <c r="L48">
        <f t="shared" si="27"/>
        <v>0.9890390957860864</v>
      </c>
      <c r="M48">
        <f t="shared" si="28"/>
        <v>1.2915536620610184</v>
      </c>
      <c r="N48">
        <f t="shared" si="29"/>
        <v>-0.12003984096006394</v>
      </c>
      <c r="P48">
        <v>5.6114665816476155</v>
      </c>
      <c r="Q48">
        <f t="shared" si="30"/>
        <v>0.98616541433372418</v>
      </c>
      <c r="R48">
        <f t="shared" si="31"/>
        <v>1.1577417215170076</v>
      </c>
      <c r="S48">
        <f t="shared" si="32"/>
        <v>-0.10729042080316468</v>
      </c>
      <c r="U48">
        <v>5.6780950932551058</v>
      </c>
      <c r="V48">
        <f t="shared" si="33"/>
        <v>0.98600344666884254</v>
      </c>
      <c r="W48">
        <f t="shared" si="34"/>
        <v>1.1506157284797924</v>
      </c>
      <c r="X48">
        <f t="shared" si="35"/>
        <v>-0.10661252676630889</v>
      </c>
      <c r="Z48">
        <v>5.6782932942884878</v>
      </c>
      <c r="AA48">
        <f t="shared" si="36"/>
        <v>0.98600296494008044</v>
      </c>
      <c r="AB48">
        <f t="shared" si="37"/>
        <v>1.150594597966007</v>
      </c>
      <c r="AC48">
        <f t="shared" si="38"/>
        <v>-0.10661051679125896</v>
      </c>
    </row>
    <row r="49" spans="1:29" x14ac:dyDescent="0.3">
      <c r="A49" s="91">
        <f t="shared" si="44"/>
        <v>48900</v>
      </c>
      <c r="B49">
        <f>B7+(A49-A48)*C15/360</f>
        <v>101.95448888888889</v>
      </c>
      <c r="C49">
        <f>(A49-B2)/360</f>
        <v>9.6527777777777786</v>
      </c>
      <c r="D49">
        <v>4</v>
      </c>
      <c r="F49">
        <f>0</f>
        <v>0</v>
      </c>
      <c r="G49">
        <f t="shared" si="43"/>
        <v>1</v>
      </c>
      <c r="H49">
        <f>B49*POWER(G49,C49*D49)</f>
        <v>101.95448888888889</v>
      </c>
      <c r="I49">
        <f t="shared" si="42"/>
        <v>-9.8414402469135815</v>
      </c>
      <c r="K49">
        <v>4.432950835053413</v>
      </c>
      <c r="L49">
        <f t="shared" si="27"/>
        <v>0.9890390957860864</v>
      </c>
      <c r="M49">
        <f t="shared" si="28"/>
        <v>66.618169121153045</v>
      </c>
      <c r="N49">
        <f t="shared" si="29"/>
        <v>-6.3600196884172648</v>
      </c>
      <c r="P49">
        <v>5.6114665816476155</v>
      </c>
      <c r="Q49">
        <f t="shared" si="30"/>
        <v>0.98616541433372418</v>
      </c>
      <c r="R49">
        <f t="shared" si="31"/>
        <v>59.538809697953539</v>
      </c>
      <c r="S49">
        <f t="shared" si="32"/>
        <v>-5.6676395666152484</v>
      </c>
      <c r="U49">
        <v>5.6780950932551058</v>
      </c>
      <c r="V49">
        <f t="shared" si="33"/>
        <v>0.98600344666884254</v>
      </c>
      <c r="W49">
        <f t="shared" si="34"/>
        <v>59.162409150163867</v>
      </c>
      <c r="X49">
        <f t="shared" si="35"/>
        <v>-5.6308841441707251</v>
      </c>
      <c r="Z49">
        <v>5.6782932942884878</v>
      </c>
      <c r="AA49">
        <f t="shared" si="36"/>
        <v>0.98600296494008044</v>
      </c>
      <c r="AB49">
        <f t="shared" si="37"/>
        <v>59.161293113906865</v>
      </c>
      <c r="AC49">
        <f t="shared" si="38"/>
        <v>-5.6307751724862403</v>
      </c>
    </row>
    <row r="50" spans="1:29" x14ac:dyDescent="0.3">
      <c r="A50" s="91"/>
      <c r="G50" t="s">
        <v>52</v>
      </c>
      <c r="H50">
        <f>SUM(H28:H49)</f>
        <v>164.18422222222222</v>
      </c>
      <c r="I50">
        <f>SUM(I28:I49)</f>
        <v>-12.776340409876545</v>
      </c>
      <c r="L50" t="s">
        <v>52</v>
      </c>
      <c r="M50">
        <f>SUM(M28:M49)</f>
        <v>117.61066643896018</v>
      </c>
      <c r="N50">
        <f>SUM(N28:N49)</f>
        <v>-8.5389890926013656</v>
      </c>
      <c r="Q50" t="s">
        <v>52</v>
      </c>
      <c r="R50">
        <f>SUM(R28:R49)</f>
        <v>108.05943904100363</v>
      </c>
      <c r="S50">
        <f>SUM(S28:S49)</f>
        <v>-7.6859845029575977</v>
      </c>
      <c r="V50" t="s">
        <v>52</v>
      </c>
      <c r="W50">
        <f>SUM(W28:W49)</f>
        <v>107.54884770331606</v>
      </c>
      <c r="X50">
        <f>SUM(X28:X49)</f>
        <v>-7.6405756160232752</v>
      </c>
      <c r="AA50" t="s">
        <v>52</v>
      </c>
      <c r="AB50">
        <f>SUM(AB28:AB49)</f>
        <v>107.54733334667708</v>
      </c>
      <c r="AC50">
        <f>SUM(AC28:AC49)</f>
        <v>-7.6404409685898838</v>
      </c>
    </row>
    <row r="51" spans="1:29" x14ac:dyDescent="0.3">
      <c r="A51" s="9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C339-B08F-4678-A31D-65B5AFFEEBBE}">
  <dimension ref="A1:AC45"/>
  <sheetViews>
    <sheetView zoomScale="85" zoomScaleNormal="85" workbookViewId="0">
      <selection activeCell="B4" sqref="B4"/>
    </sheetView>
  </sheetViews>
  <sheetFormatPr defaultRowHeight="14.4" x14ac:dyDescent="0.3"/>
  <cols>
    <col min="1" max="1" width="30.6640625" bestFit="1" customWidth="1"/>
    <col min="2" max="2" width="9.88671875" bestFit="1" customWidth="1"/>
    <col min="3" max="3" width="11.88671875" bestFit="1" customWidth="1"/>
    <col min="4" max="4" width="17.33203125" bestFit="1" customWidth="1"/>
    <col min="23" max="23" width="10.6640625" customWidth="1"/>
    <col min="28" max="28" width="11.44140625" customWidth="1"/>
  </cols>
  <sheetData>
    <row r="1" spans="1:4" x14ac:dyDescent="0.3">
      <c r="A1" s="61" t="s">
        <v>110</v>
      </c>
      <c r="B1" s="91">
        <v>45184</v>
      </c>
      <c r="C1" s="63"/>
      <c r="D1" s="64"/>
    </row>
    <row r="2" spans="1:4" x14ac:dyDescent="0.3">
      <c r="A2" s="61" t="s">
        <v>111</v>
      </c>
      <c r="B2" s="91">
        <v>45425</v>
      </c>
      <c r="C2" s="65"/>
      <c r="D2" s="65"/>
    </row>
    <row r="3" spans="1:4" x14ac:dyDescent="0.3">
      <c r="A3" s="61" t="s">
        <v>113</v>
      </c>
      <c r="B3" s="91">
        <v>47376</v>
      </c>
      <c r="C3" s="65"/>
      <c r="D3" s="65"/>
    </row>
    <row r="4" spans="1:4" x14ac:dyDescent="0.3">
      <c r="A4" s="61" t="s">
        <v>114</v>
      </c>
      <c r="B4" s="91">
        <v>45382</v>
      </c>
      <c r="C4" s="65"/>
      <c r="D4" s="65"/>
    </row>
    <row r="5" spans="1:4" x14ac:dyDescent="0.3">
      <c r="A5" s="61" t="s">
        <v>115</v>
      </c>
      <c r="B5" s="91">
        <v>47299</v>
      </c>
      <c r="C5" s="65"/>
      <c r="D5" s="65"/>
    </row>
    <row r="6" spans="1:4" x14ac:dyDescent="0.3">
      <c r="A6" s="61" t="s">
        <v>116</v>
      </c>
      <c r="B6">
        <v>101.86</v>
      </c>
      <c r="C6" s="65"/>
      <c r="D6" s="65"/>
    </row>
    <row r="7" spans="1:4" x14ac:dyDescent="0.3">
      <c r="A7" s="61" t="s">
        <v>4</v>
      </c>
      <c r="B7" s="65">
        <v>100</v>
      </c>
      <c r="C7" s="65"/>
      <c r="D7" s="65"/>
    </row>
    <row r="8" spans="1:4" x14ac:dyDescent="0.3">
      <c r="A8" s="65"/>
      <c r="B8" s="61" t="s">
        <v>117</v>
      </c>
      <c r="C8" s="61" t="s">
        <v>224</v>
      </c>
      <c r="D8" s="61" t="s">
        <v>225</v>
      </c>
    </row>
    <row r="9" spans="1:4" x14ac:dyDescent="0.3">
      <c r="A9" s="61" t="s">
        <v>119</v>
      </c>
      <c r="B9" s="65" t="s">
        <v>44</v>
      </c>
      <c r="C9" s="65" t="s">
        <v>120</v>
      </c>
      <c r="D9" s="65" t="s">
        <v>120</v>
      </c>
    </row>
    <row r="10" spans="1:4" x14ac:dyDescent="0.3">
      <c r="A10" s="61" t="s">
        <v>121</v>
      </c>
      <c r="B10" s="65">
        <v>2</v>
      </c>
      <c r="C10" s="65">
        <v>4</v>
      </c>
      <c r="D10" s="65">
        <v>4</v>
      </c>
    </row>
    <row r="11" spans="1:4" x14ac:dyDescent="0.3">
      <c r="A11" s="61" t="s">
        <v>122</v>
      </c>
      <c r="B11" s="62">
        <v>45184</v>
      </c>
      <c r="C11" s="62">
        <v>47011</v>
      </c>
      <c r="D11" s="92">
        <v>47284</v>
      </c>
    </row>
    <row r="12" spans="1:4" x14ac:dyDescent="0.3">
      <c r="A12" s="61" t="s">
        <v>123</v>
      </c>
      <c r="B12" s="62">
        <v>47010</v>
      </c>
      <c r="C12" s="62">
        <v>47283</v>
      </c>
      <c r="D12" s="92">
        <v>47375</v>
      </c>
    </row>
    <row r="13" spans="1:4" x14ac:dyDescent="0.3">
      <c r="A13" s="61" t="s">
        <v>192</v>
      </c>
      <c r="B13" s="62"/>
      <c r="C13">
        <v>5.31</v>
      </c>
      <c r="D13">
        <v>5.31</v>
      </c>
    </row>
    <row r="14" spans="1:4" x14ac:dyDescent="0.3">
      <c r="A14" s="61" t="s">
        <v>193</v>
      </c>
      <c r="B14" s="62"/>
      <c r="C14">
        <v>1.57</v>
      </c>
      <c r="D14">
        <v>1.57</v>
      </c>
    </row>
    <row r="15" spans="1:4" x14ac:dyDescent="0.3">
      <c r="A15" s="61" t="s">
        <v>124</v>
      </c>
      <c r="B15">
        <v>5.819</v>
      </c>
      <c r="C15">
        <f>C13+C14</f>
        <v>6.88</v>
      </c>
      <c r="D15">
        <f>D14+D13</f>
        <v>6.88</v>
      </c>
    </row>
    <row r="17" spans="1:29" x14ac:dyDescent="0.3">
      <c r="A17" s="61" t="s">
        <v>222</v>
      </c>
      <c r="B17" s="18">
        <f>(DATEDIF(A26,B2,"md")+DATEDIF(A26,B2,"ym")*30+DATEDIF(A26,B2,"y")*360)</f>
        <v>42</v>
      </c>
      <c r="C17" s="18"/>
    </row>
    <row r="18" spans="1:29" x14ac:dyDescent="0.3">
      <c r="A18" s="61" t="s">
        <v>140</v>
      </c>
      <c r="B18" s="18">
        <f>B17/360</f>
        <v>0.11666666666666667</v>
      </c>
      <c r="C18" s="18"/>
    </row>
    <row r="19" spans="1:29" x14ac:dyDescent="0.3">
      <c r="A19" s="61" t="s">
        <v>125</v>
      </c>
      <c r="B19" s="18">
        <f>B18*B15</f>
        <v>0.67888333333333328</v>
      </c>
      <c r="C19" s="18"/>
    </row>
    <row r="20" spans="1:29" x14ac:dyDescent="0.3">
      <c r="A20" s="61" t="s">
        <v>126</v>
      </c>
      <c r="B20" s="18">
        <f>B19+B6</f>
        <v>102.53888333333333</v>
      </c>
    </row>
    <row r="21" spans="1:29" x14ac:dyDescent="0.3">
      <c r="A21" s="61" t="s">
        <v>128</v>
      </c>
      <c r="B21" s="18">
        <f>AA24</f>
        <v>5.5141887595335906</v>
      </c>
    </row>
    <row r="22" spans="1:29" x14ac:dyDescent="0.3">
      <c r="A22" s="61" t="s">
        <v>130</v>
      </c>
      <c r="B22" s="65"/>
    </row>
    <row r="23" spans="1:29" x14ac:dyDescent="0.3">
      <c r="A23" s="18"/>
    </row>
    <row r="24" spans="1:29" x14ac:dyDescent="0.3">
      <c r="A24" s="61" t="s">
        <v>90</v>
      </c>
      <c r="F24" t="s">
        <v>131</v>
      </c>
      <c r="G24">
        <f>0</f>
        <v>0</v>
      </c>
      <c r="K24" t="s">
        <v>53</v>
      </c>
      <c r="L24">
        <f>G24+(B20-H40)/I40</f>
        <v>4.7558128800480413</v>
      </c>
      <c r="P24" t="s">
        <v>55</v>
      </c>
      <c r="Q24">
        <f>L24+(B20-M40)/N40</f>
        <v>5.4890424828619775</v>
      </c>
      <c r="U24" t="s">
        <v>57</v>
      </c>
      <c r="V24">
        <f>Q24+(B20-R40)/S40</f>
        <v>5.5088879017321464</v>
      </c>
      <c r="Z24" s="13" t="s">
        <v>59</v>
      </c>
      <c r="AA24" s="13">
        <f>V24+(B20-W40)/X40</f>
        <v>5.5141887595335906</v>
      </c>
    </row>
    <row r="25" spans="1:29" x14ac:dyDescent="0.3">
      <c r="A25" s="61" t="s">
        <v>132</v>
      </c>
      <c r="B25" s="66" t="s">
        <v>133</v>
      </c>
      <c r="C25" s="66" t="s">
        <v>134</v>
      </c>
      <c r="D25" s="66" t="s">
        <v>135</v>
      </c>
      <c r="F25" s="70" t="s">
        <v>136</v>
      </c>
      <c r="G25" s="70" t="s">
        <v>48</v>
      </c>
      <c r="H25" s="70" t="s">
        <v>49</v>
      </c>
      <c r="I25" s="70" t="s">
        <v>50</v>
      </c>
      <c r="K25" s="70" t="s">
        <v>136</v>
      </c>
      <c r="L25" s="70" t="s">
        <v>48</v>
      </c>
      <c r="M25" s="70" t="s">
        <v>49</v>
      </c>
      <c r="N25" s="70" t="s">
        <v>50</v>
      </c>
      <c r="P25" s="70" t="s">
        <v>136</v>
      </c>
      <c r="Q25" s="70" t="s">
        <v>48</v>
      </c>
      <c r="R25" s="70" t="s">
        <v>49</v>
      </c>
      <c r="S25" s="70" t="s">
        <v>50</v>
      </c>
      <c r="U25" s="70" t="s">
        <v>136</v>
      </c>
      <c r="V25" s="70" t="s">
        <v>48</v>
      </c>
      <c r="W25" s="70" t="s">
        <v>49</v>
      </c>
      <c r="X25" s="70" t="s">
        <v>50</v>
      </c>
      <c r="Z25" s="70" t="s">
        <v>136</v>
      </c>
      <c r="AA25" s="70" t="s">
        <v>48</v>
      </c>
      <c r="AB25" s="70" t="s">
        <v>49</v>
      </c>
      <c r="AC25" s="70" t="s">
        <v>50</v>
      </c>
    </row>
    <row r="26" spans="1:29" x14ac:dyDescent="0.3">
      <c r="A26" s="91">
        <f>B4</f>
        <v>45382</v>
      </c>
    </row>
    <row r="27" spans="1:29" x14ac:dyDescent="0.3">
      <c r="A27" s="91">
        <f>EDATE(A26,6)</f>
        <v>45565</v>
      </c>
      <c r="B27">
        <v>2.9095</v>
      </c>
      <c r="C27">
        <f>(DATEDIF(B2,A27,"md")+DATEDIF(B2,A27,"ym")*30+DATEDIF(B2,A27,"y")*360)/360</f>
        <v>0.38055555555555554</v>
      </c>
      <c r="D27">
        <v>2</v>
      </c>
      <c r="F27">
        <f>0</f>
        <v>0</v>
      </c>
      <c r="G27">
        <f t="shared" ref="G27:G32" si="0">1/(1+F27/(100*D27))</f>
        <v>1</v>
      </c>
      <c r="H27">
        <f t="shared" ref="H27:H31" si="1">B27*POWER(G27,C27*D27)</f>
        <v>2.9095</v>
      </c>
      <c r="I27">
        <f t="shared" ref="I27:I31" si="2">-1*0.01*H27*G27*C27</f>
        <v>-1.1072263888888888E-2</v>
      </c>
      <c r="K27">
        <v>4.7566350457942947</v>
      </c>
      <c r="L27">
        <f t="shared" ref="L27" si="3">1/(1+K27/(100*D27))</f>
        <v>0.97676932400881433</v>
      </c>
      <c r="M27">
        <f t="shared" ref="M27" si="4">B27*POWER(L27,C27*D27)</f>
        <v>2.8579126341354573</v>
      </c>
      <c r="N27">
        <f t="shared" ref="N27" si="5">-1*0.01*M27*L27*C27</f>
        <v>-1.0623289740715039E-2</v>
      </c>
      <c r="P27">
        <v>5.4848777578734058</v>
      </c>
      <c r="Q27">
        <f t="shared" ref="Q27" si="6">1/(1+P27/(100*D27))</f>
        <v>0.97330763305932255</v>
      </c>
      <c r="R27">
        <f t="shared" ref="R27" si="7">B27*POWER(Q27,C27*D27)</f>
        <v>2.8502004504564935</v>
      </c>
      <c r="S27">
        <f t="shared" ref="S27" si="8">-1*0.01*R27*Q27*C27</f>
        <v>-1.0557074833956782E-2</v>
      </c>
      <c r="U27">
        <v>5.4994321566517579</v>
      </c>
      <c r="V27">
        <f t="shared" ref="V27" si="9">1/(1+U27/(100*D27))</f>
        <v>0.97323869901275661</v>
      </c>
      <c r="W27">
        <f t="shared" ref="W27" si="10">B27*POWER(V27,C27*D27)</f>
        <v>2.8500468081619692</v>
      </c>
      <c r="X27">
        <f t="shared" ref="X27" si="11">-1*0.01*W27*V27*C27</f>
        <v>-1.0555758087084416E-2</v>
      </c>
      <c r="Z27">
        <v>5.4994378135288811</v>
      </c>
      <c r="AA27">
        <f t="shared" ref="AA27" si="12">1/(1+Z27/(100*D27))</f>
        <v>0.97323867222196936</v>
      </c>
      <c r="AB27">
        <f t="shared" ref="AB27" si="13">B27*POWER(AA27,C27*D27)</f>
        <v>2.8500467484493441</v>
      </c>
      <c r="AC27">
        <f t="shared" ref="AC27" si="14">-1*0.01*AB27*AA27*C27</f>
        <v>-1.0555757575352756E-2</v>
      </c>
    </row>
    <row r="28" spans="1:29" x14ac:dyDescent="0.3">
      <c r="A28" s="91">
        <f t="shared" ref="A28:A34" si="15">EDATE(A27,6)</f>
        <v>45746</v>
      </c>
      <c r="B28">
        <v>2.9095</v>
      </c>
      <c r="C28">
        <f>C27+DATEDIF(A27,A28,"ym")/12</f>
        <v>0.88055555555555554</v>
      </c>
      <c r="D28">
        <v>2</v>
      </c>
      <c r="F28">
        <f>0</f>
        <v>0</v>
      </c>
      <c r="G28">
        <f t="shared" si="0"/>
        <v>1</v>
      </c>
      <c r="H28">
        <f t="shared" si="1"/>
        <v>2.9095</v>
      </c>
      <c r="I28">
        <f t="shared" si="2"/>
        <v>-2.5619763888888886E-2</v>
      </c>
      <c r="K28">
        <v>4.7566350457942947</v>
      </c>
      <c r="L28">
        <f t="shared" ref="L28:L39" si="16">1/(1+K28/(100*D28))</f>
        <v>0.97676932400881433</v>
      </c>
      <c r="M28">
        <f t="shared" ref="M28:M39" si="17">B28*POWER(L28,C28*D28)</f>
        <v>2.7915213917207402</v>
      </c>
      <c r="N28">
        <f t="shared" ref="N28:N39" si="18">-1*0.01*M28*L28*C28</f>
        <v>-2.400986585252406E-2</v>
      </c>
      <c r="P28">
        <v>5.4848777578734058</v>
      </c>
      <c r="Q28">
        <f t="shared" ref="Q28:Q39" si="19">1/(1+P28/(100*D28))</f>
        <v>0.97330763305932255</v>
      </c>
      <c r="R28">
        <f t="shared" ref="R28:R39" si="20">B28*POWER(Q28,C28*D28)</f>
        <v>2.7741218541784249</v>
      </c>
      <c r="S28">
        <f t="shared" ref="S28:S39" si="21">-1*0.01*R28*Q28*C28</f>
        <v>-2.3775651397211328E-2</v>
      </c>
      <c r="U28">
        <v>5.4994321566517579</v>
      </c>
      <c r="V28">
        <f t="shared" ref="V28:V39" si="22">1/(1+U28/(100*D28))</f>
        <v>0.97323869901275661</v>
      </c>
      <c r="W28">
        <f t="shared" ref="W28:W39" si="23">B28*POWER(V28,C28*D28)</f>
        <v>2.7737758477010144</v>
      </c>
      <c r="X28">
        <f t="shared" ref="X28:X39" si="24">-1*0.01*W28*V28*C28</f>
        <v>-2.377100225461513E-2</v>
      </c>
      <c r="Z28">
        <v>5.4994378135288811</v>
      </c>
      <c r="AA28">
        <f t="shared" ref="AA28:AA39" si="25">1/(1+Z28/(100*D28))</f>
        <v>0.97323867222196936</v>
      </c>
      <c r="AB28">
        <f t="shared" ref="AB28:AB39" si="26">B28*POWER(AA28,C28*D28)</f>
        <v>2.7737757132313812</v>
      </c>
      <c r="AC28">
        <f t="shared" ref="AC28:AC39" si="27">-1*0.01*AB28*AA28*C28</f>
        <v>-2.3771000447867587E-2</v>
      </c>
    </row>
    <row r="29" spans="1:29" x14ac:dyDescent="0.3">
      <c r="A29" s="91">
        <f t="shared" si="15"/>
        <v>45930</v>
      </c>
      <c r="B29">
        <v>2.9095</v>
      </c>
      <c r="C29">
        <f t="shared" ref="C29:C35" si="28">C28+DATEDIF(A28,A29,"ym")/12</f>
        <v>1.3805555555555555</v>
      </c>
      <c r="D29">
        <v>2</v>
      </c>
      <c r="F29">
        <f>0</f>
        <v>0</v>
      </c>
      <c r="G29">
        <f t="shared" si="0"/>
        <v>1</v>
      </c>
      <c r="H29">
        <f t="shared" si="1"/>
        <v>2.9095</v>
      </c>
      <c r="I29">
        <f t="shared" si="2"/>
        <v>-4.0167263888888888E-2</v>
      </c>
      <c r="K29">
        <v>4.7566350457942947</v>
      </c>
      <c r="L29">
        <f t="shared" si="16"/>
        <v>0.97676932400881433</v>
      </c>
      <c r="M29">
        <f t="shared" si="17"/>
        <v>2.7266724627472123</v>
      </c>
      <c r="N29">
        <f t="shared" si="18"/>
        <v>-3.6768750529467459E-2</v>
      </c>
      <c r="P29">
        <v>5.4848777578734058</v>
      </c>
      <c r="Q29">
        <f t="shared" si="19"/>
        <v>0.97330763305932255</v>
      </c>
      <c r="R29">
        <f t="shared" si="20"/>
        <v>2.7000739757085417</v>
      </c>
      <c r="S29">
        <f t="shared" si="21"/>
        <v>-3.6281036037773107E-2</v>
      </c>
      <c r="U29">
        <v>5.4994321566517579</v>
      </c>
      <c r="V29">
        <f t="shared" si="22"/>
        <v>0.97323869901275661</v>
      </c>
      <c r="W29">
        <f t="shared" si="23"/>
        <v>2.6995459973695413</v>
      </c>
      <c r="X29">
        <f t="shared" si="24"/>
        <v>-3.6271372480536065E-2</v>
      </c>
      <c r="Z29">
        <v>5.4994378135288811</v>
      </c>
      <c r="AA29">
        <f t="shared" si="25"/>
        <v>0.97323867222196936</v>
      </c>
      <c r="AB29">
        <f t="shared" si="26"/>
        <v>2.6995457921868553</v>
      </c>
      <c r="AC29">
        <f t="shared" si="27"/>
        <v>-3.6271368725222186E-2</v>
      </c>
    </row>
    <row r="30" spans="1:29" x14ac:dyDescent="0.3">
      <c r="A30" s="91">
        <f t="shared" si="15"/>
        <v>46111</v>
      </c>
      <c r="B30">
        <v>2.9095</v>
      </c>
      <c r="C30">
        <f t="shared" si="28"/>
        <v>1.8805555555555555</v>
      </c>
      <c r="D30">
        <v>2</v>
      </c>
      <c r="F30">
        <f>0</f>
        <v>0</v>
      </c>
      <c r="G30">
        <f t="shared" si="0"/>
        <v>1</v>
      </c>
      <c r="H30">
        <f t="shared" si="1"/>
        <v>2.9095</v>
      </c>
      <c r="I30">
        <f t="shared" si="2"/>
        <v>-5.4714763888888886E-2</v>
      </c>
      <c r="K30">
        <v>4.7566350457942947</v>
      </c>
      <c r="L30">
        <f t="shared" si="16"/>
        <v>0.97676932400881433</v>
      </c>
      <c r="M30">
        <f t="shared" si="17"/>
        <v>2.6633300182310435</v>
      </c>
      <c r="N30">
        <f t="shared" si="18"/>
        <v>-4.8921882906916271E-2</v>
      </c>
      <c r="P30">
        <v>5.4848777578734058</v>
      </c>
      <c r="Q30">
        <f t="shared" si="19"/>
        <v>0.97330763305932255</v>
      </c>
      <c r="R30">
        <f t="shared" si="20"/>
        <v>2.6280026103819556</v>
      </c>
      <c r="S30">
        <f t="shared" si="21"/>
        <v>-4.8101884312787835E-2</v>
      </c>
      <c r="U30">
        <v>5.4994321566517579</v>
      </c>
      <c r="V30">
        <f t="shared" si="22"/>
        <v>0.97323869901275661</v>
      </c>
      <c r="W30">
        <f t="shared" si="23"/>
        <v>2.627302634405027</v>
      </c>
      <c r="X30">
        <f t="shared" si="24"/>
        <v>-4.8085666353469711E-2</v>
      </c>
      <c r="Z30">
        <v>5.4994378135288811</v>
      </c>
      <c r="AA30">
        <f t="shared" si="25"/>
        <v>0.97323867222196936</v>
      </c>
      <c r="AB30">
        <f t="shared" si="26"/>
        <v>2.6273023623903393</v>
      </c>
      <c r="AC30">
        <f t="shared" si="27"/>
        <v>-4.8085660051300785E-2</v>
      </c>
    </row>
    <row r="31" spans="1:29" x14ac:dyDescent="0.3">
      <c r="A31" s="91">
        <f t="shared" si="15"/>
        <v>46295</v>
      </c>
      <c r="B31">
        <v>2.9095</v>
      </c>
      <c r="C31">
        <f t="shared" si="28"/>
        <v>2.3805555555555555</v>
      </c>
      <c r="D31">
        <v>2</v>
      </c>
      <c r="F31">
        <f>0</f>
        <v>0</v>
      </c>
      <c r="G31">
        <f t="shared" si="0"/>
        <v>1</v>
      </c>
      <c r="H31">
        <f t="shared" si="1"/>
        <v>2.9095</v>
      </c>
      <c r="I31">
        <f t="shared" si="2"/>
        <v>-6.9262263888888884E-2</v>
      </c>
      <c r="K31">
        <v>4.7566350457942947</v>
      </c>
      <c r="L31">
        <f t="shared" si="16"/>
        <v>0.97676932400881433</v>
      </c>
      <c r="M31">
        <f t="shared" si="17"/>
        <v>2.6014590615199196</v>
      </c>
      <c r="N31">
        <f t="shared" si="18"/>
        <v>-6.0490521541014051E-2</v>
      </c>
      <c r="P31">
        <v>5.4848777578734058</v>
      </c>
      <c r="Q31">
        <f t="shared" si="19"/>
        <v>0.97330763305932255</v>
      </c>
      <c r="R31">
        <f t="shared" si="20"/>
        <v>2.5578550003845821</v>
      </c>
      <c r="S31">
        <f t="shared" si="21"/>
        <v>-5.9265830146839234E-2</v>
      </c>
      <c r="U31">
        <v>5.4994321566517579</v>
      </c>
      <c r="V31">
        <f t="shared" si="22"/>
        <v>0.97323869901275661</v>
      </c>
      <c r="W31">
        <f t="shared" si="23"/>
        <v>2.5569925978211363</v>
      </c>
      <c r="X31">
        <f t="shared" si="24"/>
        <v>-5.9241652109455797E-2</v>
      </c>
      <c r="Z31">
        <v>5.4994378135288811</v>
      </c>
      <c r="AA31">
        <f t="shared" si="25"/>
        <v>0.97323867222196936</v>
      </c>
      <c r="AB31">
        <f t="shared" si="26"/>
        <v>2.5569922626984174</v>
      </c>
      <c r="AC31">
        <f t="shared" si="27"/>
        <v>-5.9241642714397268E-2</v>
      </c>
    </row>
    <row r="32" spans="1:29" x14ac:dyDescent="0.3">
      <c r="A32" s="91">
        <f t="shared" si="15"/>
        <v>46476</v>
      </c>
      <c r="B32">
        <v>2.9095</v>
      </c>
      <c r="C32">
        <f t="shared" si="28"/>
        <v>2.8805555555555555</v>
      </c>
      <c r="D32">
        <v>2</v>
      </c>
      <c r="F32">
        <f>0</f>
        <v>0</v>
      </c>
      <c r="G32">
        <f t="shared" si="0"/>
        <v>1</v>
      </c>
      <c r="H32">
        <f t="shared" ref="H32" si="29">B32*POWER(G32,C32*D32)</f>
        <v>2.9095</v>
      </c>
      <c r="I32">
        <f t="shared" ref="I32" si="30">-1*0.01*H32*G32*C32</f>
        <v>-8.3809763888888889E-2</v>
      </c>
      <c r="K32">
        <v>4.7566350457942947</v>
      </c>
      <c r="L32">
        <f t="shared" si="16"/>
        <v>0.97676932400881433</v>
      </c>
      <c r="M32">
        <f t="shared" si="17"/>
        <v>2.5410254089574162</v>
      </c>
      <c r="N32">
        <f t="shared" si="18"/>
        <v>-7.1495264189539706E-2</v>
      </c>
      <c r="P32">
        <v>5.4848777578734058</v>
      </c>
      <c r="Q32">
        <f t="shared" si="19"/>
        <v>0.97330763305932255</v>
      </c>
      <c r="R32">
        <f t="shared" si="20"/>
        <v>2.4895797961332704</v>
      </c>
      <c r="S32">
        <f t="shared" si="21"/>
        <v>-6.9799519954949873E-2</v>
      </c>
      <c r="U32">
        <v>5.4994321566517579</v>
      </c>
      <c r="V32">
        <f t="shared" si="22"/>
        <v>0.97323869901275661</v>
      </c>
      <c r="W32">
        <f t="shared" si="23"/>
        <v>2.4885641492886919</v>
      </c>
      <c r="X32">
        <f t="shared" si="24"/>
        <v>-6.9766103101690666E-2</v>
      </c>
      <c r="Z32">
        <v>5.4994378135288811</v>
      </c>
      <c r="AA32">
        <f t="shared" si="25"/>
        <v>0.97323867222196936</v>
      </c>
      <c r="AB32">
        <f t="shared" si="26"/>
        <v>2.4885637546304569</v>
      </c>
      <c r="AC32">
        <f t="shared" si="27"/>
        <v>-6.9766090117089619E-2</v>
      </c>
    </row>
    <row r="33" spans="1:29" x14ac:dyDescent="0.3">
      <c r="A33" s="91">
        <f t="shared" si="15"/>
        <v>46660</v>
      </c>
      <c r="B33">
        <v>2.9095</v>
      </c>
      <c r="C33">
        <f t="shared" si="28"/>
        <v>3.3805555555555555</v>
      </c>
      <c r="D33">
        <v>2</v>
      </c>
      <c r="F33">
        <f>0</f>
        <v>0</v>
      </c>
      <c r="G33">
        <f>1/(1+F33/(100*D33))</f>
        <v>1</v>
      </c>
      <c r="H33">
        <f t="shared" ref="H33:H39" si="31">B33*POWER(G33,C33*D33)</f>
        <v>2.9095</v>
      </c>
      <c r="I33">
        <f t="shared" ref="I33:I39" si="32">-1*0.01*H33*G33*C33</f>
        <v>-9.8357263888888879E-2</v>
      </c>
      <c r="K33">
        <v>4.7566350457942947</v>
      </c>
      <c r="L33">
        <f t="shared" si="16"/>
        <v>0.97676932400881433</v>
      </c>
      <c r="M33">
        <f t="shared" si="17"/>
        <v>2.4819956709965565</v>
      </c>
      <c r="N33">
        <f t="shared" si="18"/>
        <v>-8.1956067041008829E-2</v>
      </c>
      <c r="P33">
        <v>5.4848777578734058</v>
      </c>
      <c r="Q33">
        <f t="shared" si="19"/>
        <v>0.97330763305932255</v>
      </c>
      <c r="R33">
        <f t="shared" si="20"/>
        <v>2.4231270186867842</v>
      </c>
      <c r="S33">
        <f t="shared" si="21"/>
        <v>-7.9728645671829843E-2</v>
      </c>
      <c r="U33">
        <v>5.4994321566517579</v>
      </c>
      <c r="V33">
        <f t="shared" si="22"/>
        <v>0.97323869901275661</v>
      </c>
      <c r="W33">
        <f t="shared" si="23"/>
        <v>2.421966935063514</v>
      </c>
      <c r="X33">
        <f t="shared" si="24"/>
        <v>-7.9684831162544906E-2</v>
      </c>
      <c r="Z33">
        <v>5.4994378135288811</v>
      </c>
      <c r="AA33">
        <f t="shared" si="25"/>
        <v>0.97323867222196936</v>
      </c>
      <c r="AB33">
        <f t="shared" si="26"/>
        <v>2.4219664842962643</v>
      </c>
      <c r="AC33">
        <f t="shared" si="27"/>
        <v>-7.9684814138387586E-2</v>
      </c>
    </row>
    <row r="34" spans="1:29" x14ac:dyDescent="0.3">
      <c r="A34" s="91">
        <f t="shared" si="15"/>
        <v>46842</v>
      </c>
      <c r="B34">
        <v>2.9095</v>
      </c>
      <c r="C34">
        <f t="shared" si="28"/>
        <v>3.8805555555555555</v>
      </c>
      <c r="D34">
        <v>2</v>
      </c>
      <c r="F34">
        <f>0</f>
        <v>0</v>
      </c>
      <c r="G34">
        <f t="shared" ref="G34:G39" si="33">1/(1+F34/(100*D34))</f>
        <v>1</v>
      </c>
      <c r="H34">
        <f t="shared" si="31"/>
        <v>2.9095</v>
      </c>
      <c r="I34">
        <f t="shared" si="32"/>
        <v>-0.11290476388888888</v>
      </c>
      <c r="K34">
        <v>4.7566350457942947</v>
      </c>
      <c r="L34">
        <f t="shared" si="16"/>
        <v>0.97676932400881433</v>
      </c>
      <c r="M34">
        <f t="shared" si="17"/>
        <v>2.4243372337521101</v>
      </c>
      <c r="N34">
        <f t="shared" si="18"/>
        <v>-9.1892263406974498E-2</v>
      </c>
      <c r="P34">
        <v>5.4848777578734058</v>
      </c>
      <c r="Q34">
        <f t="shared" si="19"/>
        <v>0.97330763305932255</v>
      </c>
      <c r="R34">
        <f t="shared" si="20"/>
        <v>2.3584480231601264</v>
      </c>
      <c r="S34">
        <f t="shared" si="21"/>
        <v>-8.9077976721451194E-2</v>
      </c>
      <c r="U34">
        <v>5.4994321566517579</v>
      </c>
      <c r="V34">
        <f t="shared" si="22"/>
        <v>0.97323869901275661</v>
      </c>
      <c r="W34">
        <f t="shared" si="23"/>
        <v>2.3571519489331276</v>
      </c>
      <c r="X34">
        <f t="shared" si="24"/>
        <v>-8.9022718892461661E-2</v>
      </c>
      <c r="Z34">
        <v>5.4994378135288811</v>
      </c>
      <c r="AA34">
        <f t="shared" si="25"/>
        <v>0.97323867222196936</v>
      </c>
      <c r="AB34">
        <f t="shared" si="26"/>
        <v>2.3571514453426077</v>
      </c>
      <c r="AC34">
        <f t="shared" si="27"/>
        <v>-8.9022697422755426E-2</v>
      </c>
    </row>
    <row r="35" spans="1:29" x14ac:dyDescent="0.3">
      <c r="A35" s="91">
        <f>EDATE(A34,6)</f>
        <v>47026</v>
      </c>
      <c r="B35">
        <v>2.9095</v>
      </c>
      <c r="C35">
        <f t="shared" si="28"/>
        <v>4.3805555555555555</v>
      </c>
      <c r="D35">
        <v>2</v>
      </c>
      <c r="F35">
        <f>0</f>
        <v>0</v>
      </c>
      <c r="G35">
        <f t="shared" si="33"/>
        <v>1</v>
      </c>
      <c r="H35">
        <f t="shared" si="31"/>
        <v>2.9095</v>
      </c>
      <c r="I35">
        <f t="shared" si="32"/>
        <v>-0.12745226388888889</v>
      </c>
      <c r="K35">
        <v>4.7566350457942947</v>
      </c>
      <c r="L35">
        <f t="shared" si="16"/>
        <v>0.97676932400881433</v>
      </c>
      <c r="M35">
        <f t="shared" si="17"/>
        <v>2.3680182409814474</v>
      </c>
      <c r="N35">
        <f t="shared" si="18"/>
        <v>-0.10132258189209034</v>
      </c>
      <c r="P35">
        <v>5.4848777578734058</v>
      </c>
      <c r="Q35">
        <f t="shared" si="19"/>
        <v>0.97330763305932255</v>
      </c>
      <c r="R35">
        <f t="shared" si="20"/>
        <v>2.2954954631154214</v>
      </c>
      <c r="S35">
        <f t="shared" si="21"/>
        <v>-9.7871390959985538E-2</v>
      </c>
      <c r="U35">
        <v>5.4994321566517579</v>
      </c>
      <c r="V35">
        <f t="shared" si="22"/>
        <v>0.97323869901275661</v>
      </c>
      <c r="W35">
        <f t="shared" si="23"/>
        <v>2.2940714961550608</v>
      </c>
      <c r="X35">
        <f t="shared" si="24"/>
        <v>-9.7803750909278744E-2</v>
      </c>
      <c r="Z35">
        <v>5.4994378135288811</v>
      </c>
      <c r="AA35">
        <f t="shared" si="25"/>
        <v>0.97323867222196936</v>
      </c>
      <c r="AB35">
        <f t="shared" si="26"/>
        <v>2.2940709428913353</v>
      </c>
      <c r="AC35">
        <f t="shared" si="27"/>
        <v>-9.7803724629553446E-2</v>
      </c>
    </row>
    <row r="36" spans="1:29" x14ac:dyDescent="0.3">
      <c r="A36" s="91">
        <f>EDATE(A35,3)</f>
        <v>47117</v>
      </c>
      <c r="B36">
        <f>(A36-A35)*C15/360</f>
        <v>1.7391111111111113</v>
      </c>
      <c r="C36">
        <f>(A36-B2)/360</f>
        <v>4.7</v>
      </c>
      <c r="D36">
        <v>4</v>
      </c>
      <c r="F36">
        <f>0</f>
        <v>0</v>
      </c>
      <c r="G36">
        <f t="shared" si="33"/>
        <v>1</v>
      </c>
      <c r="H36">
        <f t="shared" si="31"/>
        <v>1.7391111111111113</v>
      </c>
      <c r="I36">
        <f t="shared" si="32"/>
        <v>-8.173822222222224E-2</v>
      </c>
      <c r="K36">
        <v>4.7566350457942947</v>
      </c>
      <c r="L36">
        <f t="shared" si="16"/>
        <v>0.98824816041556385</v>
      </c>
      <c r="M36">
        <f t="shared" si="17"/>
        <v>1.3925423254530453</v>
      </c>
      <c r="N36">
        <f t="shared" si="18"/>
        <v>-6.4680337397199833E-2</v>
      </c>
      <c r="P36">
        <v>5.4848777578734058</v>
      </c>
      <c r="Q36">
        <f t="shared" si="19"/>
        <v>0.98647328652993926</v>
      </c>
      <c r="R36">
        <f t="shared" si="20"/>
        <v>1.3462679840920957</v>
      </c>
      <c r="S36">
        <f t="shared" si="21"/>
        <v>-6.2418697932416195E-2</v>
      </c>
      <c r="U36">
        <v>5.4994321566517579</v>
      </c>
      <c r="V36">
        <f t="shared" si="22"/>
        <v>0.98643787951217843</v>
      </c>
      <c r="W36">
        <f t="shared" si="23"/>
        <v>1.3453598402133227</v>
      </c>
      <c r="X36">
        <f t="shared" si="24"/>
        <v>-6.2374353674161047E-2</v>
      </c>
      <c r="Z36">
        <v>5.4994378135288811</v>
      </c>
      <c r="AA36">
        <f t="shared" si="25"/>
        <v>0.9864378657509808</v>
      </c>
      <c r="AB36">
        <f t="shared" si="26"/>
        <v>1.3453594873693153</v>
      </c>
      <c r="AC36">
        <f t="shared" si="27"/>
        <v>-6.2374336445255786E-2</v>
      </c>
    </row>
    <row r="37" spans="1:29" x14ac:dyDescent="0.3">
      <c r="A37" s="91">
        <f t="shared" ref="A37:A39" si="34">EDATE(A36,3)</f>
        <v>47207</v>
      </c>
      <c r="B37">
        <f>(A37-A36)*C15/360</f>
        <v>1.7200000000000002</v>
      </c>
      <c r="C37">
        <f>(A37-B2)/360</f>
        <v>4.95</v>
      </c>
      <c r="D37">
        <v>4</v>
      </c>
      <c r="F37">
        <f>0</f>
        <v>0</v>
      </c>
      <c r="G37">
        <f t="shared" si="33"/>
        <v>1</v>
      </c>
      <c r="H37">
        <f t="shared" si="31"/>
        <v>1.7200000000000002</v>
      </c>
      <c r="I37">
        <f t="shared" si="32"/>
        <v>-8.5140000000000021E-2</v>
      </c>
      <c r="K37">
        <v>4.7566350457942947</v>
      </c>
      <c r="L37">
        <f t="shared" si="16"/>
        <v>0.98824816041556385</v>
      </c>
      <c r="M37">
        <f t="shared" si="17"/>
        <v>1.3610545629525332</v>
      </c>
      <c r="N37">
        <f t="shared" si="18"/>
        <v>-6.6580453569120984E-2</v>
      </c>
      <c r="P37">
        <v>5.4848777578734058</v>
      </c>
      <c r="Q37">
        <f t="shared" si="19"/>
        <v>0.98647328652993926</v>
      </c>
      <c r="R37">
        <f t="shared" si="20"/>
        <v>1.3134633654237682</v>
      </c>
      <c r="S37">
        <f t="shared" si="21"/>
        <v>-6.4136977879899845E-2</v>
      </c>
      <c r="U37">
        <v>5.4994321566517579</v>
      </c>
      <c r="V37">
        <f t="shared" si="22"/>
        <v>0.98643787951217843</v>
      </c>
      <c r="W37">
        <f t="shared" si="23"/>
        <v>1.3125302386426219</v>
      </c>
      <c r="X37">
        <f t="shared" si="24"/>
        <v>-6.4089112497410949E-2</v>
      </c>
      <c r="Z37">
        <v>5.4994378135288811</v>
      </c>
      <c r="AA37">
        <f t="shared" si="25"/>
        <v>0.9864378657509808</v>
      </c>
      <c r="AB37">
        <f t="shared" si="26"/>
        <v>1.3125298760984383</v>
      </c>
      <c r="AC37">
        <f t="shared" si="27"/>
        <v>-6.4089093900790678E-2</v>
      </c>
    </row>
    <row r="38" spans="1:29" x14ac:dyDescent="0.3">
      <c r="A38" s="91">
        <f t="shared" si="34"/>
        <v>47299</v>
      </c>
      <c r="B38">
        <f>(A38-A37)*C15/360</f>
        <v>1.7582222222222224</v>
      </c>
      <c r="C38">
        <f>(A38-B2)/360</f>
        <v>5.2055555555555557</v>
      </c>
      <c r="D38">
        <v>4</v>
      </c>
      <c r="F38">
        <f>0</f>
        <v>0</v>
      </c>
      <c r="G38">
        <f t="shared" si="33"/>
        <v>1</v>
      </c>
      <c r="H38">
        <f t="shared" si="31"/>
        <v>1.7582222222222224</v>
      </c>
      <c r="I38">
        <f t="shared" si="32"/>
        <v>-9.1525234567901251E-2</v>
      </c>
      <c r="K38">
        <v>4.7566350457942947</v>
      </c>
      <c r="L38">
        <f t="shared" si="16"/>
        <v>0.98824816041556385</v>
      </c>
      <c r="M38">
        <f t="shared" si="17"/>
        <v>1.3745887328998589</v>
      </c>
      <c r="N38">
        <f t="shared" si="18"/>
        <v>-7.0714077503301276E-2</v>
      </c>
      <c r="P38">
        <v>5.4848777578734058</v>
      </c>
      <c r="Q38">
        <f t="shared" si="19"/>
        <v>0.98647328652993926</v>
      </c>
      <c r="R38">
        <f t="shared" si="20"/>
        <v>1.3240889890983372</v>
      </c>
      <c r="S38">
        <f t="shared" si="21"/>
        <v>-6.7993843137761301E-2</v>
      </c>
      <c r="U38">
        <v>5.4994321566517579</v>
      </c>
      <c r="V38">
        <f t="shared" si="22"/>
        <v>0.98643787951217843</v>
      </c>
      <c r="W38">
        <f t="shared" si="23"/>
        <v>1.3230997670570737</v>
      </c>
      <c r="X38">
        <f t="shared" si="24"/>
        <v>-6.7940606538728354E-2</v>
      </c>
      <c r="Z38">
        <v>5.4994378135288811</v>
      </c>
      <c r="AA38">
        <f t="shared" si="25"/>
        <v>0.9864378657509808</v>
      </c>
      <c r="AB38">
        <f t="shared" si="26"/>
        <v>1.3230993827254676</v>
      </c>
      <c r="AC38">
        <f t="shared" si="27"/>
        <v>-6.7940585855666938E-2</v>
      </c>
    </row>
    <row r="39" spans="1:29" x14ac:dyDescent="0.3">
      <c r="A39" s="91">
        <f t="shared" si="34"/>
        <v>47391</v>
      </c>
      <c r="B39">
        <f>B7+(A39-A38)*C15/360</f>
        <v>101.75822222222222</v>
      </c>
      <c r="C39">
        <f>(A39-B2)/360</f>
        <v>5.4611111111111112</v>
      </c>
      <c r="D39">
        <v>4</v>
      </c>
      <c r="F39">
        <f>0</f>
        <v>0</v>
      </c>
      <c r="G39">
        <f t="shared" si="33"/>
        <v>1</v>
      </c>
      <c r="H39">
        <f t="shared" si="31"/>
        <v>101.75822222222222</v>
      </c>
      <c r="I39">
        <f t="shared" si="32"/>
        <v>-5.5571295802469134</v>
      </c>
      <c r="K39">
        <v>4.7566350457942947</v>
      </c>
      <c r="L39">
        <f t="shared" si="16"/>
        <v>0.98824816041556385</v>
      </c>
      <c r="M39">
        <f t="shared" si="17"/>
        <v>78.599621015322114</v>
      </c>
      <c r="N39">
        <f t="shared" si="18"/>
        <v>-4.241968891823932</v>
      </c>
      <c r="P39">
        <v>5.4848777578734058</v>
      </c>
      <c r="Q39">
        <f t="shared" si="19"/>
        <v>0.98647328652993926</v>
      </c>
      <c r="R39">
        <f t="shared" si="20"/>
        <v>75.573026036700355</v>
      </c>
      <c r="S39">
        <f t="shared" si="21"/>
        <v>-4.0713004585661139</v>
      </c>
      <c r="U39">
        <v>5.4994321566517579</v>
      </c>
      <c r="V39">
        <f t="shared" si="22"/>
        <v>0.98643787951217843</v>
      </c>
      <c r="W39">
        <f t="shared" si="23"/>
        <v>75.513794993272768</v>
      </c>
      <c r="X39">
        <f t="shared" si="24"/>
        <v>-4.0679635252422752</v>
      </c>
      <c r="Z39">
        <v>5.4994378135288811</v>
      </c>
      <c r="AA39">
        <f t="shared" si="25"/>
        <v>0.9864378657509808</v>
      </c>
      <c r="AB39">
        <f t="shared" si="26"/>
        <v>75.513771981306519</v>
      </c>
      <c r="AC39">
        <f t="shared" si="27"/>
        <v>-4.0679622288271906</v>
      </c>
    </row>
    <row r="40" spans="1:29" x14ac:dyDescent="0.3">
      <c r="A40" s="91"/>
      <c r="G40" t="s">
        <v>52</v>
      </c>
      <c r="H40">
        <f>SUM(H27:H39)</f>
        <v>133.16105555555555</v>
      </c>
      <c r="I40">
        <f>SUM(I27:I39)</f>
        <v>-6.4388934120370367</v>
      </c>
      <c r="L40" t="s">
        <v>52</v>
      </c>
      <c r="M40">
        <f>SUM(M27:M39)</f>
        <v>106.18407875966946</v>
      </c>
      <c r="N40">
        <f>SUM(N27:N39)</f>
        <v>-4.971424247393804</v>
      </c>
      <c r="Q40" t="s">
        <v>52</v>
      </c>
      <c r="R40">
        <f>SUM(R27:R39)</f>
        <v>102.63375056752015</v>
      </c>
      <c r="S40">
        <f>SUM(S27:S39)</f>
        <v>-4.7803089875529761</v>
      </c>
      <c r="V40" t="s">
        <v>52</v>
      </c>
      <c r="W40">
        <f>SUM(W27:W39)</f>
        <v>102.56420325408487</v>
      </c>
      <c r="X40">
        <f>SUM(X27:X39)</f>
        <v>-4.7765704533037123</v>
      </c>
      <c r="AA40" t="s">
        <v>52</v>
      </c>
      <c r="AB40">
        <f>SUM(AB27:AB39)</f>
        <v>102.56417623361673</v>
      </c>
      <c r="AC40">
        <f>SUM(AC27:AC39)</f>
        <v>-4.7765690008508308</v>
      </c>
    </row>
    <row r="41" spans="1:29" x14ac:dyDescent="0.3">
      <c r="A41" s="91"/>
    </row>
    <row r="42" spans="1:29" x14ac:dyDescent="0.3">
      <c r="A42" s="91"/>
    </row>
    <row r="43" spans="1:29" x14ac:dyDescent="0.3">
      <c r="A43" s="91"/>
    </row>
    <row r="44" spans="1:29" x14ac:dyDescent="0.3">
      <c r="A44" s="91"/>
    </row>
    <row r="45" spans="1:29" x14ac:dyDescent="0.3">
      <c r="A45" s="9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0ABF0-47CE-46C8-9811-B0D9A1F2C3B4}">
  <dimension ref="A1:P68"/>
  <sheetViews>
    <sheetView workbookViewId="0">
      <selection activeCell="C6" sqref="C6"/>
    </sheetView>
  </sheetViews>
  <sheetFormatPr defaultRowHeight="14.4" x14ac:dyDescent="0.3"/>
  <cols>
    <col min="1" max="1" width="20.88671875" bestFit="1" customWidth="1"/>
    <col min="2" max="2" width="10.5546875" bestFit="1" customWidth="1"/>
    <col min="4" max="4" width="14" bestFit="1" customWidth="1"/>
    <col min="5" max="5" width="12" bestFit="1" customWidth="1"/>
    <col min="6" max="6" width="9.5546875" bestFit="1" customWidth="1"/>
    <col min="7" max="7" width="11.44140625" bestFit="1" customWidth="1"/>
    <col min="8" max="8" width="16.109375" bestFit="1" customWidth="1"/>
  </cols>
  <sheetData>
    <row r="1" spans="1:16" ht="15" thickBot="1" x14ac:dyDescent="0.35">
      <c r="A1" t="s">
        <v>62</v>
      </c>
    </row>
    <row r="2" spans="1:16" ht="15" thickBot="1" x14ac:dyDescent="0.35">
      <c r="A2" s="6"/>
      <c r="B2" s="7"/>
    </row>
    <row r="3" spans="1:16" x14ac:dyDescent="0.3">
      <c r="A3" s="8" t="s">
        <v>62</v>
      </c>
      <c r="B3" s="4">
        <v>44561</v>
      </c>
      <c r="D3" s="9" t="s">
        <v>32</v>
      </c>
      <c r="E3" s="10" t="s">
        <v>33</v>
      </c>
      <c r="F3" s="11" t="s">
        <v>34</v>
      </c>
      <c r="G3" s="11" t="s">
        <v>35</v>
      </c>
      <c r="H3" s="12" t="s">
        <v>36</v>
      </c>
      <c r="J3" s="13"/>
      <c r="K3" s="13"/>
      <c r="L3" s="13"/>
      <c r="M3" s="13"/>
      <c r="N3" s="13"/>
      <c r="O3" s="13"/>
      <c r="P3" s="13"/>
    </row>
    <row r="4" spans="1:16" x14ac:dyDescent="0.3">
      <c r="A4" s="8" t="s">
        <v>32</v>
      </c>
      <c r="B4" s="4">
        <v>45661</v>
      </c>
      <c r="D4" s="4">
        <v>45657</v>
      </c>
      <c r="E4" s="4">
        <v>46022</v>
      </c>
      <c r="F4">
        <v>60</v>
      </c>
      <c r="G4">
        <f>1</f>
        <v>1</v>
      </c>
      <c r="H4">
        <v>1</v>
      </c>
      <c r="J4" s="13"/>
      <c r="K4" s="14" t="s">
        <v>63</v>
      </c>
      <c r="L4" s="14"/>
      <c r="M4" s="14"/>
      <c r="N4" s="13">
        <f>F66</f>
        <v>6.9157937823183602</v>
      </c>
      <c r="O4" s="13"/>
      <c r="P4" s="13"/>
    </row>
    <row r="5" spans="1:16" x14ac:dyDescent="0.3">
      <c r="A5" s="8" t="s">
        <v>37</v>
      </c>
      <c r="B5" s="4">
        <v>48213</v>
      </c>
      <c r="D5" s="4">
        <v>45657</v>
      </c>
      <c r="E5" s="4">
        <v>46387</v>
      </c>
      <c r="F5">
        <v>60</v>
      </c>
      <c r="G5">
        <f>1+G4</f>
        <v>2</v>
      </c>
      <c r="H5">
        <v>1</v>
      </c>
      <c r="J5" s="13"/>
      <c r="K5" s="13"/>
      <c r="L5" s="13"/>
      <c r="M5" s="13"/>
      <c r="N5" s="13"/>
      <c r="O5" s="13"/>
      <c r="P5" s="13"/>
    </row>
    <row r="6" spans="1:16" x14ac:dyDescent="0.3">
      <c r="A6" s="8" t="s">
        <v>64</v>
      </c>
      <c r="B6">
        <f>DATEDIF(B4,B5,"y")</f>
        <v>6</v>
      </c>
      <c r="D6" s="4">
        <v>45657</v>
      </c>
      <c r="E6" s="4">
        <v>46752</v>
      </c>
      <c r="F6">
        <v>60</v>
      </c>
      <c r="G6">
        <f t="shared" ref="G6:G10" si="0">1+G5</f>
        <v>3</v>
      </c>
      <c r="H6">
        <v>1</v>
      </c>
      <c r="J6" s="13"/>
      <c r="K6" s="13"/>
      <c r="L6" s="13"/>
      <c r="M6" s="13"/>
      <c r="N6" s="13"/>
      <c r="O6" s="13"/>
      <c r="P6" s="13"/>
    </row>
    <row r="7" spans="1:16" x14ac:dyDescent="0.3">
      <c r="A7" s="8" t="s">
        <v>4</v>
      </c>
      <c r="B7">
        <v>1000</v>
      </c>
      <c r="D7" s="4">
        <v>45657</v>
      </c>
      <c r="E7" s="4">
        <v>47118</v>
      </c>
      <c r="F7">
        <v>60</v>
      </c>
      <c r="G7">
        <f t="shared" si="0"/>
        <v>4</v>
      </c>
      <c r="H7">
        <v>1</v>
      </c>
    </row>
    <row r="8" spans="1:16" x14ac:dyDescent="0.3">
      <c r="A8" s="8" t="s">
        <v>65</v>
      </c>
      <c r="B8">
        <v>950</v>
      </c>
      <c r="D8" s="4">
        <v>45657</v>
      </c>
      <c r="E8" s="4">
        <v>47483</v>
      </c>
      <c r="F8">
        <v>60</v>
      </c>
      <c r="G8">
        <f t="shared" si="0"/>
        <v>5</v>
      </c>
      <c r="H8">
        <v>1</v>
      </c>
    </row>
    <row r="9" spans="1:16" x14ac:dyDescent="0.3">
      <c r="A9" s="8" t="s">
        <v>66</v>
      </c>
      <c r="B9" s="15">
        <f>B8/B7*100</f>
        <v>95</v>
      </c>
      <c r="D9" s="4">
        <v>45657</v>
      </c>
      <c r="E9" s="4">
        <v>47848</v>
      </c>
      <c r="F9">
        <v>60</v>
      </c>
      <c r="G9">
        <f t="shared" si="0"/>
        <v>6</v>
      </c>
      <c r="H9">
        <v>1</v>
      </c>
    </row>
    <row r="10" spans="1:16" x14ac:dyDescent="0.3">
      <c r="A10" s="8" t="s">
        <v>67</v>
      </c>
      <c r="B10">
        <v>1</v>
      </c>
      <c r="D10" s="4">
        <v>45657</v>
      </c>
      <c r="E10" s="4">
        <v>48213</v>
      </c>
      <c r="F10">
        <v>1060</v>
      </c>
      <c r="G10">
        <f t="shared" si="0"/>
        <v>7</v>
      </c>
      <c r="H10">
        <v>1</v>
      </c>
    </row>
    <row r="11" spans="1:16" x14ac:dyDescent="0.3">
      <c r="A11" s="8" t="s">
        <v>38</v>
      </c>
      <c r="B11" s="1">
        <v>0.06</v>
      </c>
      <c r="D11" s="4"/>
    </row>
    <row r="12" spans="1:16" x14ac:dyDescent="0.3">
      <c r="A12" s="8" t="s">
        <v>43</v>
      </c>
      <c r="B12" s="15" t="s">
        <v>44</v>
      </c>
      <c r="D12" s="4"/>
    </row>
    <row r="13" spans="1:16" x14ac:dyDescent="0.3">
      <c r="A13" s="8" t="s">
        <v>68</v>
      </c>
      <c r="B13">
        <f>B11*B7</f>
        <v>60</v>
      </c>
      <c r="D13" s="4" t="s">
        <v>47</v>
      </c>
      <c r="E13" t="s">
        <v>48</v>
      </c>
      <c r="F13" t="s">
        <v>49</v>
      </c>
      <c r="G13" t="s">
        <v>50</v>
      </c>
    </row>
    <row r="14" spans="1:16" x14ac:dyDescent="0.3">
      <c r="A14" s="16" t="s">
        <v>69</v>
      </c>
      <c r="B14" s="13">
        <f>YIELD(B4,B5,B11,B9,100,B10)*100</f>
        <v>6.9261266777779564</v>
      </c>
      <c r="D14">
        <v>0</v>
      </c>
      <c r="E14">
        <f>1/(1+D14/(100*H4))</f>
        <v>1</v>
      </c>
      <c r="F14">
        <f>F4*POWER(E14,G4*H4)</f>
        <v>60</v>
      </c>
      <c r="G14">
        <f>-1*0.01*E14*F14*G4</f>
        <v>-0.6</v>
      </c>
    </row>
    <row r="15" spans="1:16" x14ac:dyDescent="0.3">
      <c r="A15" s="8" t="s">
        <v>70</v>
      </c>
      <c r="B15">
        <v>3</v>
      </c>
      <c r="D15">
        <v>0</v>
      </c>
      <c r="E15">
        <f t="shared" ref="E15:E20" si="1">1/(1+D15/(100*H5))</f>
        <v>1</v>
      </c>
      <c r="F15">
        <f t="shared" ref="F15:F20" si="2">F5*POWER(E15,G5*H5)</f>
        <v>60</v>
      </c>
      <c r="G15">
        <f t="shared" ref="G15:G20" si="3">-1*0.01*E15*F15*G5</f>
        <v>-1.2</v>
      </c>
    </row>
    <row r="16" spans="1:16" x14ac:dyDescent="0.3">
      <c r="A16" s="8" t="s">
        <v>71</v>
      </c>
      <c r="B16">
        <f>3/360</f>
        <v>8.3333333333333332E-3</v>
      </c>
      <c r="D16">
        <v>0</v>
      </c>
      <c r="E16">
        <f t="shared" si="1"/>
        <v>1</v>
      </c>
      <c r="F16">
        <f t="shared" si="2"/>
        <v>60</v>
      </c>
      <c r="G16">
        <f t="shared" si="3"/>
        <v>-1.7999999999999998</v>
      </c>
    </row>
    <row r="17" spans="1:7" x14ac:dyDescent="0.3">
      <c r="A17" s="8" t="s">
        <v>72</v>
      </c>
      <c r="B17">
        <f>B13*B16</f>
        <v>0.5</v>
      </c>
      <c r="D17">
        <v>0</v>
      </c>
      <c r="E17">
        <f t="shared" si="1"/>
        <v>1</v>
      </c>
      <c r="F17">
        <f t="shared" si="2"/>
        <v>60</v>
      </c>
      <c r="G17">
        <f t="shared" si="3"/>
        <v>-2.4</v>
      </c>
    </row>
    <row r="18" spans="1:7" x14ac:dyDescent="0.3">
      <c r="A18" s="8" t="s">
        <v>73</v>
      </c>
      <c r="B18">
        <f>B8+B17</f>
        <v>950.5</v>
      </c>
      <c r="D18">
        <v>0</v>
      </c>
      <c r="E18">
        <f t="shared" si="1"/>
        <v>1</v>
      </c>
      <c r="F18">
        <f t="shared" si="2"/>
        <v>60</v>
      </c>
      <c r="G18">
        <f t="shared" si="3"/>
        <v>-3</v>
      </c>
    </row>
    <row r="19" spans="1:7" x14ac:dyDescent="0.3">
      <c r="A19" s="8" t="s">
        <v>74</v>
      </c>
      <c r="B19" s="4">
        <v>45657</v>
      </c>
      <c r="D19">
        <v>0</v>
      </c>
      <c r="E19">
        <f t="shared" si="1"/>
        <v>1</v>
      </c>
      <c r="F19">
        <f t="shared" si="2"/>
        <v>60</v>
      </c>
      <c r="G19">
        <f t="shared" si="3"/>
        <v>-3.5999999999999996</v>
      </c>
    </row>
    <row r="20" spans="1:7" x14ac:dyDescent="0.3">
      <c r="D20">
        <v>0</v>
      </c>
      <c r="E20">
        <f t="shared" si="1"/>
        <v>1</v>
      </c>
      <c r="F20">
        <f t="shared" si="2"/>
        <v>1060</v>
      </c>
      <c r="G20">
        <f t="shared" si="3"/>
        <v>-74.2</v>
      </c>
    </row>
    <row r="21" spans="1:7" x14ac:dyDescent="0.3">
      <c r="E21" t="s">
        <v>52</v>
      </c>
      <c r="F21">
        <f>SUM(F14:F20)</f>
        <v>1420</v>
      </c>
      <c r="G21">
        <f>SUM(G14:G20)</f>
        <v>-86.8</v>
      </c>
    </row>
    <row r="23" spans="1:7" x14ac:dyDescent="0.3">
      <c r="D23" t="s">
        <v>53</v>
      </c>
      <c r="E23">
        <f>D14+(B18-F21)/G21</f>
        <v>5.4089861751152073</v>
      </c>
    </row>
    <row r="24" spans="1:7" x14ac:dyDescent="0.3">
      <c r="D24" s="4" t="s">
        <v>54</v>
      </c>
      <c r="E24" t="s">
        <v>48</v>
      </c>
      <c r="F24" t="s">
        <v>49</v>
      </c>
      <c r="G24" t="s">
        <v>50</v>
      </c>
    </row>
    <row r="25" spans="1:7" x14ac:dyDescent="0.3">
      <c r="D25">
        <v>5.4089861751152073</v>
      </c>
      <c r="E25">
        <f>1/(1+D25/(100*H4))</f>
        <v>0.94868572053117661</v>
      </c>
      <c r="F25">
        <f>F4*POWER(E25,G4*H4)</f>
        <v>56.921143231870595</v>
      </c>
      <c r="G25">
        <f>-1*0.01*E25*F25*G4</f>
        <v>-0.54000275780385465</v>
      </c>
    </row>
    <row r="26" spans="1:7" x14ac:dyDescent="0.3">
      <c r="D26">
        <v>5.4089861751152073</v>
      </c>
      <c r="E26">
        <f t="shared" ref="E26:E31" si="4">1/(1+D26/(100*H5))</f>
        <v>0.94868572053117661</v>
      </c>
      <c r="F26">
        <f t="shared" ref="F26:F31" si="5">F5*POWER(E26,G5*H5)</f>
        <v>54.000275780385465</v>
      </c>
      <c r="G26">
        <f t="shared" ref="G26:G31" si="6">-1*0.01*E26*F26*G5</f>
        <v>-1.0245858107519448</v>
      </c>
    </row>
    <row r="27" spans="1:7" x14ac:dyDescent="0.3">
      <c r="D27">
        <v>5.4089861751152073</v>
      </c>
      <c r="E27">
        <f t="shared" si="4"/>
        <v>0.94868572053117661</v>
      </c>
      <c r="F27">
        <f t="shared" si="5"/>
        <v>51.22929053759723</v>
      </c>
      <c r="G27">
        <f t="shared" si="6"/>
        <v>-1.4580148921788425</v>
      </c>
    </row>
    <row r="28" spans="1:7" x14ac:dyDescent="0.3">
      <c r="D28">
        <v>5.4089861751152073</v>
      </c>
      <c r="E28">
        <f t="shared" si="4"/>
        <v>0.94868572053117661</v>
      </c>
      <c r="F28">
        <f t="shared" si="5"/>
        <v>48.600496405961415</v>
      </c>
      <c r="G28">
        <f t="shared" si="6"/>
        <v>-1.8442638780424947</v>
      </c>
    </row>
    <row r="29" spans="1:7" x14ac:dyDescent="0.3">
      <c r="D29">
        <v>5.4089861751152073</v>
      </c>
      <c r="E29">
        <f t="shared" si="4"/>
        <v>0.94868572053117661</v>
      </c>
      <c r="F29">
        <f t="shared" si="5"/>
        <v>46.106596951062357</v>
      </c>
      <c r="G29">
        <f t="shared" si="6"/>
        <v>-2.1870335074879574</v>
      </c>
    </row>
    <row r="30" spans="1:7" x14ac:dyDescent="0.3">
      <c r="D30">
        <v>5.4089861751152073</v>
      </c>
      <c r="E30">
        <f t="shared" si="4"/>
        <v>0.94868572053117661</v>
      </c>
      <c r="F30">
        <f t="shared" si="5"/>
        <v>43.740670149759147</v>
      </c>
      <c r="G30">
        <f t="shared" si="6"/>
        <v>-2.4897689506524476</v>
      </c>
    </row>
    <row r="31" spans="1:7" x14ac:dyDescent="0.3">
      <c r="D31">
        <v>5.4089861751152073</v>
      </c>
      <c r="E31">
        <f t="shared" si="4"/>
        <v>0.94868572053117661</v>
      </c>
      <c r="F31">
        <f t="shared" si="5"/>
        <v>733.0986354698872</v>
      </c>
      <c r="G31">
        <f t="shared" si="6"/>
        <v>-48.683614504782064</v>
      </c>
    </row>
    <row r="32" spans="1:7" x14ac:dyDescent="0.3">
      <c r="E32" t="s">
        <v>52</v>
      </c>
      <c r="F32">
        <f>SUM(F25:F31)</f>
        <v>1033.6971085265234</v>
      </c>
      <c r="G32">
        <f>SUM(G25:G31)</f>
        <v>-58.227284301699605</v>
      </c>
    </row>
    <row r="34" spans="4:7" x14ac:dyDescent="0.3">
      <c r="D34" t="s">
        <v>55</v>
      </c>
      <c r="E34">
        <f>D25+(B18-F32)/G32</f>
        <v>6.837819917308039</v>
      </c>
    </row>
    <row r="35" spans="4:7" x14ac:dyDescent="0.3">
      <c r="D35" s="4" t="s">
        <v>56</v>
      </c>
      <c r="E35" t="s">
        <v>48</v>
      </c>
      <c r="F35" t="s">
        <v>49</v>
      </c>
      <c r="G35" t="s">
        <v>50</v>
      </c>
    </row>
    <row r="36" spans="4:7" x14ac:dyDescent="0.3">
      <c r="D36">
        <v>6.837819917308039</v>
      </c>
      <c r="E36">
        <f>1/(1+D36/(100*H4))</f>
        <v>0.93599813322098424</v>
      </c>
      <c r="F36">
        <f>F4*POWER(E36,G4*H4)</f>
        <v>56.159887993259055</v>
      </c>
      <c r="G36">
        <f>-1*0.01*E36*F36*G4</f>
        <v>-0.52565550323590049</v>
      </c>
    </row>
    <row r="37" spans="4:7" x14ac:dyDescent="0.3">
      <c r="D37">
        <v>6.837819917308039</v>
      </c>
      <c r="E37">
        <f t="shared" ref="E37:E42" si="7">1/(1+D37/(100*H5))</f>
        <v>0.93599813322098424</v>
      </c>
      <c r="F37">
        <f t="shared" ref="F37:F42" si="8">F5*POWER(E37,G5*H5)</f>
        <v>52.565550323590045</v>
      </c>
      <c r="G37">
        <f t="shared" ref="G37:G42" si="9">-1*0.01*E37*F37*G5</f>
        <v>-0.98402513949227977</v>
      </c>
    </row>
    <row r="38" spans="4:7" x14ac:dyDescent="0.3">
      <c r="D38">
        <v>6.837819917308039</v>
      </c>
      <c r="E38">
        <f t="shared" si="7"/>
        <v>0.93599813322098424</v>
      </c>
      <c r="F38">
        <f t="shared" si="8"/>
        <v>49.201256974613983</v>
      </c>
      <c r="G38">
        <f t="shared" si="9"/>
        <v>-1.3815685404109386</v>
      </c>
    </row>
    <row r="39" spans="4:7" x14ac:dyDescent="0.3">
      <c r="D39">
        <v>6.837819917308039</v>
      </c>
      <c r="E39">
        <f t="shared" si="7"/>
        <v>0.93599813322098424</v>
      </c>
      <c r="F39">
        <f t="shared" si="8"/>
        <v>46.052284680364629</v>
      </c>
      <c r="G39">
        <f t="shared" si="9"/>
        <v>-1.7241940996553051</v>
      </c>
    </row>
    <row r="40" spans="4:7" x14ac:dyDescent="0.3">
      <c r="D40">
        <v>6.837819917308039</v>
      </c>
      <c r="E40">
        <f t="shared" si="7"/>
        <v>0.93599813322098424</v>
      </c>
      <c r="F40">
        <f t="shared" si="8"/>
        <v>43.104852491382623</v>
      </c>
      <c r="G40">
        <f t="shared" si="9"/>
        <v>-2.0173030732350012</v>
      </c>
    </row>
    <row r="41" spans="4:7" x14ac:dyDescent="0.3">
      <c r="D41">
        <v>6.837819917308039</v>
      </c>
      <c r="E41">
        <f t="shared" si="7"/>
        <v>0.93599813322098424</v>
      </c>
      <c r="F41">
        <f t="shared" si="8"/>
        <v>40.346061464700028</v>
      </c>
      <c r="G41">
        <f t="shared" si="9"/>
        <v>-2.2658302928266991</v>
      </c>
    </row>
    <row r="42" spans="4:7" x14ac:dyDescent="0.3">
      <c r="D42">
        <v>6.837819917308039</v>
      </c>
      <c r="E42">
        <f t="shared" si="7"/>
        <v>0.93599813322098424</v>
      </c>
      <c r="F42">
        <f t="shared" si="8"/>
        <v>667.16114177675013</v>
      </c>
      <c r="G42">
        <f t="shared" si="9"/>
        <v>-43.712310828243297</v>
      </c>
    </row>
    <row r="43" spans="4:7" x14ac:dyDescent="0.3">
      <c r="E43" t="s">
        <v>52</v>
      </c>
      <c r="F43">
        <f>SUM(F36:F42)</f>
        <v>954.5910357046605</v>
      </c>
      <c r="G43">
        <f>SUM(G36:G42)</f>
        <v>-52.610887477099425</v>
      </c>
    </row>
    <row r="44" spans="4:7" x14ac:dyDescent="0.3">
      <c r="D44" t="s">
        <v>57</v>
      </c>
      <c r="E44">
        <f>D36+(B18-F43)/G43</f>
        <v>6.9155801662002716</v>
      </c>
    </row>
    <row r="45" spans="4:7" x14ac:dyDescent="0.3">
      <c r="D45" s="4" t="s">
        <v>58</v>
      </c>
      <c r="E45" t="s">
        <v>48</v>
      </c>
      <c r="F45" t="s">
        <v>49</v>
      </c>
      <c r="G45" t="s">
        <v>50</v>
      </c>
    </row>
    <row r="46" spans="4:7" x14ac:dyDescent="0.3">
      <c r="D46">
        <v>6.9155801662002716</v>
      </c>
      <c r="E46">
        <f>1/(1+D46/(100*H4))</f>
        <v>0.93531737698612316</v>
      </c>
      <c r="F46">
        <f>F4*POWER(E46,G4*H4)</f>
        <v>56.119042619167388</v>
      </c>
      <c r="G46">
        <f>-1*0.01*E46*F46*G4</f>
        <v>-0.524891157415321</v>
      </c>
    </row>
    <row r="47" spans="4:7" x14ac:dyDescent="0.3">
      <c r="D47">
        <v>6.9155801662002716</v>
      </c>
      <c r="E47">
        <f t="shared" ref="E47:E52" si="10">1/(1+D47/(100*H5))</f>
        <v>0.93531737698612316</v>
      </c>
      <c r="F47">
        <f t="shared" ref="F47:F52" si="11">F5*POWER(E47,G5*H5)</f>
        <v>52.489115741532103</v>
      </c>
      <c r="G47">
        <f t="shared" ref="G47:G52" si="12">-1*0.01*E47*F47*G5</f>
        <v>-0.98187964111381665</v>
      </c>
    </row>
    <row r="48" spans="4:7" x14ac:dyDescent="0.3">
      <c r="D48">
        <v>6.9155801662002716</v>
      </c>
      <c r="E48">
        <f t="shared" si="10"/>
        <v>0.93531737698612316</v>
      </c>
      <c r="F48">
        <f t="shared" si="11"/>
        <v>49.09398205569083</v>
      </c>
      <c r="G48">
        <f t="shared" si="12"/>
        <v>-1.3775536356639764</v>
      </c>
    </row>
    <row r="49" spans="4:7" x14ac:dyDescent="0.3">
      <c r="D49">
        <v>6.9155801662002716</v>
      </c>
      <c r="E49">
        <f t="shared" si="10"/>
        <v>0.93531737698612316</v>
      </c>
      <c r="F49">
        <f t="shared" si="11"/>
        <v>45.918454522132549</v>
      </c>
      <c r="G49">
        <f t="shared" si="12"/>
        <v>-1.7179331375559039</v>
      </c>
    </row>
    <row r="50" spans="4:7" x14ac:dyDescent="0.3">
      <c r="D50">
        <v>6.9155801662002716</v>
      </c>
      <c r="E50">
        <f t="shared" si="10"/>
        <v>0.93531737698612316</v>
      </c>
      <c r="F50">
        <f t="shared" si="11"/>
        <v>42.948328438897605</v>
      </c>
      <c r="G50">
        <f t="shared" si="12"/>
        <v>-2.0085158950704112</v>
      </c>
    </row>
    <row r="51" spans="4:7" x14ac:dyDescent="0.3">
      <c r="D51">
        <v>6.9155801662002716</v>
      </c>
      <c r="E51">
        <f t="shared" si="10"/>
        <v>0.93531737698612316</v>
      </c>
      <c r="F51">
        <f t="shared" si="11"/>
        <v>40.170317901408225</v>
      </c>
      <c r="G51">
        <f t="shared" si="12"/>
        <v>-2.254319782334631</v>
      </c>
    </row>
    <row r="52" spans="4:7" x14ac:dyDescent="0.3">
      <c r="D52">
        <v>6.9155801662002716</v>
      </c>
      <c r="E52">
        <f t="shared" si="10"/>
        <v>0.93531737698612316</v>
      </c>
      <c r="F52">
        <f t="shared" si="11"/>
        <v>663.77193590964134</v>
      </c>
      <c r="G52">
        <f t="shared" si="12"/>
        <v>-43.458619820840475</v>
      </c>
    </row>
    <row r="53" spans="4:7" x14ac:dyDescent="0.3">
      <c r="E53" t="s">
        <v>52</v>
      </c>
      <c r="F53">
        <f>SUM(F46:F52)</f>
        <v>950.51117718847001</v>
      </c>
      <c r="G53">
        <f>SUM(G46:G52)</f>
        <v>-52.32371306999454</v>
      </c>
    </row>
    <row r="55" spans="4:7" x14ac:dyDescent="0.3">
      <c r="D55" t="s">
        <v>59</v>
      </c>
      <c r="E55">
        <f>D46+(B18-F53)/G53</f>
        <v>6.9157937823183602</v>
      </c>
    </row>
    <row r="56" spans="4:7" x14ac:dyDescent="0.3">
      <c r="D56" s="4" t="s">
        <v>60</v>
      </c>
      <c r="E56" t="s">
        <v>48</v>
      </c>
      <c r="F56" t="s">
        <v>49</v>
      </c>
      <c r="G56" t="s">
        <v>50</v>
      </c>
    </row>
    <row r="57" spans="4:7" x14ac:dyDescent="0.3">
      <c r="D57">
        <v>6.9157937823183602</v>
      </c>
      <c r="E57">
        <f>1/(1+D57/(100*H4))</f>
        <v>0.93531550823633225</v>
      </c>
      <c r="F57">
        <f>F4*POWER(E57,G4*H4)</f>
        <v>56.118930494179935</v>
      </c>
      <c r="G57">
        <f>-1*0.01*E57*F57*G4</f>
        <v>-0.52488905996843316</v>
      </c>
    </row>
    <row r="58" spans="4:7" x14ac:dyDescent="0.3">
      <c r="D58">
        <v>6.9157937823183602</v>
      </c>
      <c r="E58">
        <f t="shared" ref="E58:E63" si="13">1/(1+D58/(100*H5))</f>
        <v>0.93531550823633225</v>
      </c>
      <c r="F58">
        <f t="shared" ref="F58:F63" si="14">F5*POWER(E58,G5*H5)</f>
        <v>52.488905996843307</v>
      </c>
      <c r="G58">
        <f t="shared" ref="G58:G63" si="15">-1*0.01*E58*F58*G5</f>
        <v>-0.98187375578413139</v>
      </c>
    </row>
    <row r="59" spans="4:7" x14ac:dyDescent="0.3">
      <c r="D59">
        <v>6.9157937823183602</v>
      </c>
      <c r="E59">
        <f t="shared" si="13"/>
        <v>0.93531550823633225</v>
      </c>
      <c r="F59">
        <f t="shared" si="14"/>
        <v>49.09368778920657</v>
      </c>
      <c r="G59">
        <f t="shared" si="15"/>
        <v>-1.3775426263727268</v>
      </c>
    </row>
    <row r="60" spans="4:7" x14ac:dyDescent="0.3">
      <c r="D60">
        <v>6.9157937823183602</v>
      </c>
      <c r="E60">
        <f t="shared" si="13"/>
        <v>0.93531550823633225</v>
      </c>
      <c r="F60">
        <f t="shared" si="14"/>
        <v>45.918087545757558</v>
      </c>
      <c r="G60">
        <f t="shared" si="15"/>
        <v>-1.7179159756040252</v>
      </c>
    </row>
    <row r="61" spans="4:7" x14ac:dyDescent="0.3">
      <c r="D61">
        <v>6.9157937823183602</v>
      </c>
      <c r="E61">
        <f t="shared" si="13"/>
        <v>0.93531550823633225</v>
      </c>
      <c r="F61">
        <f t="shared" si="14"/>
        <v>42.947899390100631</v>
      </c>
      <c r="G61">
        <f t="shared" si="15"/>
        <v>-2.0084918172867421</v>
      </c>
    </row>
    <row r="62" spans="4:7" x14ac:dyDescent="0.3">
      <c r="D62">
        <v>6.9157937823183602</v>
      </c>
      <c r="E62">
        <f t="shared" si="13"/>
        <v>0.93531550823633225</v>
      </c>
      <c r="F62">
        <f t="shared" si="14"/>
        <v>40.169836345734836</v>
      </c>
      <c r="G62">
        <f t="shared" si="15"/>
        <v>-2.2542882538488764</v>
      </c>
    </row>
    <row r="63" spans="4:7" x14ac:dyDescent="0.3">
      <c r="D63">
        <v>6.9157937823183602</v>
      </c>
      <c r="E63">
        <f t="shared" si="13"/>
        <v>0.93531550823633225</v>
      </c>
      <c r="F63">
        <f t="shared" si="14"/>
        <v>663.76265252216911</v>
      </c>
      <c r="G63">
        <f t="shared" si="15"/>
        <v>-43.457925188444804</v>
      </c>
    </row>
    <row r="64" spans="4:7" x14ac:dyDescent="0.3">
      <c r="E64" t="s">
        <v>52</v>
      </c>
      <c r="F64">
        <f>SUM(F57:F63)</f>
        <v>950.50000008399195</v>
      </c>
      <c r="G64">
        <f>SUM(G57:G63)</f>
        <v>-52.322926677309738</v>
      </c>
    </row>
    <row r="65" spans="3:8" x14ac:dyDescent="0.3">
      <c r="C65" s="13"/>
      <c r="D65" s="13"/>
      <c r="E65" s="13"/>
      <c r="F65" s="13"/>
      <c r="G65" s="13"/>
      <c r="H65" s="13"/>
    </row>
    <row r="66" spans="3:8" x14ac:dyDescent="0.3">
      <c r="C66" s="13"/>
      <c r="D66" s="107" t="s">
        <v>63</v>
      </c>
      <c r="E66" s="107"/>
      <c r="F66" s="13">
        <f>E55</f>
        <v>6.9157937823183602</v>
      </c>
      <c r="G66" s="13"/>
      <c r="H66" s="13"/>
    </row>
    <row r="67" spans="3:8" x14ac:dyDescent="0.3">
      <c r="C67" s="13"/>
      <c r="D67" s="13"/>
      <c r="E67" s="13"/>
      <c r="F67" s="13"/>
      <c r="G67" s="13"/>
      <c r="H67" s="13"/>
    </row>
    <row r="68" spans="3:8" x14ac:dyDescent="0.3">
      <c r="C68" s="13"/>
      <c r="D68" s="13"/>
      <c r="E68" s="13"/>
      <c r="F68" s="13"/>
      <c r="G68" s="13"/>
      <c r="H68" s="13"/>
    </row>
  </sheetData>
  <mergeCells count="1">
    <mergeCell ref="D66:E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B757-F45B-476C-8CDB-C321B47FCCBD}">
  <dimension ref="A1:J84"/>
  <sheetViews>
    <sheetView workbookViewId="0">
      <selection activeCell="B7" sqref="B7"/>
    </sheetView>
  </sheetViews>
  <sheetFormatPr defaultRowHeight="14.4" x14ac:dyDescent="0.3"/>
  <cols>
    <col min="1" max="1" width="22.6640625" bestFit="1" customWidth="1"/>
    <col min="2" max="2" width="19.6640625" bestFit="1" customWidth="1"/>
    <col min="3" max="3" width="17.33203125" bestFit="1" customWidth="1"/>
    <col min="4" max="4" width="17.6640625" customWidth="1"/>
    <col min="5" max="5" width="14.33203125" bestFit="1" customWidth="1"/>
    <col min="7" max="7" width="12" bestFit="1" customWidth="1"/>
    <col min="9" max="9" width="21" style="18" bestFit="1" customWidth="1"/>
    <col min="10" max="10" width="16.6640625" style="18" bestFit="1" customWidth="1"/>
  </cols>
  <sheetData>
    <row r="1" spans="1:10" ht="78" x14ac:dyDescent="0.3">
      <c r="A1" s="18"/>
      <c r="B1" s="18" t="s">
        <v>75</v>
      </c>
      <c r="C1" s="18" t="s">
        <v>76</v>
      </c>
      <c r="D1" s="18" t="s">
        <v>77</v>
      </c>
      <c r="I1" s="54" t="s">
        <v>78</v>
      </c>
    </row>
    <row r="2" spans="1:10" x14ac:dyDescent="0.3">
      <c r="A2" s="18"/>
      <c r="B2" s="18" t="s">
        <v>79</v>
      </c>
      <c r="C2" s="18" t="s">
        <v>80</v>
      </c>
      <c r="D2" s="18" t="s">
        <v>81</v>
      </c>
    </row>
    <row r="3" spans="1:10" x14ac:dyDescent="0.3">
      <c r="A3" s="18" t="s">
        <v>32</v>
      </c>
      <c r="B3" s="55">
        <f>DATE(2021,12,31)</f>
        <v>44561</v>
      </c>
      <c r="C3" s="55">
        <f t="shared" ref="C3:D3" si="0">DATE(2021,12,31)</f>
        <v>44561</v>
      </c>
      <c r="D3" s="55">
        <f t="shared" si="0"/>
        <v>44561</v>
      </c>
      <c r="H3" s="18"/>
      <c r="I3" s="18" t="s">
        <v>32</v>
      </c>
      <c r="J3" s="55">
        <f>DATE(2021,12,31)</f>
        <v>44561</v>
      </c>
    </row>
    <row r="4" spans="1:10" x14ac:dyDescent="0.3">
      <c r="A4" s="18" t="s">
        <v>37</v>
      </c>
      <c r="B4" s="55">
        <f>DATE(2031,12,31)</f>
        <v>48213</v>
      </c>
      <c r="C4" s="55">
        <f t="shared" ref="C4:D4" si="1">DATE(2031,12,31)</f>
        <v>48213</v>
      </c>
      <c r="D4" s="55">
        <f t="shared" si="1"/>
        <v>48213</v>
      </c>
      <c r="H4" s="18"/>
      <c r="I4" s="18" t="s">
        <v>37</v>
      </c>
      <c r="J4" s="55">
        <f>DATE(2031,12,31)</f>
        <v>48213</v>
      </c>
    </row>
    <row r="5" spans="1:10" x14ac:dyDescent="0.3">
      <c r="A5" s="18"/>
      <c r="B5" s="108">
        <v>10</v>
      </c>
      <c r="C5" s="108"/>
      <c r="D5" s="108"/>
      <c r="E5" t="s">
        <v>82</v>
      </c>
      <c r="F5">
        <v>10</v>
      </c>
      <c r="I5" s="18" t="s">
        <v>39</v>
      </c>
      <c r="J5" s="18">
        <v>1</v>
      </c>
    </row>
    <row r="6" spans="1:10" x14ac:dyDescent="0.3">
      <c r="A6" s="18" t="s">
        <v>83</v>
      </c>
      <c r="B6" s="55">
        <f>DATE(2022,12,31)</f>
        <v>44926</v>
      </c>
      <c r="C6" s="55">
        <f>DATE(2022,12,31)</f>
        <v>44926</v>
      </c>
      <c r="D6" s="55">
        <f>DATE(2022,12,31)</f>
        <v>44926</v>
      </c>
      <c r="I6" s="18" t="s">
        <v>40</v>
      </c>
      <c r="J6" s="56">
        <v>950</v>
      </c>
    </row>
    <row r="7" spans="1:10" x14ac:dyDescent="0.3">
      <c r="A7" s="18" t="s">
        <v>84</v>
      </c>
      <c r="B7" s="18">
        <v>104</v>
      </c>
      <c r="C7" s="18">
        <v>104</v>
      </c>
      <c r="D7" s="18">
        <v>104</v>
      </c>
      <c r="I7" s="18" t="s">
        <v>41</v>
      </c>
      <c r="J7" s="55">
        <v>44926</v>
      </c>
    </row>
    <row r="8" spans="1:10" x14ac:dyDescent="0.3">
      <c r="A8" s="18"/>
      <c r="B8" s="108" t="s">
        <v>85</v>
      </c>
      <c r="C8" s="108"/>
      <c r="D8" s="108"/>
      <c r="I8" s="18" t="s">
        <v>42</v>
      </c>
      <c r="J8" s="55">
        <v>48213</v>
      </c>
    </row>
    <row r="9" spans="1:10" x14ac:dyDescent="0.3">
      <c r="A9" s="18" t="s">
        <v>4</v>
      </c>
      <c r="B9" s="56">
        <v>1000</v>
      </c>
      <c r="C9" s="56">
        <v>1000</v>
      </c>
      <c r="D9" s="56">
        <v>1000</v>
      </c>
      <c r="I9" s="18" t="s">
        <v>43</v>
      </c>
      <c r="J9" s="18" t="s">
        <v>44</v>
      </c>
    </row>
    <row r="10" spans="1:10" x14ac:dyDescent="0.3">
      <c r="A10" s="18" t="s">
        <v>86</v>
      </c>
      <c r="B10" s="56">
        <v>950</v>
      </c>
      <c r="C10" s="56">
        <v>1000</v>
      </c>
      <c r="D10" s="56">
        <v>1050</v>
      </c>
      <c r="I10" s="18" t="s">
        <v>45</v>
      </c>
      <c r="J10" s="56">
        <v>60</v>
      </c>
    </row>
    <row r="11" spans="1:10" x14ac:dyDescent="0.3">
      <c r="A11" s="18" t="s">
        <v>87</v>
      </c>
      <c r="B11" s="18">
        <f>B10/B9*100</f>
        <v>95</v>
      </c>
      <c r="C11" s="18">
        <f>C10/C9*100</f>
        <v>100</v>
      </c>
      <c r="D11" s="18">
        <f>D10/D9*100</f>
        <v>105</v>
      </c>
      <c r="I11" s="18" t="s">
        <v>46</v>
      </c>
      <c r="J11" s="18">
        <f>((31-31)+30*(12-12)+360*(1))/360</f>
        <v>1</v>
      </c>
    </row>
    <row r="12" spans="1:10" x14ac:dyDescent="0.3">
      <c r="A12" s="18"/>
      <c r="B12" s="18"/>
      <c r="C12" s="18"/>
      <c r="D12" s="18"/>
    </row>
    <row r="13" spans="1:10" x14ac:dyDescent="0.3">
      <c r="A13" s="18" t="s">
        <v>39</v>
      </c>
      <c r="B13" s="18">
        <v>1</v>
      </c>
      <c r="C13" s="18">
        <v>1</v>
      </c>
      <c r="D13" s="18">
        <v>1</v>
      </c>
    </row>
    <row r="14" spans="1:10" x14ac:dyDescent="0.3">
      <c r="A14" s="18" t="s">
        <v>88</v>
      </c>
      <c r="B14" s="20">
        <v>0.06</v>
      </c>
      <c r="C14" s="20">
        <v>0.06</v>
      </c>
      <c r="D14" s="20">
        <v>0.06</v>
      </c>
      <c r="G14" t="s">
        <v>33</v>
      </c>
      <c r="H14" t="s">
        <v>34</v>
      </c>
      <c r="I14" s="18" t="s">
        <v>35</v>
      </c>
      <c r="J14" s="18" t="s">
        <v>36</v>
      </c>
    </row>
    <row r="15" spans="1:10" x14ac:dyDescent="0.3">
      <c r="A15" s="18" t="s">
        <v>89</v>
      </c>
      <c r="B15" s="56">
        <f>B14*B9</f>
        <v>60</v>
      </c>
      <c r="C15" s="56">
        <f>C14*C9</f>
        <v>60</v>
      </c>
      <c r="D15" s="56">
        <f>D14*D9</f>
        <v>60</v>
      </c>
      <c r="G15" s="4">
        <v>44926</v>
      </c>
      <c r="H15" s="2">
        <v>60</v>
      </c>
      <c r="I15" s="18">
        <v>1</v>
      </c>
      <c r="J15" s="18">
        <v>1</v>
      </c>
    </row>
    <row r="16" spans="1:10" x14ac:dyDescent="0.3">
      <c r="A16" s="18"/>
      <c r="B16" s="18"/>
      <c r="C16" s="18"/>
      <c r="D16" s="18"/>
      <c r="G16" s="4">
        <v>45291</v>
      </c>
      <c r="H16" s="2">
        <v>60</v>
      </c>
      <c r="I16" s="18">
        <f>I15+1</f>
        <v>2</v>
      </c>
      <c r="J16" s="18">
        <v>1</v>
      </c>
    </row>
    <row r="17" spans="1:10" x14ac:dyDescent="0.3">
      <c r="A17" s="18" t="s">
        <v>90</v>
      </c>
      <c r="B17" s="18">
        <f>YIELD(B3,B4,B14,B11,100,B13)*100</f>
        <v>6.7021167612725199</v>
      </c>
      <c r="C17" s="18">
        <f>YIELD(C3,C4,C14,C11,100,C13)*100</f>
        <v>6</v>
      </c>
      <c r="D17" s="18">
        <f>YIELD(D3,D4,D14,D11,100,D13)*100</f>
        <v>5.3416889600363682</v>
      </c>
      <c r="G17" s="4">
        <v>45657</v>
      </c>
      <c r="H17" s="2">
        <v>60</v>
      </c>
      <c r="I17" s="18">
        <f t="shared" ref="I17:I24" si="2">I16+1</f>
        <v>3</v>
      </c>
      <c r="J17" s="18">
        <v>1</v>
      </c>
    </row>
    <row r="18" spans="1:10" x14ac:dyDescent="0.3">
      <c r="A18" s="18" t="s">
        <v>91</v>
      </c>
      <c r="B18" s="18">
        <f>YIELD(B3,B6,B14,B11,B7,B13)*100</f>
        <v>15.789473684210542</v>
      </c>
      <c r="C18" s="18">
        <f>YIELD(C3,C6,C14,C11,C7,C13)*100</f>
        <v>10.000000000000009</v>
      </c>
      <c r="D18" s="18">
        <f>YIELD(D3,D6,D14,D11,D7,D13)*100</f>
        <v>4.7619047619047654</v>
      </c>
      <c r="G18" s="4">
        <v>46022</v>
      </c>
      <c r="H18" s="2">
        <v>60</v>
      </c>
      <c r="I18" s="18">
        <f t="shared" si="2"/>
        <v>4</v>
      </c>
      <c r="J18" s="18">
        <v>1</v>
      </c>
    </row>
    <row r="19" spans="1:10" x14ac:dyDescent="0.3">
      <c r="A19" s="18" t="s">
        <v>92</v>
      </c>
      <c r="B19" s="18">
        <f>MIN(B17,B18)</f>
        <v>6.7021167612725199</v>
      </c>
      <c r="C19" s="18">
        <f>MIN(C17,C18)</f>
        <v>6</v>
      </c>
      <c r="D19" s="18">
        <f>MIN(D17,D18)</f>
        <v>4.7619047619047654</v>
      </c>
      <c r="G19" s="4">
        <v>46387</v>
      </c>
      <c r="H19" s="2">
        <v>60</v>
      </c>
      <c r="I19" s="18">
        <f t="shared" si="2"/>
        <v>5</v>
      </c>
      <c r="J19" s="18">
        <v>1</v>
      </c>
    </row>
    <row r="20" spans="1:10" x14ac:dyDescent="0.3">
      <c r="A20" s="18"/>
      <c r="B20" s="18" t="s">
        <v>93</v>
      </c>
      <c r="C20" s="18" t="s">
        <v>93</v>
      </c>
      <c r="D20" s="18" t="s">
        <v>94</v>
      </c>
      <c r="G20" s="4">
        <v>46752</v>
      </c>
      <c r="H20" s="2">
        <v>60</v>
      </c>
      <c r="I20" s="18">
        <f t="shared" si="2"/>
        <v>6</v>
      </c>
      <c r="J20" s="18">
        <v>1</v>
      </c>
    </row>
    <row r="21" spans="1:10" x14ac:dyDescent="0.3">
      <c r="A21" s="18"/>
      <c r="B21" s="18" t="s">
        <v>95</v>
      </c>
      <c r="C21" s="18" t="s">
        <v>95</v>
      </c>
      <c r="D21" s="18" t="s">
        <v>96</v>
      </c>
      <c r="G21" s="4">
        <v>47118</v>
      </c>
      <c r="H21" s="2">
        <v>60</v>
      </c>
      <c r="I21" s="18">
        <f t="shared" si="2"/>
        <v>7</v>
      </c>
      <c r="J21" s="18">
        <v>1</v>
      </c>
    </row>
    <row r="22" spans="1:10" x14ac:dyDescent="0.3">
      <c r="A22" s="18" t="s">
        <v>97</v>
      </c>
      <c r="B22" s="18" t="s">
        <v>98</v>
      </c>
      <c r="C22" s="18" t="s">
        <v>98</v>
      </c>
      <c r="D22" s="18" t="s">
        <v>99</v>
      </c>
      <c r="G22" s="4">
        <v>47483</v>
      </c>
      <c r="H22" s="2">
        <v>60</v>
      </c>
      <c r="I22" s="18">
        <f t="shared" si="2"/>
        <v>8</v>
      </c>
      <c r="J22" s="18">
        <v>1</v>
      </c>
    </row>
    <row r="23" spans="1:10" x14ac:dyDescent="0.3">
      <c r="G23" s="4">
        <v>47848</v>
      </c>
      <c r="H23" s="2">
        <v>60</v>
      </c>
      <c r="I23" s="18">
        <f t="shared" si="2"/>
        <v>9</v>
      </c>
      <c r="J23" s="18">
        <v>1</v>
      </c>
    </row>
    <row r="24" spans="1:10" x14ac:dyDescent="0.3">
      <c r="G24" s="4">
        <v>48213</v>
      </c>
      <c r="H24" s="2">
        <f>950+60</f>
        <v>1010</v>
      </c>
      <c r="I24" s="18">
        <f t="shared" si="2"/>
        <v>10</v>
      </c>
      <c r="J24" s="18">
        <v>1</v>
      </c>
    </row>
    <row r="25" spans="1:10" x14ac:dyDescent="0.3">
      <c r="G25" s="4"/>
    </row>
    <row r="26" spans="1:10" x14ac:dyDescent="0.3">
      <c r="B26" s="3"/>
      <c r="C26" s="3"/>
      <c r="D26" s="3"/>
      <c r="G26" s="4"/>
    </row>
    <row r="27" spans="1:10" x14ac:dyDescent="0.3">
      <c r="A27" s="53" t="s">
        <v>100</v>
      </c>
      <c r="B27" s="57" t="s">
        <v>48</v>
      </c>
      <c r="C27" s="58" t="s">
        <v>49</v>
      </c>
      <c r="D27" s="58" t="s">
        <v>50</v>
      </c>
      <c r="G27" s="4"/>
    </row>
    <row r="28" spans="1:10" x14ac:dyDescent="0.3">
      <c r="A28" s="53">
        <v>0</v>
      </c>
      <c r="B28" s="53">
        <f>1/(1+A28/(100*J15))</f>
        <v>1</v>
      </c>
      <c r="C28" s="59">
        <f>H15*POWER(B28,I15*J15)</f>
        <v>60</v>
      </c>
      <c r="D28" s="58">
        <f>-1*0.01*B28*C28*I15</f>
        <v>-0.6</v>
      </c>
    </row>
    <row r="29" spans="1:10" x14ac:dyDescent="0.3">
      <c r="A29" s="53">
        <v>0</v>
      </c>
      <c r="B29" s="53">
        <f t="shared" ref="B29:B37" si="3">1/(1+A29/(100*J16))</f>
        <v>1</v>
      </c>
      <c r="C29" s="59">
        <f t="shared" ref="C29:C37" si="4">H16*POWER(B29,I16*J16)</f>
        <v>60</v>
      </c>
      <c r="D29" s="58">
        <f t="shared" ref="D29:D37" si="5">-1*0.01*B29*C29*I16</f>
        <v>-1.2</v>
      </c>
    </row>
    <row r="30" spans="1:10" x14ac:dyDescent="0.3">
      <c r="A30" s="53">
        <v>0</v>
      </c>
      <c r="B30" s="53">
        <f t="shared" si="3"/>
        <v>1</v>
      </c>
      <c r="C30" s="59">
        <f t="shared" si="4"/>
        <v>60</v>
      </c>
      <c r="D30" s="58">
        <f t="shared" si="5"/>
        <v>-1.7999999999999998</v>
      </c>
    </row>
    <row r="31" spans="1:10" x14ac:dyDescent="0.3">
      <c r="A31" s="53">
        <v>0</v>
      </c>
      <c r="B31" s="53">
        <f t="shared" si="3"/>
        <v>1</v>
      </c>
      <c r="C31" s="59">
        <f t="shared" si="4"/>
        <v>60</v>
      </c>
      <c r="D31" s="58">
        <f t="shared" si="5"/>
        <v>-2.4</v>
      </c>
    </row>
    <row r="32" spans="1:10" x14ac:dyDescent="0.3">
      <c r="A32" s="53">
        <v>0</v>
      </c>
      <c r="B32" s="53">
        <f t="shared" si="3"/>
        <v>1</v>
      </c>
      <c r="C32" s="59">
        <f t="shared" si="4"/>
        <v>60</v>
      </c>
      <c r="D32" s="58">
        <f t="shared" si="5"/>
        <v>-3</v>
      </c>
    </row>
    <row r="33" spans="1:4" x14ac:dyDescent="0.3">
      <c r="A33" s="53">
        <v>0</v>
      </c>
      <c r="B33" s="53">
        <f t="shared" si="3"/>
        <v>1</v>
      </c>
      <c r="C33" s="59">
        <f t="shared" si="4"/>
        <v>60</v>
      </c>
      <c r="D33" s="58">
        <f t="shared" si="5"/>
        <v>-3.5999999999999996</v>
      </c>
    </row>
    <row r="34" spans="1:4" x14ac:dyDescent="0.3">
      <c r="A34" s="53">
        <v>0</v>
      </c>
      <c r="B34" s="53">
        <f t="shared" si="3"/>
        <v>1</v>
      </c>
      <c r="C34" s="59">
        <f t="shared" si="4"/>
        <v>60</v>
      </c>
      <c r="D34" s="58">
        <f t="shared" si="5"/>
        <v>-4.2</v>
      </c>
    </row>
    <row r="35" spans="1:4" x14ac:dyDescent="0.3">
      <c r="A35" s="53">
        <v>0</v>
      </c>
      <c r="B35" s="53">
        <f t="shared" si="3"/>
        <v>1</v>
      </c>
      <c r="C35" s="59">
        <f t="shared" si="4"/>
        <v>60</v>
      </c>
      <c r="D35" s="58">
        <f t="shared" si="5"/>
        <v>-4.8</v>
      </c>
    </row>
    <row r="36" spans="1:4" x14ac:dyDescent="0.3">
      <c r="A36" s="53">
        <v>0</v>
      </c>
      <c r="B36" s="53">
        <f t="shared" si="3"/>
        <v>1</v>
      </c>
      <c r="C36" s="59">
        <f t="shared" si="4"/>
        <v>60</v>
      </c>
      <c r="D36" s="58">
        <f t="shared" si="5"/>
        <v>-5.3999999999999995</v>
      </c>
    </row>
    <row r="37" spans="1:4" x14ac:dyDescent="0.3">
      <c r="A37" s="53">
        <v>0</v>
      </c>
      <c r="B37" s="53">
        <f t="shared" si="3"/>
        <v>1</v>
      </c>
      <c r="C37" s="59">
        <f t="shared" si="4"/>
        <v>1010</v>
      </c>
      <c r="D37" s="58">
        <f t="shared" si="5"/>
        <v>-101</v>
      </c>
    </row>
    <row r="38" spans="1:4" x14ac:dyDescent="0.3">
      <c r="A38" s="53"/>
      <c r="B38" s="53" t="s">
        <v>52</v>
      </c>
      <c r="C38" s="59">
        <f>SUM(C28:C37)</f>
        <v>1550</v>
      </c>
      <c r="D38" s="58">
        <f>SUM(D28:D37)</f>
        <v>-128</v>
      </c>
    </row>
    <row r="40" spans="1:4" x14ac:dyDescent="0.3">
      <c r="A40">
        <f>A28+(J6-C38)/D38</f>
        <v>4.6875</v>
      </c>
    </row>
    <row r="41" spans="1:4" x14ac:dyDescent="0.3">
      <c r="A41" s="53" t="s">
        <v>54</v>
      </c>
      <c r="B41" s="57" t="s">
        <v>48</v>
      </c>
      <c r="C41" s="58" t="s">
        <v>49</v>
      </c>
      <c r="D41" s="58" t="s">
        <v>50</v>
      </c>
    </row>
    <row r="42" spans="1:4" x14ac:dyDescent="0.3">
      <c r="A42" s="53">
        <v>4.6875</v>
      </c>
      <c r="B42" s="53">
        <f>1/(1+A42/(100*J15))</f>
        <v>0.95522388059701491</v>
      </c>
      <c r="C42" s="59">
        <f>H15*POWER(B42,I15*J15)</f>
        <v>57.313432835820898</v>
      </c>
      <c r="D42" s="58">
        <f>-1*0.01*C42*B42*I15</f>
        <v>-0.54747159723769212</v>
      </c>
    </row>
    <row r="43" spans="1:4" x14ac:dyDescent="0.3">
      <c r="A43" s="53">
        <v>4.6875</v>
      </c>
      <c r="B43" s="53">
        <f t="shared" ref="B43:B51" si="6">1/(1+A43/(100*J16))</f>
        <v>0.95522388059701491</v>
      </c>
      <c r="C43" s="59">
        <f t="shared" ref="C43:C51" si="7">H16*POWER(B43,I16*J16)</f>
        <v>54.747159723769208</v>
      </c>
      <c r="D43" s="58">
        <f t="shared" ref="D43:D51" si="8">-1*0.01*C43*B43*I16</f>
        <v>-1.0459158872600685</v>
      </c>
    </row>
    <row r="44" spans="1:4" x14ac:dyDescent="0.3">
      <c r="A44" s="53">
        <v>4.6875</v>
      </c>
      <c r="B44" s="53">
        <f t="shared" si="6"/>
        <v>0.95522388059701491</v>
      </c>
      <c r="C44" s="59">
        <f t="shared" si="7"/>
        <v>52.295794363003424</v>
      </c>
      <c r="D44" s="58">
        <f t="shared" si="8"/>
        <v>-1.4986257489099488</v>
      </c>
    </row>
    <row r="45" spans="1:4" x14ac:dyDescent="0.3">
      <c r="A45" s="53">
        <v>4.6875</v>
      </c>
      <c r="B45" s="53">
        <f t="shared" si="6"/>
        <v>0.95522388059701491</v>
      </c>
      <c r="C45" s="59">
        <f t="shared" si="7"/>
        <v>49.954191630331621</v>
      </c>
      <c r="D45" s="58">
        <f t="shared" si="8"/>
        <v>-1.9086974712484919</v>
      </c>
    </row>
    <row r="46" spans="1:4" x14ac:dyDescent="0.3">
      <c r="A46" s="53">
        <v>4.6875</v>
      </c>
      <c r="B46" s="53">
        <f t="shared" si="6"/>
        <v>0.95522388059701491</v>
      </c>
      <c r="C46" s="59">
        <f t="shared" si="7"/>
        <v>47.717436781212299</v>
      </c>
      <c r="D46" s="58">
        <f t="shared" si="8"/>
        <v>-2.2790417567146175</v>
      </c>
    </row>
    <row r="47" spans="1:4" x14ac:dyDescent="0.3">
      <c r="A47" s="53">
        <v>4.6875</v>
      </c>
      <c r="B47" s="53">
        <f t="shared" si="6"/>
        <v>0.95522388059701491</v>
      </c>
      <c r="C47" s="59">
        <f t="shared" si="7"/>
        <v>45.580835134292343</v>
      </c>
      <c r="D47" s="58">
        <f t="shared" si="8"/>
        <v>-2.6123941330698894</v>
      </c>
    </row>
    <row r="48" spans="1:4" x14ac:dyDescent="0.3">
      <c r="A48" s="53">
        <v>4.6875</v>
      </c>
      <c r="B48" s="53">
        <f t="shared" si="6"/>
        <v>0.95522388059701491</v>
      </c>
      <c r="C48" s="59">
        <f t="shared" si="7"/>
        <v>43.539902217831489</v>
      </c>
      <c r="D48" s="58">
        <f t="shared" si="8"/>
        <v>-2.9113248050132099</v>
      </c>
    </row>
    <row r="49" spans="1:4" x14ac:dyDescent="0.3">
      <c r="A49" s="53">
        <v>4.6875</v>
      </c>
      <c r="B49" s="53">
        <f t="shared" si="6"/>
        <v>0.95522388059701491</v>
      </c>
      <c r="C49" s="59">
        <f t="shared" si="7"/>
        <v>41.59035435733157</v>
      </c>
      <c r="D49" s="58">
        <f t="shared" si="8"/>
        <v>-3.1782479747692185</v>
      </c>
    </row>
    <row r="50" spans="1:4" x14ac:dyDescent="0.3">
      <c r="A50" s="53">
        <v>4.6875</v>
      </c>
      <c r="B50" s="53">
        <f t="shared" si="6"/>
        <v>0.95522388059701491</v>
      </c>
      <c r="C50" s="59">
        <f t="shared" si="7"/>
        <v>39.728099684615231</v>
      </c>
      <c r="D50" s="58">
        <f t="shared" si="8"/>
        <v>-3.4154306594534884</v>
      </c>
    </row>
    <row r="51" spans="1:4" x14ac:dyDescent="0.3">
      <c r="A51" s="53">
        <v>4.6875</v>
      </c>
      <c r="B51" s="53">
        <f t="shared" si="6"/>
        <v>0.95522388059701491</v>
      </c>
      <c r="C51" s="59">
        <f t="shared" si="7"/>
        <v>638.81203074963389</v>
      </c>
      <c r="D51" s="58">
        <f t="shared" si="8"/>
        <v>-61.020850698472493</v>
      </c>
    </row>
    <row r="52" spans="1:4" x14ac:dyDescent="0.3">
      <c r="A52" s="53"/>
      <c r="B52" s="53" t="s">
        <v>52</v>
      </c>
      <c r="C52" s="59">
        <f>SUM(C42:C51)</f>
        <v>1071.2792374778419</v>
      </c>
      <c r="D52" s="58">
        <f>SUM(D42:D51)</f>
        <v>-80.418000732149125</v>
      </c>
    </row>
    <row r="54" spans="1:4" x14ac:dyDescent="0.3">
      <c r="A54">
        <f>A40+(J6-C52)/D52</f>
        <v>6.1956105769066632</v>
      </c>
    </row>
    <row r="55" spans="1:4" x14ac:dyDescent="0.3">
      <c r="A55" s="53" t="s">
        <v>54</v>
      </c>
      <c r="B55" s="57" t="s">
        <v>48</v>
      </c>
      <c r="C55" s="58" t="s">
        <v>49</v>
      </c>
      <c r="D55" s="58" t="s">
        <v>50</v>
      </c>
    </row>
    <row r="56" spans="1:4" x14ac:dyDescent="0.3">
      <c r="A56" s="53">
        <v>6.1956105769066632</v>
      </c>
      <c r="B56" s="53">
        <f>1/(1+A56/(100*J15))</f>
        <v>0.94165850600369383</v>
      </c>
      <c r="C56" s="59">
        <f>H15*POWER(B56,I15*J15)</f>
        <v>56.499510360221628</v>
      </c>
      <c r="D56" s="58">
        <f>-1*0.01*C56*B56*I15</f>
        <v>-0.53203244515746517</v>
      </c>
    </row>
    <row r="57" spans="1:4" x14ac:dyDescent="0.3">
      <c r="A57" s="53">
        <v>6.1956105769066632</v>
      </c>
      <c r="B57" s="53">
        <f t="shared" ref="B57:B65" si="9">1/(1+A57/(100*J16))</f>
        <v>0.94165850600369383</v>
      </c>
      <c r="C57" s="59">
        <f t="shared" ref="C57:C65" si="10">H16*POWER(B57,I16*J16)</f>
        <v>53.203244515746519</v>
      </c>
      <c r="D57" s="58">
        <f t="shared" ref="D57:D65" si="11">-1*0.01*C57*B57*I16</f>
        <v>-1.0019857549049416</v>
      </c>
    </row>
    <row r="58" spans="1:4" x14ac:dyDescent="0.3">
      <c r="A58" s="53">
        <v>6.1956105769066632</v>
      </c>
      <c r="B58" s="53">
        <f t="shared" si="9"/>
        <v>0.94165850600369383</v>
      </c>
      <c r="C58" s="59">
        <f t="shared" si="10"/>
        <v>50.099287745247089</v>
      </c>
      <c r="D58" s="58">
        <f t="shared" si="11"/>
        <v>-1.4152926135011563</v>
      </c>
    </row>
    <row r="59" spans="1:4" x14ac:dyDescent="0.3">
      <c r="A59" s="53">
        <v>6.1956105769066632</v>
      </c>
      <c r="B59" s="53">
        <f t="shared" si="9"/>
        <v>0.94165850600369383</v>
      </c>
      <c r="C59" s="59">
        <f t="shared" si="10"/>
        <v>47.176420450038535</v>
      </c>
      <c r="D59" s="58">
        <f t="shared" si="11"/>
        <v>-1.7769631039834159</v>
      </c>
    </row>
    <row r="60" spans="1:4" x14ac:dyDescent="0.3">
      <c r="A60" s="53">
        <v>6.1956105769066632</v>
      </c>
      <c r="B60" s="53">
        <f t="shared" si="9"/>
        <v>0.94165850600369383</v>
      </c>
      <c r="C60" s="59">
        <f t="shared" si="10"/>
        <v>44.424077599585395</v>
      </c>
      <c r="D60" s="58">
        <f t="shared" si="11"/>
        <v>-2.0916155271508874</v>
      </c>
    </row>
    <row r="61" spans="1:4" x14ac:dyDescent="0.3">
      <c r="A61" s="53">
        <v>6.1956105769066632</v>
      </c>
      <c r="B61" s="53">
        <f t="shared" si="9"/>
        <v>0.94165850600369383</v>
      </c>
      <c r="C61" s="59">
        <f t="shared" si="10"/>
        <v>41.832310543017741</v>
      </c>
      <c r="D61" s="58">
        <f t="shared" si="11"/>
        <v>-2.3635050629172394</v>
      </c>
    </row>
    <row r="62" spans="1:4" x14ac:dyDescent="0.3">
      <c r="A62" s="53">
        <v>6.1956105769066632</v>
      </c>
      <c r="B62" s="53">
        <f t="shared" si="9"/>
        <v>0.94165850600369383</v>
      </c>
      <c r="C62" s="59">
        <f t="shared" si="10"/>
        <v>39.391751048620662</v>
      </c>
      <c r="D62" s="58">
        <f t="shared" si="11"/>
        <v>-2.5965504208919503</v>
      </c>
    </row>
    <row r="63" spans="1:4" x14ac:dyDescent="0.3">
      <c r="A63" s="53">
        <v>6.1956105769066632</v>
      </c>
      <c r="B63" s="53">
        <f t="shared" si="9"/>
        <v>0.94165850600369383</v>
      </c>
      <c r="C63" s="59">
        <f t="shared" si="10"/>
        <v>37.093577441313563</v>
      </c>
      <c r="D63" s="58">
        <f t="shared" si="11"/>
        <v>-2.7943586172575721</v>
      </c>
    </row>
    <row r="64" spans="1:4" x14ac:dyDescent="0.3">
      <c r="A64" s="53">
        <v>6.1956105769066632</v>
      </c>
      <c r="B64" s="53">
        <f t="shared" si="9"/>
        <v>0.94165850600369383</v>
      </c>
      <c r="C64" s="59">
        <f t="shared" si="10"/>
        <v>34.929482715719651</v>
      </c>
      <c r="D64" s="58">
        <f t="shared" si="11"/>
        <v>-2.9602480058609775</v>
      </c>
    </row>
    <row r="65" spans="1:4" x14ac:dyDescent="0.3">
      <c r="A65" s="53">
        <v>6.1956105769066632</v>
      </c>
      <c r="B65" s="53">
        <f t="shared" si="9"/>
        <v>0.94165850600369383</v>
      </c>
      <c r="C65" s="59">
        <f t="shared" si="10"/>
        <v>553.6760159110346</v>
      </c>
      <c r="D65" s="58">
        <f t="shared" si="11"/>
        <v>-52.137372995286235</v>
      </c>
    </row>
    <row r="66" spans="1:4" x14ac:dyDescent="0.3">
      <c r="A66" s="53"/>
      <c r="B66" s="53" t="s">
        <v>52</v>
      </c>
      <c r="C66" s="59">
        <f>SUM(C56:C65)</f>
        <v>958.32567833054543</v>
      </c>
      <c r="D66" s="58">
        <f>SUM(D56:D65)</f>
        <v>-69.669924546911844</v>
      </c>
    </row>
    <row r="68" spans="1:4" x14ac:dyDescent="0.3">
      <c r="A68">
        <f>A54+(J6-C66)/D66</f>
        <v>6.3151123330042944</v>
      </c>
    </row>
    <row r="69" spans="1:4" x14ac:dyDescent="0.3">
      <c r="A69" s="53" t="s">
        <v>56</v>
      </c>
      <c r="B69" s="57" t="s">
        <v>48</v>
      </c>
      <c r="C69" s="58" t="s">
        <v>49</v>
      </c>
      <c r="D69" s="58" t="s">
        <v>50</v>
      </c>
    </row>
    <row r="70" spans="1:4" x14ac:dyDescent="0.3">
      <c r="A70" s="53">
        <v>6.3151123330042944</v>
      </c>
      <c r="B70" s="53">
        <f>1/(1+A70/(100*J15))</f>
        <v>0.94060005022405602</v>
      </c>
      <c r="C70" s="59">
        <f>H15*POWER(B70,I15*J15)</f>
        <v>56.436003013443361</v>
      </c>
      <c r="D70" s="58">
        <f>-1*0.01*C70*B70*I15</f>
        <v>-0.53083707268889802</v>
      </c>
    </row>
    <row r="71" spans="1:4" x14ac:dyDescent="0.3">
      <c r="A71" s="53">
        <v>6.3151123330042944</v>
      </c>
      <c r="B71" s="53">
        <f t="shared" ref="B71:B79" si="12">1/(1+A71/(100*J16))</f>
        <v>0.94060005022405602</v>
      </c>
      <c r="C71" s="59">
        <f t="shared" ref="C71:C79" si="13">H16*POWER(B71,I16*J16)</f>
        <v>53.083707268889803</v>
      </c>
      <c r="D71" s="58">
        <f t="shared" ref="D71:D79" si="14">-1*0.01*C71*B71*I16</f>
        <v>-0.99861075446393666</v>
      </c>
    </row>
    <row r="72" spans="1:4" x14ac:dyDescent="0.3">
      <c r="A72" s="53">
        <v>6.3151123330042944</v>
      </c>
      <c r="B72" s="53">
        <f t="shared" si="12"/>
        <v>0.94060005022405602</v>
      </c>
      <c r="C72" s="59">
        <f t="shared" si="13"/>
        <v>49.930537723196842</v>
      </c>
      <c r="D72" s="58">
        <f t="shared" si="14"/>
        <v>-1.4089399887045921</v>
      </c>
    </row>
    <row r="73" spans="1:4" x14ac:dyDescent="0.3">
      <c r="A73" s="53">
        <v>6.3151123330042944</v>
      </c>
      <c r="B73" s="53">
        <f t="shared" si="12"/>
        <v>0.94060005022405602</v>
      </c>
      <c r="C73" s="59">
        <f t="shared" si="13"/>
        <v>46.964666290153069</v>
      </c>
      <c r="D73" s="58">
        <f t="shared" si="14"/>
        <v>-1.7669986988509603</v>
      </c>
    </row>
    <row r="74" spans="1:4" x14ac:dyDescent="0.3">
      <c r="A74" s="53">
        <v>6.3151123330042944</v>
      </c>
      <c r="B74" s="53">
        <f t="shared" si="12"/>
        <v>0.94060005022405602</v>
      </c>
      <c r="C74" s="59">
        <f t="shared" si="13"/>
        <v>44.174967471274002</v>
      </c>
      <c r="D74" s="58">
        <f t="shared" si="14"/>
        <v>-2.0775488311063182</v>
      </c>
    </row>
    <row r="75" spans="1:4" x14ac:dyDescent="0.3">
      <c r="A75" s="53">
        <v>6.3151123330042944</v>
      </c>
      <c r="B75" s="53">
        <f t="shared" si="12"/>
        <v>0.94060005022405602</v>
      </c>
      <c r="C75" s="59">
        <f t="shared" si="13"/>
        <v>41.55097662212637</v>
      </c>
      <c r="D75" s="58">
        <f t="shared" si="14"/>
        <v>-2.3449710418578387</v>
      </c>
    </row>
    <row r="76" spans="1:4" x14ac:dyDescent="0.3">
      <c r="A76" s="53">
        <v>6.3151123330042944</v>
      </c>
      <c r="B76" s="53">
        <f t="shared" si="12"/>
        <v>0.94060005022405602</v>
      </c>
      <c r="C76" s="59">
        <f t="shared" si="13"/>
        <v>39.082850697630647</v>
      </c>
      <c r="D76" s="58">
        <f t="shared" si="14"/>
        <v>-2.5732931930363474</v>
      </c>
    </row>
    <row r="77" spans="1:4" x14ac:dyDescent="0.3">
      <c r="A77" s="53">
        <v>6.3151123330042944</v>
      </c>
      <c r="B77" s="53">
        <f t="shared" si="12"/>
        <v>0.94060005022405602</v>
      </c>
      <c r="C77" s="59">
        <f t="shared" si="13"/>
        <v>36.761331329090666</v>
      </c>
      <c r="D77" s="58">
        <f t="shared" si="14"/>
        <v>-2.7662168075556677</v>
      </c>
    </row>
    <row r="78" spans="1:4" x14ac:dyDescent="0.3">
      <c r="A78" s="53">
        <v>6.3151123330042944</v>
      </c>
      <c r="B78" s="53">
        <f t="shared" si="12"/>
        <v>0.94060005022405602</v>
      </c>
      <c r="C78" s="59">
        <f t="shared" si="13"/>
        <v>34.577710094445848</v>
      </c>
      <c r="D78" s="58">
        <f t="shared" si="14"/>
        <v>-2.9271416266321757</v>
      </c>
    </row>
    <row r="79" spans="1:4" x14ac:dyDescent="0.3">
      <c r="A79" s="53">
        <v>6.3151123330042944</v>
      </c>
      <c r="B79" s="53">
        <f t="shared" si="12"/>
        <v>0.94060005022405602</v>
      </c>
      <c r="C79" s="59">
        <f t="shared" si="13"/>
        <v>547.48389683305493</v>
      </c>
      <c r="D79" s="58">
        <f t="shared" si="14"/>
        <v>-51.496338085803337</v>
      </c>
    </row>
    <row r="80" spans="1:4" x14ac:dyDescent="0.3">
      <c r="A80" s="53"/>
      <c r="B80" s="53" t="s">
        <v>52</v>
      </c>
      <c r="C80" s="59">
        <f>SUM(C70:C79)</f>
        <v>950.04664734330549</v>
      </c>
      <c r="D80" s="58">
        <f>SUM(D70:D79)</f>
        <v>-68.890896100700076</v>
      </c>
    </row>
    <row r="81" spans="1:3" x14ac:dyDescent="0.3">
      <c r="A81" s="17"/>
      <c r="B81" s="17"/>
      <c r="C81" s="17"/>
    </row>
    <row r="82" spans="1:3" x14ac:dyDescent="0.3">
      <c r="A82" s="17" t="s">
        <v>101</v>
      </c>
      <c r="B82" s="60" t="s">
        <v>102</v>
      </c>
      <c r="C82" s="17">
        <f>A68</f>
        <v>6.3151123330042944</v>
      </c>
    </row>
    <row r="83" spans="1:3" x14ac:dyDescent="0.3">
      <c r="A83" s="17"/>
      <c r="B83" s="17" t="s">
        <v>103</v>
      </c>
      <c r="C83" s="17">
        <f>B17</f>
        <v>6.7021167612725199</v>
      </c>
    </row>
    <row r="84" spans="1:3" x14ac:dyDescent="0.3">
      <c r="A84" s="17"/>
      <c r="B84" s="17"/>
      <c r="C84" s="17"/>
    </row>
  </sheetData>
  <mergeCells count="2">
    <mergeCell ref="B5:D5"/>
    <mergeCell ref="B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1D6B-BF99-4FD8-A2A9-69B7B4177FE5}">
  <dimension ref="A1:L52"/>
  <sheetViews>
    <sheetView workbookViewId="0">
      <selection activeCell="I1" sqref="I1"/>
    </sheetView>
  </sheetViews>
  <sheetFormatPr defaultRowHeight="14.4" x14ac:dyDescent="0.3"/>
  <cols>
    <col min="1" max="1" width="22.6640625" bestFit="1" customWidth="1"/>
    <col min="2" max="2" width="19.6640625" bestFit="1" customWidth="1"/>
    <col min="3" max="4" width="17.33203125" bestFit="1" customWidth="1"/>
    <col min="5" max="5" width="14.33203125" bestFit="1" customWidth="1"/>
    <col min="6" max="6" width="3" bestFit="1" customWidth="1"/>
    <col min="7" max="7" width="12" bestFit="1" customWidth="1"/>
    <col min="8" max="8" width="7.33203125" bestFit="1" customWidth="1"/>
    <col min="9" max="9" width="23.33203125" bestFit="1" customWidth="1"/>
    <col min="10" max="10" width="16.109375" bestFit="1" customWidth="1"/>
  </cols>
  <sheetData>
    <row r="1" spans="1:10" ht="62.4" x14ac:dyDescent="0.3">
      <c r="A1" s="18"/>
      <c r="B1" s="18" t="s">
        <v>75</v>
      </c>
      <c r="C1" s="18" t="s">
        <v>76</v>
      </c>
      <c r="D1" s="18" t="s">
        <v>77</v>
      </c>
      <c r="I1" s="54" t="s">
        <v>78</v>
      </c>
      <c r="J1" s="18"/>
    </row>
    <row r="2" spans="1:10" x14ac:dyDescent="0.3">
      <c r="A2" s="18"/>
      <c r="B2" s="18" t="s">
        <v>79</v>
      </c>
      <c r="C2" s="18" t="s">
        <v>80</v>
      </c>
      <c r="D2" s="18" t="s">
        <v>81</v>
      </c>
      <c r="I2" s="18" t="s">
        <v>104</v>
      </c>
      <c r="J2" s="55">
        <v>44561</v>
      </c>
    </row>
    <row r="3" spans="1:10" x14ac:dyDescent="0.3">
      <c r="A3" s="18" t="s">
        <v>32</v>
      </c>
      <c r="B3" s="55">
        <f>DATE(2021,12,31)</f>
        <v>44561</v>
      </c>
      <c r="C3" s="55">
        <f t="shared" ref="C3:D3" si="0">DATE(2021,12,31)</f>
        <v>44561</v>
      </c>
      <c r="D3" s="55">
        <f t="shared" si="0"/>
        <v>44561</v>
      </c>
      <c r="H3" s="18"/>
      <c r="I3" s="18" t="s">
        <v>105</v>
      </c>
      <c r="J3" s="55">
        <f>DATE(2025,12,31)</f>
        <v>46022</v>
      </c>
    </row>
    <row r="4" spans="1:10" x14ac:dyDescent="0.3">
      <c r="A4" s="18" t="s">
        <v>37</v>
      </c>
      <c r="B4" s="55">
        <f>DATE(2031,12,31)</f>
        <v>48213</v>
      </c>
      <c r="C4" s="55">
        <f t="shared" ref="C4:D4" si="1">DATE(2031,12,31)</f>
        <v>48213</v>
      </c>
      <c r="D4" s="55">
        <f t="shared" si="1"/>
        <v>48213</v>
      </c>
      <c r="H4" s="18"/>
      <c r="I4" s="18" t="s">
        <v>37</v>
      </c>
      <c r="J4" s="55">
        <f>DATE(2031,12,31)</f>
        <v>48213</v>
      </c>
    </row>
    <row r="5" spans="1:10" x14ac:dyDescent="0.3">
      <c r="A5" s="18"/>
      <c r="B5" s="109">
        <v>10</v>
      </c>
      <c r="C5" s="109"/>
      <c r="D5" s="109"/>
      <c r="E5" t="s">
        <v>82</v>
      </c>
      <c r="F5">
        <v>10</v>
      </c>
      <c r="I5" s="18" t="s">
        <v>39</v>
      </c>
      <c r="J5" s="18">
        <v>1</v>
      </c>
    </row>
    <row r="6" spans="1:10" x14ac:dyDescent="0.3">
      <c r="A6" s="18" t="s">
        <v>83</v>
      </c>
      <c r="B6" s="55">
        <f>DATE(2025,12,31)</f>
        <v>46022</v>
      </c>
      <c r="C6" s="55">
        <f>DATE(2025,12,31)</f>
        <v>46022</v>
      </c>
      <c r="D6" s="55">
        <f>DATE(2025,12,31)</f>
        <v>46022</v>
      </c>
      <c r="I6" s="18" t="s">
        <v>106</v>
      </c>
      <c r="J6" s="56">
        <f>1040</f>
        <v>1040</v>
      </c>
    </row>
    <row r="7" spans="1:10" x14ac:dyDescent="0.3">
      <c r="A7" s="18" t="s">
        <v>84</v>
      </c>
      <c r="B7" s="18">
        <v>104</v>
      </c>
      <c r="C7" s="18">
        <v>104</v>
      </c>
      <c r="D7" s="18">
        <v>104</v>
      </c>
      <c r="I7" s="18" t="s">
        <v>41</v>
      </c>
      <c r="J7" s="55">
        <v>44926</v>
      </c>
    </row>
    <row r="8" spans="1:10" x14ac:dyDescent="0.3">
      <c r="A8" s="18"/>
      <c r="B8" s="108" t="s">
        <v>85</v>
      </c>
      <c r="C8" s="108"/>
      <c r="D8" s="108"/>
      <c r="I8" s="18" t="s">
        <v>42</v>
      </c>
      <c r="J8" s="55">
        <v>46022</v>
      </c>
    </row>
    <row r="9" spans="1:10" x14ac:dyDescent="0.3">
      <c r="A9" s="18" t="s">
        <v>4</v>
      </c>
      <c r="B9" s="56">
        <v>1000</v>
      </c>
      <c r="C9" s="56">
        <v>1000</v>
      </c>
      <c r="D9" s="56">
        <v>1000</v>
      </c>
      <c r="I9" s="18" t="s">
        <v>43</v>
      </c>
      <c r="J9" s="18" t="s">
        <v>44</v>
      </c>
    </row>
    <row r="10" spans="1:10" x14ac:dyDescent="0.3">
      <c r="A10" s="18" t="s">
        <v>86</v>
      </c>
      <c r="B10" s="56">
        <v>950</v>
      </c>
      <c r="C10" s="56">
        <v>1000</v>
      </c>
      <c r="D10" s="56">
        <v>1050</v>
      </c>
      <c r="I10" s="18" t="s">
        <v>45</v>
      </c>
      <c r="J10" s="56">
        <v>60</v>
      </c>
    </row>
    <row r="11" spans="1:10" x14ac:dyDescent="0.3">
      <c r="A11" s="18" t="s">
        <v>87</v>
      </c>
      <c r="B11" s="18">
        <f>B10/B9*100</f>
        <v>95</v>
      </c>
      <c r="C11" s="18">
        <f>C10/C9*100</f>
        <v>100</v>
      </c>
      <c r="D11" s="18">
        <f>D10/D9*100</f>
        <v>105</v>
      </c>
      <c r="I11" s="18" t="s">
        <v>46</v>
      </c>
      <c r="J11" s="18">
        <f>((31-31)+30*(12-12)+360*(1))/360</f>
        <v>1</v>
      </c>
    </row>
    <row r="12" spans="1:10" x14ac:dyDescent="0.3">
      <c r="A12" s="18"/>
      <c r="B12" s="18"/>
      <c r="C12" s="18"/>
      <c r="D12" s="18"/>
      <c r="I12" s="18"/>
      <c r="J12" s="18"/>
    </row>
    <row r="13" spans="1:10" x14ac:dyDescent="0.3">
      <c r="A13" s="18" t="s">
        <v>39</v>
      </c>
      <c r="B13" s="18">
        <v>1</v>
      </c>
      <c r="C13" s="18">
        <v>1</v>
      </c>
      <c r="D13" s="18">
        <v>1</v>
      </c>
      <c r="I13" s="18"/>
      <c r="J13" s="18"/>
    </row>
    <row r="14" spans="1:10" x14ac:dyDescent="0.3">
      <c r="A14" s="18" t="s">
        <v>88</v>
      </c>
      <c r="B14" s="20">
        <v>0.06</v>
      </c>
      <c r="C14" s="20">
        <v>0.06</v>
      </c>
      <c r="D14" s="20">
        <v>0.06</v>
      </c>
      <c r="G14" t="s">
        <v>33</v>
      </c>
      <c r="H14" t="s">
        <v>34</v>
      </c>
      <c r="I14" s="18" t="s">
        <v>35</v>
      </c>
      <c r="J14" s="18" t="s">
        <v>36</v>
      </c>
    </row>
    <row r="15" spans="1:10" x14ac:dyDescent="0.3">
      <c r="A15" s="18" t="s">
        <v>89</v>
      </c>
      <c r="B15" s="56">
        <f>B14*B9</f>
        <v>60</v>
      </c>
      <c r="C15" s="56">
        <f>C14*C9</f>
        <v>60</v>
      </c>
      <c r="D15" s="56">
        <f>D14*D9</f>
        <v>60</v>
      </c>
      <c r="G15" s="4">
        <v>44926</v>
      </c>
      <c r="H15" s="2">
        <v>60</v>
      </c>
      <c r="I15" s="18">
        <v>1</v>
      </c>
      <c r="J15" s="18">
        <v>1</v>
      </c>
    </row>
    <row r="16" spans="1:10" x14ac:dyDescent="0.3">
      <c r="A16" s="18"/>
      <c r="B16" s="18"/>
      <c r="C16" s="18"/>
      <c r="D16" s="18"/>
      <c r="G16" s="4">
        <v>45291</v>
      </c>
      <c r="H16" s="2">
        <v>60</v>
      </c>
      <c r="I16" s="18">
        <f>I15+1</f>
        <v>2</v>
      </c>
      <c r="J16" s="18">
        <v>1</v>
      </c>
    </row>
    <row r="17" spans="1:12" x14ac:dyDescent="0.3">
      <c r="A17" s="18" t="s">
        <v>90</v>
      </c>
      <c r="B17" s="18">
        <f>YIELD(B3,B4,B14,B11,100,B13)*100</f>
        <v>6.7021167612725199</v>
      </c>
      <c r="C17" s="18">
        <f>YIELD(C3,C4,C14,C11,100,C13)*100</f>
        <v>6</v>
      </c>
      <c r="D17" s="18">
        <f>YIELD(D3,D4,D14,D11,100,D13)*100</f>
        <v>5.3416889600363682</v>
      </c>
      <c r="G17" s="4">
        <v>45657</v>
      </c>
      <c r="H17" s="2">
        <v>60</v>
      </c>
      <c r="I17" s="18">
        <f t="shared" ref="I17:I18" si="2">I16+1</f>
        <v>3</v>
      </c>
      <c r="J17" s="18">
        <v>1</v>
      </c>
    </row>
    <row r="18" spans="1:12" x14ac:dyDescent="0.3">
      <c r="A18" s="18" t="s">
        <v>91</v>
      </c>
      <c r="B18" s="18">
        <f>YIELD(B3,B6,B14,B11,B7,B13)*100</f>
        <v>8.4056369827741637</v>
      </c>
      <c r="C18" s="18">
        <f>YIELD(C3,C6,C14,C11,C7,C13)*100</f>
        <v>6.9022180268500071</v>
      </c>
      <c r="D18" s="18">
        <f>YIELD(D3,D6,D14,D11,D7,D13)*100</f>
        <v>5.4949411534746142</v>
      </c>
      <c r="G18" s="4">
        <v>46022</v>
      </c>
      <c r="H18" s="2">
        <f>H17+J6</f>
        <v>1100</v>
      </c>
      <c r="I18" s="18">
        <f t="shared" si="2"/>
        <v>4</v>
      </c>
      <c r="J18" s="18">
        <v>1</v>
      </c>
    </row>
    <row r="19" spans="1:12" x14ac:dyDescent="0.3">
      <c r="A19" s="18" t="s">
        <v>92</v>
      </c>
      <c r="B19" s="18">
        <f>MIN(B17,B18)</f>
        <v>6.7021167612725199</v>
      </c>
      <c r="C19" s="18">
        <f>MIN(C17,C18)</f>
        <v>6</v>
      </c>
      <c r="D19" s="18">
        <f>MIN(D17,D18)</f>
        <v>5.3416889600363682</v>
      </c>
      <c r="G19" s="4"/>
      <c r="H19" s="2"/>
      <c r="I19" s="18"/>
      <c r="J19" s="18"/>
    </row>
    <row r="20" spans="1:12" x14ac:dyDescent="0.3">
      <c r="A20" s="18"/>
      <c r="B20" s="18" t="s">
        <v>93</v>
      </c>
      <c r="C20" s="18" t="s">
        <v>93</v>
      </c>
      <c r="D20" s="18" t="s">
        <v>93</v>
      </c>
      <c r="G20" s="4"/>
      <c r="H20" s="2"/>
      <c r="I20" s="18"/>
      <c r="J20" s="18"/>
    </row>
    <row r="21" spans="1:12" x14ac:dyDescent="0.3">
      <c r="A21" s="18"/>
      <c r="B21" s="18" t="s">
        <v>95</v>
      </c>
      <c r="C21" s="18" t="s">
        <v>95</v>
      </c>
      <c r="D21" s="18" t="s">
        <v>95</v>
      </c>
      <c r="G21" s="4"/>
      <c r="H21" s="2"/>
      <c r="I21" s="18"/>
      <c r="J21" s="18"/>
    </row>
    <row r="22" spans="1:12" x14ac:dyDescent="0.3">
      <c r="A22" s="18" t="s">
        <v>97</v>
      </c>
      <c r="B22" s="18" t="s">
        <v>98</v>
      </c>
      <c r="C22" s="18" t="s">
        <v>98</v>
      </c>
      <c r="D22" s="18" t="s">
        <v>98</v>
      </c>
      <c r="G22" s="4"/>
      <c r="H22" s="2"/>
      <c r="I22" s="18"/>
      <c r="J22" s="18"/>
    </row>
    <row r="23" spans="1:12" x14ac:dyDescent="0.3">
      <c r="G23" s="109" t="s">
        <v>107</v>
      </c>
      <c r="H23" s="109"/>
      <c r="I23" s="109"/>
      <c r="J23" s="109"/>
      <c r="K23" s="109"/>
      <c r="L23" s="109"/>
    </row>
    <row r="24" spans="1:12" x14ac:dyDescent="0.3">
      <c r="G24" s="4"/>
      <c r="H24" s="2"/>
      <c r="I24" s="18"/>
      <c r="J24" s="18"/>
    </row>
    <row r="25" spans="1:12" x14ac:dyDescent="0.3">
      <c r="G25" s="4"/>
      <c r="I25" s="18"/>
      <c r="J25" s="18"/>
    </row>
    <row r="26" spans="1:12" x14ac:dyDescent="0.3">
      <c r="B26" s="3"/>
      <c r="C26" s="3"/>
      <c r="D26" s="3"/>
      <c r="G26" s="4"/>
      <c r="I26" s="18"/>
      <c r="J26" s="18"/>
    </row>
    <row r="27" spans="1:12" x14ac:dyDescent="0.3">
      <c r="A27" s="53" t="s">
        <v>100</v>
      </c>
      <c r="B27" s="57" t="s">
        <v>48</v>
      </c>
      <c r="C27" s="58" t="s">
        <v>49</v>
      </c>
      <c r="D27" s="58" t="s">
        <v>50</v>
      </c>
      <c r="G27" s="4"/>
      <c r="I27" s="18"/>
      <c r="J27" s="18"/>
    </row>
    <row r="28" spans="1:12" x14ac:dyDescent="0.3">
      <c r="A28" s="53">
        <v>0</v>
      </c>
      <c r="B28" s="53">
        <f>1/(1+A28/(100*J15))</f>
        <v>1</v>
      </c>
      <c r="C28" s="59">
        <f>H15*POWER(B28,I15*J15)</f>
        <v>60</v>
      </c>
      <c r="D28" s="58">
        <f>-1*0.01*B28*C28*I15</f>
        <v>-0.6</v>
      </c>
      <c r="I28" s="18"/>
      <c r="J28" s="18"/>
    </row>
    <row r="29" spans="1:12" x14ac:dyDescent="0.3">
      <c r="A29" s="53">
        <v>0</v>
      </c>
      <c r="B29" s="53">
        <f t="shared" ref="B29:B31" si="3">1/(1+A29/(100*J16))</f>
        <v>1</v>
      </c>
      <c r="C29" s="59">
        <f t="shared" ref="C29:C31" si="4">H16*POWER(B29,I16*J16)</f>
        <v>60</v>
      </c>
      <c r="D29" s="58">
        <f t="shared" ref="D29:D31" si="5">-1*0.01*B29*C29*I16</f>
        <v>-1.2</v>
      </c>
      <c r="I29" s="18"/>
      <c r="J29" s="18"/>
    </row>
    <row r="30" spans="1:12" x14ac:dyDescent="0.3">
      <c r="A30" s="53">
        <v>0</v>
      </c>
      <c r="B30" s="53">
        <f t="shared" si="3"/>
        <v>1</v>
      </c>
      <c r="C30" s="59">
        <f t="shared" si="4"/>
        <v>60</v>
      </c>
      <c r="D30" s="58">
        <f t="shared" si="5"/>
        <v>-1.7999999999999998</v>
      </c>
      <c r="I30" s="18"/>
      <c r="J30" s="18"/>
    </row>
    <row r="31" spans="1:12" x14ac:dyDescent="0.3">
      <c r="A31" s="53">
        <v>0</v>
      </c>
      <c r="B31" s="53">
        <f t="shared" si="3"/>
        <v>1</v>
      </c>
      <c r="C31" s="59">
        <f t="shared" si="4"/>
        <v>1100</v>
      </c>
      <c r="D31" s="58">
        <f t="shared" si="5"/>
        <v>-44</v>
      </c>
      <c r="I31" s="18"/>
      <c r="J31" s="18"/>
    </row>
    <row r="32" spans="1:12" x14ac:dyDescent="0.3">
      <c r="A32" s="53"/>
      <c r="B32" s="53" t="s">
        <v>52</v>
      </c>
      <c r="C32" s="59">
        <f>SUM(C28:C31)</f>
        <v>1280</v>
      </c>
      <c r="D32" s="58">
        <f>SUM(D28:D31)</f>
        <v>-47.6</v>
      </c>
      <c r="I32" s="18"/>
      <c r="J32" s="18"/>
    </row>
    <row r="33" spans="1:10" x14ac:dyDescent="0.3">
      <c r="I33" s="18"/>
      <c r="J33" s="18"/>
    </row>
    <row r="34" spans="1:10" x14ac:dyDescent="0.3">
      <c r="A34">
        <f>A28+(J6-C32)/D32</f>
        <v>5.0420168067226889</v>
      </c>
      <c r="I34" s="18"/>
      <c r="J34" s="18"/>
    </row>
    <row r="35" spans="1:10" x14ac:dyDescent="0.3">
      <c r="A35" s="53" t="s">
        <v>54</v>
      </c>
      <c r="B35" s="57" t="s">
        <v>48</v>
      </c>
      <c r="C35" s="58" t="s">
        <v>49</v>
      </c>
      <c r="D35" s="58" t="s">
        <v>50</v>
      </c>
      <c r="I35" s="18"/>
      <c r="J35" s="18"/>
    </row>
    <row r="36" spans="1:10" x14ac:dyDescent="0.3">
      <c r="A36" s="53">
        <v>5.0420168067226889</v>
      </c>
      <c r="B36" s="53">
        <f>1/(1+A36/(100*J15))</f>
        <v>0.95199999999999996</v>
      </c>
      <c r="C36" s="59">
        <f>H15*POWER(B36,I15*J15)</f>
        <v>57.12</v>
      </c>
      <c r="D36" s="58">
        <f>-1*0.01*C36*B36*I15</f>
        <v>-0.5437824</v>
      </c>
      <c r="I36" s="18"/>
      <c r="J36" s="18"/>
    </row>
    <row r="37" spans="1:10" x14ac:dyDescent="0.3">
      <c r="A37" s="53">
        <v>5.0420168067226889</v>
      </c>
      <c r="B37" s="53">
        <f>1/(1+A37/(100*J16))</f>
        <v>0.95199999999999996</v>
      </c>
      <c r="C37" s="59">
        <f>H16*POWER(B37,I16*J16)</f>
        <v>54.378239999999991</v>
      </c>
      <c r="D37" s="58">
        <f>-1*0.01*C37*B37*I16</f>
        <v>-1.0353616895999997</v>
      </c>
      <c r="I37" s="18"/>
      <c r="J37" s="18"/>
    </row>
    <row r="38" spans="1:10" x14ac:dyDescent="0.3">
      <c r="A38" s="53">
        <v>5.0420168067226889</v>
      </c>
      <c r="B38" s="53">
        <f>1/(1+A38/(100*J17))</f>
        <v>0.95199999999999996</v>
      </c>
      <c r="C38" s="59">
        <f>H17*POWER(B38,I17*J17)</f>
        <v>51.768084479999992</v>
      </c>
      <c r="D38" s="58">
        <f>-1*0.01*C38*B38*I17</f>
        <v>-1.4784964927487996</v>
      </c>
      <c r="I38" s="18"/>
      <c r="J38" s="18"/>
    </row>
    <row r="39" spans="1:10" x14ac:dyDescent="0.3">
      <c r="A39" s="53">
        <v>5.0420168067226889</v>
      </c>
      <c r="B39" s="53">
        <f>1/(1+A39/(100*J18))</f>
        <v>0.95199999999999996</v>
      </c>
      <c r="C39" s="59">
        <f>H18*POWER(B39,I18*J18)</f>
        <v>903.52563445759984</v>
      </c>
      <c r="D39" s="58">
        <f>-1*0.01*C39*B39*I18</f>
        <v>-34.406256160145404</v>
      </c>
      <c r="I39" s="18"/>
      <c r="J39" s="18"/>
    </row>
    <row r="40" spans="1:10" x14ac:dyDescent="0.3">
      <c r="A40" s="53"/>
      <c r="B40" s="53" t="s">
        <v>52</v>
      </c>
      <c r="C40" s="59">
        <f>SUM(C36:C39)</f>
        <v>1066.7919589375997</v>
      </c>
      <c r="D40" s="58">
        <f>SUM(D36:D39)</f>
        <v>-37.4638967424942</v>
      </c>
      <c r="I40" s="18"/>
      <c r="J40" s="18"/>
    </row>
    <row r="41" spans="1:10" x14ac:dyDescent="0.3">
      <c r="I41" s="18"/>
      <c r="J41" s="18"/>
    </row>
    <row r="42" spans="1:10" x14ac:dyDescent="0.3">
      <c r="A42">
        <f>A34+(J6-C40)/D40</f>
        <v>5.7571575493355729</v>
      </c>
      <c r="I42" s="18"/>
      <c r="J42" s="18"/>
    </row>
    <row r="43" spans="1:10" x14ac:dyDescent="0.3">
      <c r="A43" s="53" t="s">
        <v>56</v>
      </c>
      <c r="B43" s="57" t="s">
        <v>48</v>
      </c>
      <c r="C43" s="58" t="s">
        <v>49</v>
      </c>
      <c r="D43" s="58" t="s">
        <v>50</v>
      </c>
      <c r="I43" s="18"/>
      <c r="J43" s="18"/>
    </row>
    <row r="44" spans="1:10" x14ac:dyDescent="0.3">
      <c r="A44">
        <v>5.7571575493355729</v>
      </c>
      <c r="B44" s="53">
        <f>1/(1+A44/(100*J15))</f>
        <v>0.94556247839159391</v>
      </c>
      <c r="C44" s="59">
        <f>H15*POWER(B44,I15*J15)</f>
        <v>56.733748703495635</v>
      </c>
      <c r="D44" s="58">
        <f>-1*0.01*C44*B44*I15</f>
        <v>-0.53645304032523211</v>
      </c>
      <c r="I44" s="18"/>
      <c r="J44" s="18"/>
    </row>
    <row r="45" spans="1:10" x14ac:dyDescent="0.3">
      <c r="A45">
        <v>5.7571575493355729</v>
      </c>
      <c r="B45" s="53">
        <f>1/(1+A45/(100*J16))</f>
        <v>0.94556247839159391</v>
      </c>
      <c r="C45" s="59">
        <f>H16*POWER(B45,I16*J16)</f>
        <v>53.645304032523214</v>
      </c>
      <c r="D45" s="58">
        <f>-1*0.01*C45*B45*I16</f>
        <v>-1.0144997327012644</v>
      </c>
      <c r="I45" s="18"/>
      <c r="J45" s="18"/>
    </row>
    <row r="46" spans="1:10" x14ac:dyDescent="0.3">
      <c r="A46">
        <v>5.7571575493355729</v>
      </c>
      <c r="B46" s="53">
        <f>1/(1+A46/(100*J17))</f>
        <v>0.94556247839159391</v>
      </c>
      <c r="C46" s="59">
        <f>H17*POWER(B46,I17*J17)</f>
        <v>50.72498663506321</v>
      </c>
      <c r="D46" s="58">
        <f>-1*0.01*C46*B46*I17</f>
        <v>-1.4389093223709253</v>
      </c>
      <c r="I46" s="18"/>
      <c r="J46" s="18"/>
    </row>
    <row r="47" spans="1:10" x14ac:dyDescent="0.3">
      <c r="A47">
        <v>5.7571575493355729</v>
      </c>
      <c r="B47" s="53">
        <f>1/(1+A47/(100*J18))</f>
        <v>0.94556247839159391</v>
      </c>
      <c r="C47" s="59">
        <f>H18*POWER(B47,I18*J18)</f>
        <v>879.3334747822322</v>
      </c>
      <c r="D47" s="58">
        <f>-1*0.01*C47*B47*I18</f>
        <v>-33.258589589911189</v>
      </c>
      <c r="I47" s="18"/>
      <c r="J47" s="18"/>
    </row>
    <row r="48" spans="1:10" x14ac:dyDescent="0.3">
      <c r="A48" s="53"/>
      <c r="B48" s="53" t="s">
        <v>52</v>
      </c>
      <c r="C48" s="59">
        <f>SUM(C44:C47)</f>
        <v>1040.4375141533142</v>
      </c>
      <c r="D48" s="58">
        <f>SUM(D44:D47)</f>
        <v>-36.248451685308609</v>
      </c>
      <c r="I48" s="18"/>
      <c r="J48" s="18"/>
    </row>
    <row r="49" spans="1:10" x14ac:dyDescent="0.3">
      <c r="A49" s="17"/>
      <c r="B49" s="17"/>
      <c r="C49" s="17"/>
      <c r="I49" s="18"/>
      <c r="J49" s="18"/>
    </row>
    <row r="50" spans="1:10" x14ac:dyDescent="0.3">
      <c r="A50" s="17" t="s">
        <v>101</v>
      </c>
      <c r="B50" s="60" t="s">
        <v>108</v>
      </c>
      <c r="C50" s="17">
        <f>A42</f>
        <v>5.7571575493355729</v>
      </c>
      <c r="I50" s="18"/>
      <c r="J50" s="18"/>
    </row>
    <row r="51" spans="1:10" x14ac:dyDescent="0.3">
      <c r="A51" s="17"/>
      <c r="B51" s="17" t="s">
        <v>109</v>
      </c>
      <c r="C51" s="17">
        <f>B18</f>
        <v>8.4056369827741637</v>
      </c>
    </row>
    <row r="52" spans="1:10" x14ac:dyDescent="0.3">
      <c r="A52" s="17"/>
      <c r="B52" s="17"/>
      <c r="C52" s="17"/>
    </row>
  </sheetData>
  <mergeCells count="3">
    <mergeCell ref="B5:D5"/>
    <mergeCell ref="B8:D8"/>
    <mergeCell ref="G23:L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AEE4-6A93-432D-B7E4-A6DB4ECFFD5C}">
  <dimension ref="A1:AH78"/>
  <sheetViews>
    <sheetView workbookViewId="0">
      <selection activeCell="E39" sqref="E39"/>
    </sheetView>
  </sheetViews>
  <sheetFormatPr defaultRowHeight="14.4" x14ac:dyDescent="0.3"/>
  <cols>
    <col min="1" max="1" width="30.6640625" bestFit="1" customWidth="1"/>
    <col min="2" max="2" width="16.6640625" customWidth="1"/>
    <col min="3" max="3" width="18.33203125" customWidth="1"/>
    <col min="4" max="4" width="21" customWidth="1"/>
    <col min="5" max="5" width="21.33203125" bestFit="1" customWidth="1"/>
  </cols>
  <sheetData>
    <row r="1" spans="1:5" x14ac:dyDescent="0.3">
      <c r="A1" s="61" t="s">
        <v>110</v>
      </c>
      <c r="B1" s="62">
        <v>44782</v>
      </c>
      <c r="C1" s="63"/>
      <c r="D1" s="64"/>
    </row>
    <row r="2" spans="1:5" x14ac:dyDescent="0.3">
      <c r="A2" s="61" t="s">
        <v>111</v>
      </c>
      <c r="B2" s="62">
        <v>45413</v>
      </c>
      <c r="C2" s="65"/>
      <c r="D2" s="65"/>
    </row>
    <row r="3" spans="1:5" x14ac:dyDescent="0.3">
      <c r="A3" s="61" t="s">
        <v>112</v>
      </c>
      <c r="B3" s="62">
        <v>48526</v>
      </c>
      <c r="C3" s="65"/>
      <c r="D3" s="65"/>
      <c r="E3" s="4"/>
    </row>
    <row r="4" spans="1:5" x14ac:dyDescent="0.3">
      <c r="A4" s="61" t="s">
        <v>113</v>
      </c>
      <c r="B4" s="62">
        <v>48892</v>
      </c>
      <c r="C4" s="65"/>
      <c r="D4" s="65"/>
    </row>
    <row r="5" spans="1:5" x14ac:dyDescent="0.3">
      <c r="A5" s="61" t="s">
        <v>114</v>
      </c>
      <c r="B5" s="62">
        <v>44874</v>
      </c>
      <c r="C5" s="65"/>
      <c r="D5" s="65"/>
    </row>
    <row r="6" spans="1:5" x14ac:dyDescent="0.3">
      <c r="A6" s="61" t="s">
        <v>115</v>
      </c>
      <c r="B6" s="62">
        <v>48800</v>
      </c>
      <c r="C6" s="65"/>
      <c r="D6" s="65"/>
    </row>
    <row r="7" spans="1:5" x14ac:dyDescent="0.3">
      <c r="A7" s="61" t="s">
        <v>116</v>
      </c>
      <c r="B7" s="65">
        <v>98</v>
      </c>
      <c r="C7" s="65"/>
      <c r="D7" s="65"/>
    </row>
    <row r="8" spans="1:5" x14ac:dyDescent="0.3">
      <c r="A8" s="66" t="s">
        <v>4</v>
      </c>
      <c r="B8" s="65">
        <v>100</v>
      </c>
      <c r="C8" s="65"/>
      <c r="D8" s="65"/>
    </row>
    <row r="9" spans="1:5" x14ac:dyDescent="0.3">
      <c r="A9" s="65"/>
      <c r="B9" s="61" t="s">
        <v>117</v>
      </c>
      <c r="C9" s="61" t="s">
        <v>118</v>
      </c>
      <c r="D9" s="65"/>
    </row>
    <row r="10" spans="1:5" x14ac:dyDescent="0.3">
      <c r="A10" s="61" t="s">
        <v>119</v>
      </c>
      <c r="B10" s="65" t="s">
        <v>44</v>
      </c>
      <c r="C10" s="65" t="s">
        <v>120</v>
      </c>
      <c r="D10" s="65"/>
    </row>
    <row r="11" spans="1:5" x14ac:dyDescent="0.3">
      <c r="A11" s="61" t="s">
        <v>121</v>
      </c>
      <c r="B11" s="65">
        <v>2</v>
      </c>
      <c r="C11" s="65">
        <v>4</v>
      </c>
      <c r="D11" s="65"/>
    </row>
    <row r="12" spans="1:5" x14ac:dyDescent="0.3">
      <c r="A12" s="61" t="s">
        <v>122</v>
      </c>
      <c r="B12" s="62">
        <v>44782</v>
      </c>
      <c r="C12" s="62">
        <v>48527</v>
      </c>
      <c r="D12" s="65"/>
    </row>
    <row r="13" spans="1:5" x14ac:dyDescent="0.3">
      <c r="A13" s="61" t="s">
        <v>123</v>
      </c>
      <c r="B13" s="62">
        <v>48526</v>
      </c>
      <c r="C13" s="62">
        <v>48891</v>
      </c>
      <c r="D13" s="65"/>
    </row>
    <row r="14" spans="1:5" x14ac:dyDescent="0.3">
      <c r="A14" s="61" t="s">
        <v>124</v>
      </c>
      <c r="B14" s="65">
        <v>5.4909999999999997</v>
      </c>
      <c r="C14" s="65">
        <v>8.1850000000000005</v>
      </c>
      <c r="D14" s="65"/>
    </row>
    <row r="16" spans="1:5" x14ac:dyDescent="0.3">
      <c r="A16" s="61" t="s">
        <v>125</v>
      </c>
      <c r="B16" s="18">
        <f>D16/12*B14</f>
        <v>2.6234777777777776</v>
      </c>
      <c r="C16" s="18">
        <f>(A28-B2)</f>
        <v>8</v>
      </c>
      <c r="D16">
        <f>6-(C16/30)</f>
        <v>5.7333333333333334</v>
      </c>
    </row>
    <row r="17" spans="1:34" x14ac:dyDescent="0.3">
      <c r="A17" s="61" t="s">
        <v>126</v>
      </c>
      <c r="B17" s="18">
        <f>B16+B7</f>
        <v>100.62347777777778</v>
      </c>
    </row>
    <row r="18" spans="1:34" x14ac:dyDescent="0.3">
      <c r="A18" s="61" t="s">
        <v>127</v>
      </c>
      <c r="B18" s="18">
        <f>AA51</f>
        <v>5.7914028774029847</v>
      </c>
    </row>
    <row r="19" spans="1:34" x14ac:dyDescent="0.3">
      <c r="A19" s="61" t="s">
        <v>128</v>
      </c>
      <c r="B19" s="18">
        <f>AA23</f>
        <v>5.8949064966123652</v>
      </c>
    </row>
    <row r="20" spans="1:34" x14ac:dyDescent="0.3">
      <c r="A20" s="61" t="s">
        <v>129</v>
      </c>
      <c r="B20" s="65">
        <v>5.7914029999999999</v>
      </c>
    </row>
    <row r="21" spans="1:34" x14ac:dyDescent="0.3">
      <c r="A21" s="61" t="s">
        <v>130</v>
      </c>
      <c r="B21" s="65">
        <v>5.8877600000000001</v>
      </c>
    </row>
    <row r="22" spans="1:34" ht="15" thickBot="1" x14ac:dyDescent="0.35">
      <c r="A22" s="18"/>
    </row>
    <row r="23" spans="1:34" ht="15" thickBot="1" x14ac:dyDescent="0.35">
      <c r="A23" s="61" t="s">
        <v>90</v>
      </c>
      <c r="F23" s="23" t="s">
        <v>131</v>
      </c>
      <c r="G23" s="10">
        <f>0</f>
        <v>0</v>
      </c>
      <c r="H23" s="10"/>
      <c r="I23" s="10"/>
      <c r="J23" s="10"/>
      <c r="K23" s="10" t="s">
        <v>53</v>
      </c>
      <c r="L23" s="10">
        <f>G23+(B17-H50)/I50</f>
        <v>4.5509331389539067</v>
      </c>
      <c r="M23" s="10"/>
      <c r="N23" s="10"/>
      <c r="O23" s="10"/>
      <c r="P23" s="10" t="s">
        <v>55</v>
      </c>
      <c r="Q23" s="10">
        <f>L23+(B17-M50)/N50</f>
        <v>5.8165995322743278</v>
      </c>
      <c r="R23" s="10"/>
      <c r="S23" s="10"/>
      <c r="T23" s="10"/>
      <c r="U23" s="10" t="s">
        <v>57</v>
      </c>
      <c r="V23" s="10">
        <f>Q23+(B17-R50)/S50</f>
        <v>5.894631917311008</v>
      </c>
      <c r="W23" s="10"/>
      <c r="X23" s="10"/>
      <c r="Y23" s="10"/>
      <c r="Z23" s="67" t="s">
        <v>59</v>
      </c>
      <c r="AA23" s="68">
        <f>V23+(B17-W50)/X50</f>
        <v>5.8949064966123652</v>
      </c>
      <c r="AB23" s="10"/>
      <c r="AC23" s="25"/>
      <c r="AE23" s="23" t="s">
        <v>61</v>
      </c>
      <c r="AF23" s="10">
        <f>AA23+(B17-AB50)/AC50</f>
        <v>5.8949064999952707</v>
      </c>
      <c r="AG23" s="10"/>
      <c r="AH23" s="25"/>
    </row>
    <row r="24" spans="1:34" x14ac:dyDescent="0.3">
      <c r="A24" s="61" t="s">
        <v>132</v>
      </c>
      <c r="B24" s="66" t="s">
        <v>133</v>
      </c>
      <c r="C24" s="66" t="s">
        <v>134</v>
      </c>
      <c r="D24" s="66" t="s">
        <v>135</v>
      </c>
      <c r="F24" s="69" t="s">
        <v>136</v>
      </c>
      <c r="G24" s="70" t="s">
        <v>48</v>
      </c>
      <c r="H24" s="70" t="s">
        <v>49</v>
      </c>
      <c r="I24" s="70" t="s">
        <v>50</v>
      </c>
      <c r="K24" s="70" t="s">
        <v>136</v>
      </c>
      <c r="L24" s="70" t="s">
        <v>48</v>
      </c>
      <c r="M24" s="70" t="s">
        <v>49</v>
      </c>
      <c r="N24" s="70" t="s">
        <v>50</v>
      </c>
      <c r="P24" s="70" t="s">
        <v>136</v>
      </c>
      <c r="Q24" s="70" t="s">
        <v>48</v>
      </c>
      <c r="R24" s="70" t="s">
        <v>49</v>
      </c>
      <c r="S24" s="70" t="s">
        <v>50</v>
      </c>
      <c r="U24" s="70" t="s">
        <v>136</v>
      </c>
      <c r="V24" s="70" t="s">
        <v>48</v>
      </c>
      <c r="W24" s="70" t="s">
        <v>49</v>
      </c>
      <c r="X24" s="70" t="s">
        <v>50</v>
      </c>
      <c r="Z24" s="70" t="s">
        <v>136</v>
      </c>
      <c r="AA24" s="70" t="s">
        <v>48</v>
      </c>
      <c r="AB24" s="70" t="s">
        <v>49</v>
      </c>
      <c r="AC24" s="71" t="s">
        <v>50</v>
      </c>
      <c r="AE24" s="69" t="s">
        <v>136</v>
      </c>
      <c r="AF24" s="70" t="s">
        <v>48</v>
      </c>
      <c r="AG24" s="70" t="s">
        <v>49</v>
      </c>
      <c r="AH24" s="71" t="s">
        <v>50</v>
      </c>
    </row>
    <row r="25" spans="1:34" x14ac:dyDescent="0.3">
      <c r="A25" s="72">
        <f>B5</f>
        <v>44874</v>
      </c>
      <c r="F25" s="28"/>
      <c r="AC25" s="29"/>
      <c r="AE25" s="28"/>
      <c r="AH25" s="29"/>
    </row>
    <row r="26" spans="1:34" x14ac:dyDescent="0.3">
      <c r="A26" s="72">
        <f>EDATE(A25,6)</f>
        <v>45055</v>
      </c>
      <c r="F26" s="28"/>
      <c r="AC26" s="29"/>
      <c r="AE26" s="28"/>
      <c r="AH26" s="29"/>
    </row>
    <row r="27" spans="1:34" x14ac:dyDescent="0.3">
      <c r="A27" s="72">
        <f t="shared" ref="A27:A45" si="0">EDATE(A26,6)</f>
        <v>45239</v>
      </c>
      <c r="F27" s="28"/>
      <c r="AC27" s="29"/>
      <c r="AE27" s="28"/>
      <c r="AH27" s="29"/>
    </row>
    <row r="28" spans="1:34" x14ac:dyDescent="0.3">
      <c r="A28" s="72">
        <f t="shared" si="0"/>
        <v>45421</v>
      </c>
      <c r="B28">
        <f>B14/B11</f>
        <v>2.7454999999999998</v>
      </c>
      <c r="C28">
        <f>C16/360</f>
        <v>2.2222222222222223E-2</v>
      </c>
      <c r="D28">
        <v>2</v>
      </c>
      <c r="F28" s="28">
        <f>0</f>
        <v>0</v>
      </c>
      <c r="G28">
        <f>1/(1+F28/(100*D28))</f>
        <v>1</v>
      </c>
      <c r="H28">
        <f>B28*POWER(G28,C28*D28)</f>
        <v>2.7454999999999998</v>
      </c>
      <c r="I28">
        <f>-1*0.01*H28*G28*C28</f>
        <v>-6.1011111111111118E-4</v>
      </c>
      <c r="K28">
        <v>4.5509331389539067</v>
      </c>
      <c r="L28">
        <f>1/(1+K28/(100*D28))</f>
        <v>0.9777515894495461</v>
      </c>
      <c r="M28">
        <f>B28*POWER(L28,C28*D28)</f>
        <v>2.7427559162097515</v>
      </c>
      <c r="N28">
        <f>-1*0.01*M28*L28*C28</f>
        <v>-5.9594087923249572E-4</v>
      </c>
      <c r="P28">
        <v>5.8165995322743278</v>
      </c>
      <c r="Q28">
        <f>1/(1+P28/(100*D28))</f>
        <v>0.97173891928302791</v>
      </c>
      <c r="R28">
        <f>B28*POWER(Q28,C28*D28)</f>
        <v>2.7420040808622619</v>
      </c>
      <c r="S28">
        <f>-1*0.01*R28*Q28*C28</f>
        <v>-5.921137960459437E-4</v>
      </c>
      <c r="U28">
        <v>5.894631917311008</v>
      </c>
      <c r="V28">
        <f>1/(1+U28/(100*D28))</f>
        <v>0.97137063816370739</v>
      </c>
      <c r="W28">
        <f>B28*POWER(V28,C28*D28)</f>
        <v>2.7419578859562597</v>
      </c>
      <c r="X28">
        <f>-1*0.01*W28*V28*C28</f>
        <v>-5.9187941811096492E-4</v>
      </c>
      <c r="Z28">
        <v>5.8949064966123652</v>
      </c>
      <c r="AA28">
        <f>1/(1+Z28/(100*D28))</f>
        <v>0.97136934275394826</v>
      </c>
      <c r="AB28">
        <f>B28*POWER(AA28,C28*D28)</f>
        <v>2.7419577234385355</v>
      </c>
      <c r="AC28" s="29">
        <f>-1*0.01*AB28*AA28*C28</f>
        <v>-5.9187859370568954E-4</v>
      </c>
      <c r="AE28" s="28">
        <v>5.8465459736250542</v>
      </c>
      <c r="AF28">
        <f>1/(1+AE28/(100*D28))</f>
        <v>0.97159755124395353</v>
      </c>
      <c r="AG28">
        <f>B28*POWER(AF28,C28*D28)</f>
        <v>2.7419863505083817</v>
      </c>
      <c r="AH28" s="29">
        <f>-1*0.01*AG28*AF28*C28</f>
        <v>-5.920238274885086E-4</v>
      </c>
    </row>
    <row r="29" spans="1:34" x14ac:dyDescent="0.3">
      <c r="A29" s="72">
        <f t="shared" si="0"/>
        <v>45605</v>
      </c>
      <c r="B29">
        <v>2.7454999999999998</v>
      </c>
      <c r="C29">
        <f>C28+DATEDIF(A28,A29,"ym")/12</f>
        <v>0.52222222222222225</v>
      </c>
      <c r="D29">
        <v>2</v>
      </c>
      <c r="F29" s="28">
        <f>0</f>
        <v>0</v>
      </c>
      <c r="G29">
        <f t="shared" ref="G29:G49" si="1">1/(1+F29/(100*D29))</f>
        <v>1</v>
      </c>
      <c r="H29">
        <f t="shared" ref="H29:H49" si="2">B29*POWER(G29,C29*D29)</f>
        <v>2.7454999999999998</v>
      </c>
      <c r="I29">
        <f t="shared" ref="I29:I49" si="3">-1*0.01*H29*G29*C29</f>
        <v>-1.4337611111111112E-2</v>
      </c>
      <c r="K29">
        <v>4.5509331389539067</v>
      </c>
      <c r="L29">
        <f t="shared" ref="L29:L48" si="4">1/(1+K29/(100*D29))</f>
        <v>0.9777515894495461</v>
      </c>
      <c r="M29">
        <f t="shared" ref="M29:M48" si="5">B29*POWER(L29,C29*D29)</f>
        <v>2.6817339565462301</v>
      </c>
      <c r="N29">
        <f t="shared" ref="N29:N49" si="6">-1*0.01*M29*L29*C29</f>
        <v>-1.3693030334357016E-2</v>
      </c>
      <c r="P29">
        <v>5.8165995322743278</v>
      </c>
      <c r="Q29">
        <f t="shared" ref="Q29:Q49" si="7">1/(1+P29/(100*D29))</f>
        <v>0.97173891928302791</v>
      </c>
      <c r="R29">
        <f t="shared" ref="R29:R49" si="8">B29*POWER(Q29,C29*D29)</f>
        <v>2.664512082206747</v>
      </c>
      <c r="S29">
        <f t="shared" ref="S29:S49" si="9">-1*0.01*R29*Q29*C29</f>
        <v>-1.3521430476163032E-2</v>
      </c>
      <c r="U29">
        <v>5.894631917311008</v>
      </c>
      <c r="V29">
        <f t="shared" ref="V29:V49" si="10">1/(1+U29/(100*D29))</f>
        <v>0.97137063816370739</v>
      </c>
      <c r="W29">
        <f t="shared" ref="W29:W49" si="11">B29*POWER(V29,C29*D29)</f>
        <v>2.6634573814993416</v>
      </c>
      <c r="X29">
        <f t="shared" ref="X29:X49" si="12">-1*0.01*W29*V29*C29</f>
        <v>-1.3510955770030676E-2</v>
      </c>
      <c r="Z29">
        <v>5.8949064966123652</v>
      </c>
      <c r="AA29">
        <f t="shared" ref="AA29:AA49" si="13">1/(1+Z29/(100*D29))</f>
        <v>0.97136934275394826</v>
      </c>
      <c r="AB29">
        <f t="shared" ref="AB29:AB49" si="14">B29*POWER(AA29,C29*D29)</f>
        <v>2.6634536716756023</v>
      </c>
      <c r="AC29" s="29">
        <f t="shared" ref="AC29:AC49" si="15">-1*0.01*AB29*AA29*C29</f>
        <v>-1.3510918933113627E-2</v>
      </c>
      <c r="AE29" s="28">
        <v>5.8465459736250542</v>
      </c>
      <c r="AF29">
        <f t="shared" ref="AF29:AF49" si="16">1/(1+AE29/(100*D29))</f>
        <v>0.97159755124395353</v>
      </c>
      <c r="AG29">
        <f t="shared" ref="AG29:AG49" si="17">B29*POWER(AF29,C29*D29)</f>
        <v>2.6641072236982883</v>
      </c>
      <c r="AH29" s="29">
        <f t="shared" ref="AH29:AH49" si="18">-1*0.01*AG29*AF29*C29</f>
        <v>-1.3517409175048831E-2</v>
      </c>
    </row>
    <row r="30" spans="1:34" x14ac:dyDescent="0.3">
      <c r="A30" s="72">
        <f t="shared" si="0"/>
        <v>45786</v>
      </c>
      <c r="B30">
        <v>2.7454999999999998</v>
      </c>
      <c r="C30">
        <f>C29+0.5</f>
        <v>1.0222222222222221</v>
      </c>
      <c r="D30">
        <v>2</v>
      </c>
      <c r="F30" s="28">
        <f>0</f>
        <v>0</v>
      </c>
      <c r="G30">
        <f t="shared" si="1"/>
        <v>1</v>
      </c>
      <c r="H30">
        <f t="shared" si="2"/>
        <v>2.7454999999999998</v>
      </c>
      <c r="I30">
        <f t="shared" si="3"/>
        <v>-2.806511111111111E-2</v>
      </c>
      <c r="K30">
        <v>4.5509331389539067</v>
      </c>
      <c r="L30">
        <f t="shared" si="4"/>
        <v>0.9777515894495461</v>
      </c>
      <c r="M30">
        <f t="shared" si="5"/>
        <v>2.6220696384938966</v>
      </c>
      <c r="N30">
        <f t="shared" si="6"/>
        <v>-2.6207045957222442E-2</v>
      </c>
      <c r="P30">
        <v>5.8165995322743278</v>
      </c>
      <c r="Q30">
        <f t="shared" si="7"/>
        <v>0.97173891928302791</v>
      </c>
      <c r="R30">
        <f t="shared" si="8"/>
        <v>2.5892100911801545</v>
      </c>
      <c r="S30">
        <f t="shared" si="9"/>
        <v>-2.5719481317067826E-2</v>
      </c>
      <c r="U30">
        <v>5.894631917311008</v>
      </c>
      <c r="V30">
        <f t="shared" si="10"/>
        <v>0.97137063816370739</v>
      </c>
      <c r="W30">
        <f t="shared" si="11"/>
        <v>2.5872042963888524</v>
      </c>
      <c r="X30">
        <f t="shared" si="12"/>
        <v>-2.5689817170751944E-2</v>
      </c>
      <c r="Z30">
        <v>5.8949064966123652</v>
      </c>
      <c r="AA30">
        <f t="shared" si="13"/>
        <v>0.97136934275394826</v>
      </c>
      <c r="AB30">
        <f t="shared" si="14"/>
        <v>2.5871972425111203</v>
      </c>
      <c r="AC30" s="29">
        <f t="shared" si="15"/>
        <v>-2.568971286922473E-2</v>
      </c>
      <c r="AE30" s="28">
        <v>5.8465459736250542</v>
      </c>
      <c r="AF30">
        <f t="shared" si="16"/>
        <v>0.97159755124395353</v>
      </c>
      <c r="AG30">
        <f t="shared" si="17"/>
        <v>2.5884400547965849</v>
      </c>
      <c r="AH30" s="29">
        <f t="shared" si="18"/>
        <v>-2.5708091747550624E-2</v>
      </c>
    </row>
    <row r="31" spans="1:34" x14ac:dyDescent="0.3">
      <c r="A31" s="72">
        <f t="shared" si="0"/>
        <v>45970</v>
      </c>
      <c r="B31">
        <v>2.7454999999999998</v>
      </c>
      <c r="C31">
        <f t="shared" ref="C31:C45" si="19">C30+0.5</f>
        <v>1.5222222222222221</v>
      </c>
      <c r="D31">
        <v>2</v>
      </c>
      <c r="F31" s="28">
        <f>0</f>
        <v>0</v>
      </c>
      <c r="G31">
        <f t="shared" si="1"/>
        <v>1</v>
      </c>
      <c r="H31">
        <f t="shared" si="2"/>
        <v>2.7454999999999998</v>
      </c>
      <c r="I31">
        <f t="shared" si="3"/>
        <v>-4.1792611111111107E-2</v>
      </c>
      <c r="K31">
        <v>4.5509331389539067</v>
      </c>
      <c r="L31">
        <f t="shared" si="4"/>
        <v>0.9777515894495461</v>
      </c>
      <c r="M31">
        <f t="shared" si="5"/>
        <v>2.563732756684804</v>
      </c>
      <c r="N31">
        <f t="shared" si="6"/>
        <v>-3.8157449728313711E-2</v>
      </c>
      <c r="P31">
        <v>5.8165995322743278</v>
      </c>
      <c r="Q31">
        <f t="shared" si="7"/>
        <v>0.97173891928302791</v>
      </c>
      <c r="R31">
        <f t="shared" si="8"/>
        <v>2.5160362158001139</v>
      </c>
      <c r="S31">
        <f t="shared" si="9"/>
        <v>-3.7217272545660332E-2</v>
      </c>
      <c r="U31">
        <v>5.894631917311008</v>
      </c>
      <c r="V31">
        <f t="shared" si="10"/>
        <v>0.97137063816370739</v>
      </c>
      <c r="W31">
        <f t="shared" si="11"/>
        <v>2.5131342884431254</v>
      </c>
      <c r="X31">
        <f t="shared" si="12"/>
        <v>-3.7160258387242753E-2</v>
      </c>
      <c r="Z31">
        <v>5.8949064966123652</v>
      </c>
      <c r="AA31">
        <f t="shared" si="13"/>
        <v>0.97136934275394826</v>
      </c>
      <c r="AB31">
        <f t="shared" si="14"/>
        <v>2.513124085032854</v>
      </c>
      <c r="AC31" s="29">
        <f t="shared" si="15"/>
        <v>-3.716005795900388E-2</v>
      </c>
      <c r="AE31" s="28">
        <v>5.8465459736250542</v>
      </c>
      <c r="AF31">
        <f t="shared" si="16"/>
        <v>0.97159755124395353</v>
      </c>
      <c r="AG31">
        <f t="shared" si="17"/>
        <v>2.5149220187821268</v>
      </c>
      <c r="AH31" s="29">
        <f t="shared" si="18"/>
        <v>-3.7195379364166149E-2</v>
      </c>
    </row>
    <row r="32" spans="1:34" x14ac:dyDescent="0.3">
      <c r="A32" s="72">
        <f t="shared" si="0"/>
        <v>46151</v>
      </c>
      <c r="B32">
        <v>2.7454999999999998</v>
      </c>
      <c r="C32">
        <f t="shared" si="19"/>
        <v>2.0222222222222221</v>
      </c>
      <c r="D32">
        <v>2</v>
      </c>
      <c r="F32" s="28">
        <f>0</f>
        <v>0</v>
      </c>
      <c r="G32">
        <f t="shared" si="1"/>
        <v>1</v>
      </c>
      <c r="H32">
        <f t="shared" si="2"/>
        <v>2.7454999999999998</v>
      </c>
      <c r="I32">
        <f t="shared" si="3"/>
        <v>-5.552011111111111E-2</v>
      </c>
      <c r="K32">
        <v>4.5509331389539067</v>
      </c>
      <c r="L32">
        <f t="shared" si="4"/>
        <v>0.9777515894495461</v>
      </c>
      <c r="M32">
        <f t="shared" si="5"/>
        <v>2.5066937777724339</v>
      </c>
      <c r="N32">
        <f t="shared" si="6"/>
        <v>-4.9563126248601312E-2</v>
      </c>
      <c r="P32">
        <v>5.8165995322743278</v>
      </c>
      <c r="Q32">
        <f t="shared" si="7"/>
        <v>0.97173891928302791</v>
      </c>
      <c r="R32">
        <f t="shared" si="8"/>
        <v>2.444930313218562</v>
      </c>
      <c r="S32">
        <f t="shared" si="9"/>
        <v>-4.8044641903628477E-2</v>
      </c>
      <c r="U32">
        <v>5.894631917311008</v>
      </c>
      <c r="V32">
        <f t="shared" si="10"/>
        <v>0.97137063816370739</v>
      </c>
      <c r="W32">
        <f t="shared" si="11"/>
        <v>2.4411848575560935</v>
      </c>
      <c r="X32">
        <f t="shared" si="12"/>
        <v>-4.7952860368743466E-2</v>
      </c>
      <c r="Z32">
        <v>5.8949064966123652</v>
      </c>
      <c r="AA32">
        <f t="shared" si="13"/>
        <v>0.97136934275394826</v>
      </c>
      <c r="AB32">
        <f t="shared" si="14"/>
        <v>2.4411716907374812</v>
      </c>
      <c r="AC32" s="29">
        <f t="shared" si="15"/>
        <v>-4.7952537780242284E-2</v>
      </c>
      <c r="AE32" s="28">
        <v>5.8465459736250542</v>
      </c>
      <c r="AF32">
        <f t="shared" si="16"/>
        <v>0.97159755124395353</v>
      </c>
      <c r="AG32">
        <f t="shared" si="17"/>
        <v>2.4434920750182143</v>
      </c>
      <c r="AH32" s="29">
        <f t="shared" si="18"/>
        <v>-4.8009394090672231E-2</v>
      </c>
    </row>
    <row r="33" spans="1:34" x14ac:dyDescent="0.3">
      <c r="A33" s="72">
        <f t="shared" si="0"/>
        <v>46335</v>
      </c>
      <c r="B33">
        <v>2.7454999999999998</v>
      </c>
      <c r="C33">
        <f t="shared" si="19"/>
        <v>2.5222222222222221</v>
      </c>
      <c r="D33">
        <v>2</v>
      </c>
      <c r="F33" s="28">
        <f>0</f>
        <v>0</v>
      </c>
      <c r="G33">
        <f t="shared" si="1"/>
        <v>1</v>
      </c>
      <c r="H33">
        <f t="shared" si="2"/>
        <v>2.7454999999999998</v>
      </c>
      <c r="I33">
        <f t="shared" si="3"/>
        <v>-6.9247611111111107E-2</v>
      </c>
      <c r="K33">
        <v>4.5509331389539067</v>
      </c>
      <c r="L33">
        <f t="shared" si="4"/>
        <v>0.9777515894495461</v>
      </c>
      <c r="M33">
        <f t="shared" si="5"/>
        <v>2.4509238254802841</v>
      </c>
      <c r="N33">
        <f t="shared" si="6"/>
        <v>-6.0442398797573987E-2</v>
      </c>
      <c r="P33">
        <v>5.8165995322743278</v>
      </c>
      <c r="Q33">
        <f t="shared" si="7"/>
        <v>0.97173891928302791</v>
      </c>
      <c r="R33">
        <f t="shared" si="8"/>
        <v>2.3758339402893203</v>
      </c>
      <c r="S33">
        <f t="shared" si="9"/>
        <v>-5.8230299928435425E-2</v>
      </c>
      <c r="U33">
        <v>5.894631917311008</v>
      </c>
      <c r="V33">
        <f t="shared" si="10"/>
        <v>0.97137063816370739</v>
      </c>
      <c r="W33">
        <f t="shared" si="11"/>
        <v>2.3712952929598412</v>
      </c>
      <c r="X33">
        <f t="shared" si="12"/>
        <v>-5.8097033688146463E-2</v>
      </c>
      <c r="Z33">
        <v>5.8949064966123652</v>
      </c>
      <c r="AA33">
        <f t="shared" si="13"/>
        <v>0.97136934275394826</v>
      </c>
      <c r="AB33">
        <f t="shared" si="14"/>
        <v>2.3712793407812116</v>
      </c>
      <c r="AC33" s="29">
        <f t="shared" si="15"/>
        <v>-5.8096565380681121E-2</v>
      </c>
      <c r="AE33" s="28">
        <v>5.8465459736250542</v>
      </c>
      <c r="AF33">
        <f t="shared" si="16"/>
        <v>0.97159755124395353</v>
      </c>
      <c r="AG33">
        <f t="shared" si="17"/>
        <v>2.3740909165717037</v>
      </c>
      <c r="AH33" s="29">
        <f t="shared" si="18"/>
        <v>-5.8179114340060976E-2</v>
      </c>
    </row>
    <row r="34" spans="1:34" x14ac:dyDescent="0.3">
      <c r="A34" s="72">
        <f t="shared" si="0"/>
        <v>46516</v>
      </c>
      <c r="B34">
        <v>2.7454999999999998</v>
      </c>
      <c r="C34">
        <f t="shared" si="19"/>
        <v>3.0222222222222221</v>
      </c>
      <c r="D34">
        <v>2</v>
      </c>
      <c r="F34" s="28">
        <f>0</f>
        <v>0</v>
      </c>
      <c r="G34">
        <f t="shared" si="1"/>
        <v>1</v>
      </c>
      <c r="H34">
        <f t="shared" si="2"/>
        <v>2.7454999999999998</v>
      </c>
      <c r="I34">
        <f t="shared" si="3"/>
        <v>-8.2975111111111111E-2</v>
      </c>
      <c r="K34">
        <v>4.5509331389539067</v>
      </c>
      <c r="L34">
        <f t="shared" si="4"/>
        <v>0.9777515894495461</v>
      </c>
      <c r="M34">
        <f t="shared" si="5"/>
        <v>2.3963946659831099</v>
      </c>
      <c r="N34">
        <f t="shared" si="6"/>
        <v>-7.0813044962538305E-2</v>
      </c>
      <c r="P34">
        <v>5.8165995322743278</v>
      </c>
      <c r="Q34">
        <f t="shared" si="7"/>
        <v>0.97173891928302791</v>
      </c>
      <c r="R34">
        <f t="shared" si="8"/>
        <v>2.3086903055326817</v>
      </c>
      <c r="S34">
        <f t="shared" si="9"/>
        <v>-6.7801869834272069E-2</v>
      </c>
      <c r="U34">
        <v>5.894631917311008</v>
      </c>
      <c r="V34">
        <f t="shared" si="10"/>
        <v>0.97137063816370739</v>
      </c>
      <c r="W34">
        <f t="shared" si="11"/>
        <v>2.3034066219969964</v>
      </c>
      <c r="X34">
        <f t="shared" si="12"/>
        <v>-6.7621060490871895E-2</v>
      </c>
      <c r="Z34">
        <v>5.8949064966123652</v>
      </c>
      <c r="AA34">
        <f t="shared" si="13"/>
        <v>0.97136934275394826</v>
      </c>
      <c r="AB34">
        <f t="shared" si="14"/>
        <v>2.3033880547406613</v>
      </c>
      <c r="AC34" s="29">
        <f t="shared" si="15"/>
        <v>-6.7620425234297662E-2</v>
      </c>
      <c r="AE34" s="28">
        <v>5.8465459736250542</v>
      </c>
      <c r="AF34">
        <f t="shared" si="16"/>
        <v>0.97159755124395353</v>
      </c>
      <c r="AG34">
        <f t="shared" si="17"/>
        <v>2.3066609209715803</v>
      </c>
      <c r="AH34" s="29">
        <f t="shared" si="18"/>
        <v>-6.7732415538175758E-2</v>
      </c>
    </row>
    <row r="35" spans="1:34" x14ac:dyDescent="0.3">
      <c r="A35" s="72">
        <f t="shared" si="0"/>
        <v>46700</v>
      </c>
      <c r="B35">
        <v>2.7454999999999998</v>
      </c>
      <c r="C35">
        <f t="shared" si="19"/>
        <v>3.5222222222222221</v>
      </c>
      <c r="D35">
        <v>2</v>
      </c>
      <c r="F35" s="28">
        <f>0</f>
        <v>0</v>
      </c>
      <c r="G35">
        <f t="shared" si="1"/>
        <v>1</v>
      </c>
      <c r="H35">
        <f t="shared" si="2"/>
        <v>2.7454999999999998</v>
      </c>
      <c r="I35">
        <f t="shared" si="3"/>
        <v>-9.6702611111111114E-2</v>
      </c>
      <c r="K35">
        <v>4.5509331389539067</v>
      </c>
      <c r="L35">
        <f t="shared" si="4"/>
        <v>0.9777515894495461</v>
      </c>
      <c r="M35">
        <f t="shared" si="5"/>
        <v>2.3430786936134003</v>
      </c>
      <c r="N35">
        <f t="shared" si="6"/>
        <v>-8.069231185031335E-2</v>
      </c>
      <c r="P35">
        <v>5.8165995322743278</v>
      </c>
      <c r="Q35">
        <f t="shared" si="7"/>
        <v>0.97173891928302791</v>
      </c>
      <c r="R35">
        <f t="shared" si="8"/>
        <v>2.2434442224575317</v>
      </c>
      <c r="S35">
        <f t="shared" si="9"/>
        <v>-7.6785926039137253E-2</v>
      </c>
      <c r="U35">
        <v>5.894631917311008</v>
      </c>
      <c r="V35">
        <f t="shared" si="10"/>
        <v>0.97137063816370739</v>
      </c>
      <c r="W35">
        <f t="shared" si="11"/>
        <v>2.2374615603597321</v>
      </c>
      <c r="X35">
        <f t="shared" si="12"/>
        <v>-7.6552135001091884E-2</v>
      </c>
      <c r="Z35">
        <v>5.8949064966123652</v>
      </c>
      <c r="AA35">
        <f t="shared" si="13"/>
        <v>0.97136934275394826</v>
      </c>
      <c r="AB35">
        <f t="shared" si="14"/>
        <v>2.2374405408407316</v>
      </c>
      <c r="AC35" s="29">
        <f t="shared" si="15"/>
        <v>-7.6551313754619724E-2</v>
      </c>
      <c r="AE35" s="28">
        <v>5.8465459736250542</v>
      </c>
      <c r="AF35">
        <f t="shared" si="16"/>
        <v>0.97159755124395353</v>
      </c>
      <c r="AG35">
        <f t="shared" si="17"/>
        <v>2.2411461023661103</v>
      </c>
      <c r="AH35" s="29">
        <f t="shared" si="18"/>
        <v>-7.6696109401923715E-2</v>
      </c>
    </row>
    <row r="36" spans="1:34" x14ac:dyDescent="0.3">
      <c r="A36" s="72">
        <f t="shared" si="0"/>
        <v>46882</v>
      </c>
      <c r="B36">
        <v>2.7454999999999998</v>
      </c>
      <c r="C36">
        <f t="shared" si="19"/>
        <v>4.0222222222222221</v>
      </c>
      <c r="D36">
        <v>2</v>
      </c>
      <c r="F36" s="28">
        <f>0</f>
        <v>0</v>
      </c>
      <c r="G36">
        <f t="shared" si="1"/>
        <v>1</v>
      </c>
      <c r="H36">
        <f t="shared" si="2"/>
        <v>2.7454999999999998</v>
      </c>
      <c r="I36">
        <f t="shared" si="3"/>
        <v>-0.1104301111111111</v>
      </c>
      <c r="K36">
        <v>4.5509331389539067</v>
      </c>
      <c r="L36">
        <f t="shared" si="4"/>
        <v>0.9777515894495461</v>
      </c>
      <c r="M36">
        <f t="shared" si="5"/>
        <v>2.2909489168858679</v>
      </c>
      <c r="N36">
        <f t="shared" si="6"/>
        <v>-9.0096930892166693E-2</v>
      </c>
      <c r="P36">
        <v>5.8165995322743278</v>
      </c>
      <c r="Q36">
        <f t="shared" si="7"/>
        <v>0.97173891928302791</v>
      </c>
      <c r="R36">
        <f t="shared" si="8"/>
        <v>2.1800420642026346</v>
      </c>
      <c r="S36">
        <f t="shared" si="9"/>
        <v>-8.5208031382716778E-2</v>
      </c>
      <c r="U36">
        <v>5.894631917311008</v>
      </c>
      <c r="V36">
        <f t="shared" si="10"/>
        <v>0.97137063816370739</v>
      </c>
      <c r="W36">
        <f t="shared" si="11"/>
        <v>2.1734044637533976</v>
      </c>
      <c r="X36">
        <f t="shared" si="12"/>
        <v>-8.4916402633524846E-2</v>
      </c>
      <c r="Z36">
        <v>5.8949064966123652</v>
      </c>
      <c r="AA36">
        <f t="shared" si="13"/>
        <v>0.97136934275394826</v>
      </c>
      <c r="AB36">
        <f t="shared" si="14"/>
        <v>2.1733811476075</v>
      </c>
      <c r="AC36" s="29">
        <f t="shared" si="15"/>
        <v>-8.4915378413302836E-2</v>
      </c>
      <c r="AE36" s="28">
        <v>5.8465459736250542</v>
      </c>
      <c r="AF36">
        <f t="shared" si="16"/>
        <v>0.97159755124395353</v>
      </c>
      <c r="AG36">
        <f t="shared" si="17"/>
        <v>2.1774920650388436</v>
      </c>
      <c r="AH36" s="29">
        <f t="shared" si="18"/>
        <v>-8.5095981876071841E-2</v>
      </c>
    </row>
    <row r="37" spans="1:34" x14ac:dyDescent="0.3">
      <c r="A37" s="72">
        <f t="shared" si="0"/>
        <v>47066</v>
      </c>
      <c r="B37">
        <v>2.7454999999999998</v>
      </c>
      <c r="C37">
        <f t="shared" si="19"/>
        <v>4.5222222222222221</v>
      </c>
      <c r="D37">
        <v>2</v>
      </c>
      <c r="F37" s="28">
        <f>0</f>
        <v>0</v>
      </c>
      <c r="G37">
        <f t="shared" si="1"/>
        <v>1</v>
      </c>
      <c r="H37">
        <f t="shared" si="2"/>
        <v>2.7454999999999998</v>
      </c>
      <c r="I37">
        <f t="shared" si="3"/>
        <v>-0.12415761111111111</v>
      </c>
      <c r="K37">
        <v>4.5509331389539067</v>
      </c>
      <c r="L37">
        <f t="shared" si="4"/>
        <v>0.9777515894495461</v>
      </c>
      <c r="M37">
        <f t="shared" si="5"/>
        <v>2.2399789448328735</v>
      </c>
      <c r="N37">
        <f t="shared" si="6"/>
        <v>-9.9043132252561186E-2</v>
      </c>
      <c r="P37">
        <v>5.8165995322743278</v>
      </c>
      <c r="Q37">
        <f t="shared" si="7"/>
        <v>0.97173891928302791</v>
      </c>
      <c r="R37">
        <f t="shared" si="8"/>
        <v>2.1184317194598097</v>
      </c>
      <c r="S37">
        <f t="shared" si="9"/>
        <v>-9.3092773078289337E-2</v>
      </c>
      <c r="U37">
        <v>5.894631917311008</v>
      </c>
      <c r="V37">
        <f t="shared" si="10"/>
        <v>0.97137063816370739</v>
      </c>
      <c r="W37">
        <f t="shared" si="11"/>
        <v>2.1111812809439878</v>
      </c>
      <c r="X37">
        <f t="shared" si="12"/>
        <v>-9.2738997757442529E-2</v>
      </c>
      <c r="Z37">
        <v>5.8949064966123652</v>
      </c>
      <c r="AA37">
        <f t="shared" si="13"/>
        <v>0.97136934275394826</v>
      </c>
      <c r="AB37">
        <f t="shared" si="14"/>
        <v>2.1111558169053191</v>
      </c>
      <c r="AC37" s="29">
        <f t="shared" si="15"/>
        <v>-9.2737755510625255E-2</v>
      </c>
      <c r="AE37" s="28">
        <v>5.8465459736250542</v>
      </c>
      <c r="AF37">
        <f t="shared" si="16"/>
        <v>0.97159755124395353</v>
      </c>
      <c r="AG37">
        <f t="shared" si="17"/>
        <v>2.1156459582448801</v>
      </c>
      <c r="AH37" s="29">
        <f t="shared" si="18"/>
        <v>-9.2956829773140723E-2</v>
      </c>
    </row>
    <row r="38" spans="1:34" x14ac:dyDescent="0.3">
      <c r="A38" s="72">
        <f t="shared" si="0"/>
        <v>47247</v>
      </c>
      <c r="B38">
        <v>2.7454999999999998</v>
      </c>
      <c r="C38">
        <f t="shared" si="19"/>
        <v>5.0222222222222221</v>
      </c>
      <c r="D38">
        <v>2</v>
      </c>
      <c r="F38" s="28">
        <f>0</f>
        <v>0</v>
      </c>
      <c r="G38">
        <f t="shared" si="1"/>
        <v>1</v>
      </c>
      <c r="H38">
        <f t="shared" si="2"/>
        <v>2.7454999999999998</v>
      </c>
      <c r="I38">
        <f t="shared" si="3"/>
        <v>-0.1378851111111111</v>
      </c>
      <c r="K38">
        <v>4.5509331389539067</v>
      </c>
      <c r="L38">
        <f t="shared" si="4"/>
        <v>0.9777515894495461</v>
      </c>
      <c r="M38">
        <f t="shared" si="5"/>
        <v>2.1901429736438591</v>
      </c>
      <c r="N38">
        <f t="shared" si="6"/>
        <v>-0.10754665885201349</v>
      </c>
      <c r="P38">
        <v>5.8165995322743278</v>
      </c>
      <c r="Q38">
        <f t="shared" si="7"/>
        <v>0.97173891928302791</v>
      </c>
      <c r="R38">
        <f t="shared" si="8"/>
        <v>2.0585625496427622</v>
      </c>
      <c r="S38">
        <f t="shared" si="9"/>
        <v>-0.10046379744048892</v>
      </c>
      <c r="U38">
        <v>5.894631917311008</v>
      </c>
      <c r="V38">
        <f t="shared" si="10"/>
        <v>0.97137063816370739</v>
      </c>
      <c r="W38">
        <f t="shared" si="11"/>
        <v>2.0507395081498347</v>
      </c>
      <c r="X38">
        <f t="shared" si="12"/>
        <v>-0.10004408015800474</v>
      </c>
      <c r="Z38">
        <v>5.8949064966123652</v>
      </c>
      <c r="AA38">
        <f t="shared" si="13"/>
        <v>0.97136934275394826</v>
      </c>
      <c r="AB38">
        <f t="shared" si="14"/>
        <v>2.0507120383184945</v>
      </c>
      <c r="AC38" s="29">
        <f t="shared" si="15"/>
        <v>-0.10004260664302764</v>
      </c>
      <c r="AE38" s="28">
        <v>5.8465459736250542</v>
      </c>
      <c r="AF38">
        <f t="shared" si="16"/>
        <v>0.97159755124395353</v>
      </c>
      <c r="AG38">
        <f t="shared" si="17"/>
        <v>2.0555564323298929</v>
      </c>
      <c r="AH38" s="29">
        <f t="shared" si="18"/>
        <v>-0.10030249615946196</v>
      </c>
    </row>
    <row r="39" spans="1:34" x14ac:dyDescent="0.3">
      <c r="A39" s="72">
        <f t="shared" si="0"/>
        <v>47431</v>
      </c>
      <c r="B39">
        <v>2.7454999999999998</v>
      </c>
      <c r="C39">
        <f t="shared" si="19"/>
        <v>5.5222222222222221</v>
      </c>
      <c r="D39">
        <v>2</v>
      </c>
      <c r="F39" s="28">
        <f>0</f>
        <v>0</v>
      </c>
      <c r="G39">
        <f t="shared" si="1"/>
        <v>1</v>
      </c>
      <c r="H39">
        <f t="shared" si="2"/>
        <v>2.7454999999999998</v>
      </c>
      <c r="I39">
        <f t="shared" si="3"/>
        <v>-0.1516126111111111</v>
      </c>
      <c r="K39">
        <v>4.5509331389539067</v>
      </c>
      <c r="L39">
        <f t="shared" si="4"/>
        <v>0.9777515894495461</v>
      </c>
      <c r="M39">
        <f t="shared" si="5"/>
        <v>2.1414157736020383</v>
      </c>
      <c r="N39">
        <f t="shared" si="6"/>
        <v>-0.11562278001410288</v>
      </c>
      <c r="P39">
        <v>5.8165995322743278</v>
      </c>
      <c r="Q39">
        <f t="shared" si="7"/>
        <v>0.97173891928302791</v>
      </c>
      <c r="R39">
        <f t="shared" si="8"/>
        <v>2.0003853472663722</v>
      </c>
      <c r="S39">
        <f t="shared" si="9"/>
        <v>-0.10734384342940087</v>
      </c>
      <c r="U39">
        <v>5.894631917311008</v>
      </c>
      <c r="V39">
        <f t="shared" si="10"/>
        <v>0.97137063816370739</v>
      </c>
      <c r="W39">
        <f t="shared" si="11"/>
        <v>1.9920281447390324</v>
      </c>
      <c r="X39">
        <f t="shared" si="12"/>
        <v>-0.10685487023855826</v>
      </c>
      <c r="Z39">
        <v>5.8949064966123652</v>
      </c>
      <c r="AA39">
        <f t="shared" si="13"/>
        <v>0.97136934275394826</v>
      </c>
      <c r="AB39">
        <f t="shared" si="14"/>
        <v>1.9919988048390453</v>
      </c>
      <c r="AC39" s="29">
        <f t="shared" si="15"/>
        <v>-0.10685315391134528</v>
      </c>
      <c r="AE39" s="28">
        <v>5.8465459736250542</v>
      </c>
      <c r="AF39">
        <f t="shared" si="16"/>
        <v>0.97159755124395353</v>
      </c>
      <c r="AG39">
        <f t="shared" si="17"/>
        <v>1.9971735960954815</v>
      </c>
      <c r="AH39" s="29">
        <f t="shared" si="18"/>
        <v>-0.10715590452906655</v>
      </c>
    </row>
    <row r="40" spans="1:34" x14ac:dyDescent="0.3">
      <c r="A40" s="72">
        <f t="shared" si="0"/>
        <v>47612</v>
      </c>
      <c r="B40">
        <v>2.7454999999999998</v>
      </c>
      <c r="C40">
        <f t="shared" si="19"/>
        <v>6.0222222222222221</v>
      </c>
      <c r="D40">
        <v>2</v>
      </c>
      <c r="F40" s="28">
        <f>0</f>
        <v>0</v>
      </c>
      <c r="G40">
        <f t="shared" si="1"/>
        <v>1</v>
      </c>
      <c r="H40">
        <f t="shared" si="2"/>
        <v>2.7454999999999998</v>
      </c>
      <c r="I40">
        <f t="shared" si="3"/>
        <v>-0.1653401111111111</v>
      </c>
      <c r="K40">
        <v>4.5509331389539067</v>
      </c>
      <c r="L40">
        <f t="shared" si="4"/>
        <v>0.9777515894495461</v>
      </c>
      <c r="M40">
        <f t="shared" si="5"/>
        <v>2.0937726763117226</v>
      </c>
      <c r="N40">
        <f t="shared" si="6"/>
        <v>-0.12328630474641342</v>
      </c>
      <c r="P40">
        <v>5.8165995322743278</v>
      </c>
      <c r="Q40">
        <f t="shared" si="7"/>
        <v>0.97173891928302791</v>
      </c>
      <c r="R40">
        <f t="shared" si="8"/>
        <v>1.943852295502229</v>
      </c>
      <c r="S40">
        <f t="shared" si="9"/>
        <v>-0.11375477505015841</v>
      </c>
      <c r="U40">
        <v>5.894631917311008</v>
      </c>
      <c r="V40">
        <f t="shared" si="10"/>
        <v>0.97137063816370739</v>
      </c>
      <c r="W40">
        <f t="shared" si="11"/>
        <v>1.93499765019522</v>
      </c>
      <c r="X40">
        <f t="shared" si="12"/>
        <v>-0.11319368300610551</v>
      </c>
      <c r="Z40">
        <v>5.8949064966123652</v>
      </c>
      <c r="AA40">
        <f t="shared" si="13"/>
        <v>0.97136934275394826</v>
      </c>
      <c r="AB40">
        <f t="shared" si="14"/>
        <v>1.9349665698231542</v>
      </c>
      <c r="AC40" s="29">
        <f t="shared" si="15"/>
        <v>-0.11319171391194985</v>
      </c>
      <c r="AE40" s="28">
        <v>5.8465459736250542</v>
      </c>
      <c r="AF40">
        <f t="shared" si="16"/>
        <v>0.97159755124395353</v>
      </c>
      <c r="AG40">
        <f t="shared" si="17"/>
        <v>1.9404489753754506</v>
      </c>
      <c r="AH40" s="29">
        <f t="shared" si="18"/>
        <v>-0.11353909180571506</v>
      </c>
    </row>
    <row r="41" spans="1:34" x14ac:dyDescent="0.3">
      <c r="A41" s="72">
        <f t="shared" si="0"/>
        <v>47796</v>
      </c>
      <c r="B41">
        <v>2.7454999999999998</v>
      </c>
      <c r="C41">
        <f t="shared" si="19"/>
        <v>6.5222222222222221</v>
      </c>
      <c r="D41">
        <v>2</v>
      </c>
      <c r="F41" s="28">
        <f>0</f>
        <v>0</v>
      </c>
      <c r="G41">
        <f t="shared" si="1"/>
        <v>1</v>
      </c>
      <c r="H41">
        <f t="shared" si="2"/>
        <v>2.7454999999999998</v>
      </c>
      <c r="I41">
        <f t="shared" si="3"/>
        <v>-0.17906761111111111</v>
      </c>
      <c r="K41">
        <v>4.5509331389539067</v>
      </c>
      <c r="L41">
        <f t="shared" si="4"/>
        <v>0.9777515894495461</v>
      </c>
      <c r="M41">
        <f t="shared" si="5"/>
        <v>2.0471895622098168</v>
      </c>
      <c r="N41">
        <f t="shared" si="6"/>
        <v>-0.13055159466494268</v>
      </c>
      <c r="P41">
        <v>5.8165995322743278</v>
      </c>
      <c r="Q41">
        <f t="shared" si="7"/>
        <v>0.97173891928302791</v>
      </c>
      <c r="R41">
        <f t="shared" si="8"/>
        <v>1.8889169288771688</v>
      </c>
      <c r="S41">
        <f t="shared" si="9"/>
        <v>-0.11971761264593743</v>
      </c>
      <c r="U41">
        <v>5.894631917311008</v>
      </c>
      <c r="V41">
        <f t="shared" si="10"/>
        <v>0.97137063816370739</v>
      </c>
      <c r="W41">
        <f t="shared" si="11"/>
        <v>1.8795999023154053</v>
      </c>
      <c r="X41">
        <f t="shared" si="12"/>
        <v>-0.11908196088076389</v>
      </c>
      <c r="Z41">
        <v>5.8949064966123652</v>
      </c>
      <c r="AA41">
        <f t="shared" si="13"/>
        <v>0.97136934275394826</v>
      </c>
      <c r="AB41">
        <f t="shared" si="14"/>
        <v>1.879567205179979</v>
      </c>
      <c r="AC41" s="29">
        <f t="shared" si="15"/>
        <v>-0.11907973055163143</v>
      </c>
      <c r="AE41" s="28">
        <v>5.8465459736250542</v>
      </c>
      <c r="AF41">
        <f t="shared" si="16"/>
        <v>0.97159755124395353</v>
      </c>
      <c r="AG41">
        <f t="shared" si="17"/>
        <v>1.8853354727886265</v>
      </c>
      <c r="AH41" s="29">
        <f t="shared" si="18"/>
        <v>-0.11947324021206913</v>
      </c>
    </row>
    <row r="42" spans="1:34" x14ac:dyDescent="0.3">
      <c r="A42" s="72">
        <f t="shared" si="0"/>
        <v>47977</v>
      </c>
      <c r="B42">
        <v>2.7454999999999998</v>
      </c>
      <c r="C42">
        <f t="shared" si="19"/>
        <v>7.0222222222222221</v>
      </c>
      <c r="D42">
        <v>2</v>
      </c>
      <c r="F42" s="28">
        <f>0</f>
        <v>0</v>
      </c>
      <c r="G42">
        <f t="shared" si="1"/>
        <v>1</v>
      </c>
      <c r="H42">
        <f t="shared" si="2"/>
        <v>2.7454999999999998</v>
      </c>
      <c r="I42">
        <f t="shared" si="3"/>
        <v>-0.19279511111111111</v>
      </c>
      <c r="K42">
        <v>4.5509331389539067</v>
      </c>
      <c r="L42">
        <f t="shared" si="4"/>
        <v>0.9777515894495461</v>
      </c>
      <c r="M42">
        <f t="shared" si="5"/>
        <v>2.0016428483551687</v>
      </c>
      <c r="N42">
        <f t="shared" si="6"/>
        <v>-0.13743257657126851</v>
      </c>
      <c r="P42">
        <v>5.8165995322743278</v>
      </c>
      <c r="Q42">
        <f t="shared" si="7"/>
        <v>0.97173891928302791</v>
      </c>
      <c r="R42">
        <f t="shared" si="8"/>
        <v>1.8355340950825163</v>
      </c>
      <c r="S42">
        <f t="shared" si="9"/>
        <v>-0.12525256312102059</v>
      </c>
      <c r="U42">
        <v>5.894631917311008</v>
      </c>
      <c r="V42">
        <f t="shared" si="10"/>
        <v>0.97137063816370739</v>
      </c>
      <c r="W42">
        <f t="shared" si="11"/>
        <v>1.8257881566045573</v>
      </c>
      <c r="X42">
        <f t="shared" si="12"/>
        <v>-0.12454030536869679</v>
      </c>
      <c r="Z42">
        <v>5.8949064966123652</v>
      </c>
      <c r="AA42">
        <f t="shared" si="13"/>
        <v>0.97136934275394826</v>
      </c>
      <c r="AB42">
        <f t="shared" si="14"/>
        <v>1.8257539607575517</v>
      </c>
      <c r="AC42" s="29">
        <f t="shared" si="15"/>
        <v>-0.12453780672571289</v>
      </c>
      <c r="AE42" s="28">
        <v>5.8465459736250542</v>
      </c>
      <c r="AF42">
        <f t="shared" si="16"/>
        <v>0.97159755124395353</v>
      </c>
      <c r="AG42">
        <f t="shared" si="17"/>
        <v>1.8317873286347908</v>
      </c>
      <c r="AH42" s="29">
        <f t="shared" si="18"/>
        <v>-0.12497870804373334</v>
      </c>
    </row>
    <row r="43" spans="1:34" x14ac:dyDescent="0.3">
      <c r="A43" s="72">
        <f t="shared" si="0"/>
        <v>48161</v>
      </c>
      <c r="B43">
        <v>2.7454999999999998</v>
      </c>
      <c r="C43">
        <f t="shared" si="19"/>
        <v>7.5222222222222221</v>
      </c>
      <c r="D43">
        <v>2</v>
      </c>
      <c r="F43" s="28">
        <f>0</f>
        <v>0</v>
      </c>
      <c r="G43">
        <f t="shared" si="1"/>
        <v>1</v>
      </c>
      <c r="H43">
        <f t="shared" si="2"/>
        <v>2.7454999999999998</v>
      </c>
      <c r="I43">
        <f t="shared" si="3"/>
        <v>-0.20652261111111112</v>
      </c>
      <c r="K43">
        <v>4.5509331389539067</v>
      </c>
      <c r="L43">
        <f t="shared" si="4"/>
        <v>0.9777515894495461</v>
      </c>
      <c r="M43">
        <f t="shared" si="5"/>
        <v>1.9571094764895831</v>
      </c>
      <c r="N43">
        <f t="shared" si="6"/>
        <v>-0.14394275469152654</v>
      </c>
      <c r="P43">
        <v>5.8165995322743278</v>
      </c>
      <c r="Q43">
        <f t="shared" si="7"/>
        <v>0.97173891928302791</v>
      </c>
      <c r="R43">
        <f t="shared" si="8"/>
        <v>1.7836599178626349</v>
      </c>
      <c r="S43">
        <f t="shared" si="9"/>
        <v>-0.13037904912941123</v>
      </c>
      <c r="U43">
        <v>5.894631917311008</v>
      </c>
      <c r="V43">
        <f t="shared" si="10"/>
        <v>0.97137063816370739</v>
      </c>
      <c r="W43">
        <f t="shared" si="11"/>
        <v>1.7735170068327077</v>
      </c>
      <c r="X43">
        <f t="shared" si="12"/>
        <v>-0.12958850763670041</v>
      </c>
      <c r="Z43">
        <v>5.8949064966123652</v>
      </c>
      <c r="AA43">
        <f t="shared" si="13"/>
        <v>0.97136934275394826</v>
      </c>
      <c r="AB43">
        <f t="shared" si="14"/>
        <v>1.7734814248914808</v>
      </c>
      <c r="AC43" s="29">
        <f t="shared" si="15"/>
        <v>-0.12958573489758982</v>
      </c>
      <c r="AE43" s="28">
        <v>5.8465459736250542</v>
      </c>
      <c r="AF43">
        <f t="shared" si="16"/>
        <v>0.97159755124395353</v>
      </c>
      <c r="AG43">
        <f t="shared" si="17"/>
        <v>1.7797600829012661</v>
      </c>
      <c r="AH43" s="29">
        <f t="shared" si="18"/>
        <v>-0.13007505938466735</v>
      </c>
    </row>
    <row r="44" spans="1:34" x14ac:dyDescent="0.3">
      <c r="A44" s="72">
        <f>EDATE(A43,6)</f>
        <v>48343</v>
      </c>
      <c r="B44">
        <v>2.7454999999999998</v>
      </c>
      <c r="C44">
        <f t="shared" si="19"/>
        <v>8.0222222222222221</v>
      </c>
      <c r="D44">
        <v>2</v>
      </c>
      <c r="F44" s="28">
        <f>0</f>
        <v>0</v>
      </c>
      <c r="G44">
        <f t="shared" si="1"/>
        <v>1</v>
      </c>
      <c r="H44">
        <f t="shared" si="2"/>
        <v>2.7454999999999998</v>
      </c>
      <c r="I44">
        <f t="shared" si="3"/>
        <v>-0.22025011111111112</v>
      </c>
      <c r="K44">
        <v>4.5509331389539067</v>
      </c>
      <c r="L44">
        <f t="shared" si="4"/>
        <v>0.9777515894495461</v>
      </c>
      <c r="M44">
        <f t="shared" si="5"/>
        <v>1.9135669013644589</v>
      </c>
      <c r="N44">
        <f t="shared" si="6"/>
        <v>-0.1500952225860219</v>
      </c>
      <c r="P44">
        <v>5.8165995322743278</v>
      </c>
      <c r="Q44">
        <f t="shared" si="7"/>
        <v>0.97173891928302791</v>
      </c>
      <c r="R44">
        <f t="shared" si="8"/>
        <v>1.7332517609522911</v>
      </c>
      <c r="S44">
        <f t="shared" si="9"/>
        <v>-0.13511573726332879</v>
      </c>
      <c r="U44">
        <v>5.894631917311008</v>
      </c>
      <c r="V44">
        <f t="shared" si="10"/>
        <v>0.97137063816370739</v>
      </c>
      <c r="W44">
        <f t="shared" si="11"/>
        <v>1.7227423467212755</v>
      </c>
      <c r="X44">
        <f t="shared" si="12"/>
        <v>-0.13424557802537559</v>
      </c>
      <c r="Z44">
        <v>5.8949064966123652</v>
      </c>
      <c r="AA44">
        <f t="shared" si="13"/>
        <v>0.97136934275394826</v>
      </c>
      <c r="AB44">
        <f t="shared" si="14"/>
        <v>1.7227054860831732</v>
      </c>
      <c r="AC44" s="29">
        <f t="shared" si="15"/>
        <v>-0.13424252661663535</v>
      </c>
      <c r="AE44" s="28">
        <v>5.8465459736250542</v>
      </c>
      <c r="AF44">
        <f t="shared" si="16"/>
        <v>0.97159755124395353</v>
      </c>
      <c r="AG44">
        <f t="shared" si="17"/>
        <v>1.7292105383486056</v>
      </c>
      <c r="AH44" s="29">
        <f t="shared" si="18"/>
        <v>-0.13478109279927833</v>
      </c>
    </row>
    <row r="45" spans="1:34" x14ac:dyDescent="0.3">
      <c r="A45" s="72">
        <f t="shared" si="0"/>
        <v>48527</v>
      </c>
      <c r="B45">
        <v>2.7454999999999998</v>
      </c>
      <c r="C45">
        <f t="shared" si="19"/>
        <v>8.5222222222222221</v>
      </c>
      <c r="D45">
        <v>2</v>
      </c>
      <c r="F45" s="28">
        <f>0</f>
        <v>0</v>
      </c>
      <c r="G45">
        <f t="shared" si="1"/>
        <v>1</v>
      </c>
      <c r="H45">
        <f t="shared" si="2"/>
        <v>2.7454999999999998</v>
      </c>
      <c r="I45">
        <f t="shared" si="3"/>
        <v>-0.23397761111111112</v>
      </c>
      <c r="K45">
        <v>4.5509331389539067</v>
      </c>
      <c r="L45">
        <f t="shared" si="4"/>
        <v>0.9777515894495461</v>
      </c>
      <c r="M45">
        <f t="shared" si="5"/>
        <v>1.8709930793271423</v>
      </c>
      <c r="N45">
        <f t="shared" si="6"/>
        <v>-0.15590267473807234</v>
      </c>
      <c r="P45">
        <v>5.8165995322743278</v>
      </c>
      <c r="Q45">
        <f t="shared" si="7"/>
        <v>0.97173891928302791</v>
      </c>
      <c r="R45">
        <f t="shared" si="8"/>
        <v>1.6842681930331844</v>
      </c>
      <c r="S45">
        <f t="shared" si="9"/>
        <v>-0.13948056527480088</v>
      </c>
      <c r="U45">
        <v>5.894631917311008</v>
      </c>
      <c r="V45">
        <f t="shared" si="10"/>
        <v>0.97137063816370739</v>
      </c>
      <c r="W45">
        <f t="shared" si="11"/>
        <v>1.6734213327262881</v>
      </c>
      <c r="X45">
        <f t="shared" si="12"/>
        <v>-0.13852977453660031</v>
      </c>
      <c r="Z45">
        <v>5.8949064966123652</v>
      </c>
      <c r="AA45">
        <f t="shared" si="13"/>
        <v>0.97136934275394826</v>
      </c>
      <c r="AB45">
        <f t="shared" si="14"/>
        <v>1.6733832957752328</v>
      </c>
      <c r="AC45" s="29">
        <f t="shared" si="15"/>
        <v>-0.1385264410101936</v>
      </c>
      <c r="AE45" s="28">
        <v>5.8465459736250542</v>
      </c>
      <c r="AF45">
        <f t="shared" si="16"/>
        <v>0.97159755124395353</v>
      </c>
      <c r="AG45">
        <f t="shared" si="17"/>
        <v>1.680096724644744</v>
      </c>
      <c r="AH45" s="29">
        <f t="shared" si="18"/>
        <v>-0.139114869035352</v>
      </c>
    </row>
    <row r="46" spans="1:34" x14ac:dyDescent="0.3">
      <c r="A46" s="73">
        <v>48619</v>
      </c>
      <c r="B46">
        <f>(A46-A45)*C14/360</f>
        <v>2.0917222222222227</v>
      </c>
      <c r="C46">
        <f>(A46-B2)/360</f>
        <v>8.905555555555555</v>
      </c>
      <c r="D46">
        <v>4</v>
      </c>
      <c r="F46" s="28">
        <f>0</f>
        <v>0</v>
      </c>
      <c r="G46">
        <f t="shared" si="1"/>
        <v>1</v>
      </c>
      <c r="H46">
        <f t="shared" si="2"/>
        <v>2.0917222222222227</v>
      </c>
      <c r="I46">
        <f t="shared" si="3"/>
        <v>-0.18627948456790125</v>
      </c>
      <c r="K46">
        <v>4.5509331389539067</v>
      </c>
      <c r="L46">
        <f t="shared" si="4"/>
        <v>0.98875065469842638</v>
      </c>
      <c r="M46">
        <f t="shared" si="5"/>
        <v>1.3979265096793032</v>
      </c>
      <c r="N46">
        <f t="shared" si="6"/>
        <v>-0.12309265582889513</v>
      </c>
      <c r="P46">
        <v>5.8165995322743278</v>
      </c>
      <c r="Q46">
        <f t="shared" si="7"/>
        <v>0.98566692555460211</v>
      </c>
      <c r="R46">
        <f t="shared" si="8"/>
        <v>1.2507175014591463</v>
      </c>
      <c r="S46">
        <f t="shared" si="9"/>
        <v>-0.1097868762035619</v>
      </c>
      <c r="U46">
        <v>5.894631917311008</v>
      </c>
      <c r="V46">
        <f t="shared" si="10"/>
        <v>0.98547743317159253</v>
      </c>
      <c r="W46">
        <f t="shared" si="11"/>
        <v>1.2421806607939578</v>
      </c>
      <c r="X46">
        <f t="shared" si="12"/>
        <v>-0.10901655764682219</v>
      </c>
      <c r="Z46">
        <v>5.8949064966123652</v>
      </c>
      <c r="AA46">
        <f t="shared" si="13"/>
        <v>0.98547676651699612</v>
      </c>
      <c r="AB46">
        <f t="shared" si="14"/>
        <v>1.2421507274745136</v>
      </c>
      <c r="AC46" s="29">
        <f t="shared" si="15"/>
        <v>-0.10901385688603465</v>
      </c>
      <c r="AE46" s="28">
        <v>5.8465459736250542</v>
      </c>
      <c r="AF46">
        <f t="shared" si="16"/>
        <v>0.98559419556078953</v>
      </c>
      <c r="AG46">
        <f t="shared" si="17"/>
        <v>1.2474342135844549</v>
      </c>
      <c r="AH46" s="29">
        <f t="shared" si="18"/>
        <v>-0.1094905924536223</v>
      </c>
    </row>
    <row r="47" spans="1:34" x14ac:dyDescent="0.3">
      <c r="A47" s="73">
        <v>48708</v>
      </c>
      <c r="B47">
        <f>(A47-A46)*C14/360</f>
        <v>2.0235138888888891</v>
      </c>
      <c r="C47">
        <f>(A47-B2)/360</f>
        <v>9.1527777777777786</v>
      </c>
      <c r="D47">
        <v>4</v>
      </c>
      <c r="F47" s="28">
        <f>0</f>
        <v>0</v>
      </c>
      <c r="G47">
        <f t="shared" si="1"/>
        <v>1</v>
      </c>
      <c r="H47">
        <f t="shared" si="2"/>
        <v>2.0235138888888891</v>
      </c>
      <c r="I47">
        <f t="shared" si="3"/>
        <v>-0.18520772955246917</v>
      </c>
      <c r="K47">
        <v>4.5509331389539067</v>
      </c>
      <c r="L47">
        <f t="shared" si="4"/>
        <v>0.98875065469842638</v>
      </c>
      <c r="M47">
        <f t="shared" si="5"/>
        <v>1.3372970771548043</v>
      </c>
      <c r="N47">
        <f t="shared" si="6"/>
        <v>-0.12102291175153974</v>
      </c>
      <c r="P47">
        <v>5.8165995322743278</v>
      </c>
      <c r="Q47">
        <f t="shared" si="7"/>
        <v>0.98566692555460211</v>
      </c>
      <c r="R47">
        <f t="shared" si="8"/>
        <v>1.1927824893464958</v>
      </c>
      <c r="S47">
        <f t="shared" si="9"/>
        <v>-0.10760794974671629</v>
      </c>
      <c r="U47">
        <v>5.894631917311008</v>
      </c>
      <c r="V47">
        <f t="shared" si="10"/>
        <v>0.98547743317159253</v>
      </c>
      <c r="W47">
        <f t="shared" si="11"/>
        <v>1.1844158727845564</v>
      </c>
      <c r="X47">
        <f t="shared" si="12"/>
        <v>-0.10683260558398545</v>
      </c>
      <c r="Z47">
        <v>5.8949064966123652</v>
      </c>
      <c r="AA47">
        <f t="shared" si="13"/>
        <v>0.98547676651699612</v>
      </c>
      <c r="AB47">
        <f t="shared" si="14"/>
        <v>1.1843865391355273</v>
      </c>
      <c r="AC47" s="29">
        <f t="shared" si="15"/>
        <v>-0.1068298874628944</v>
      </c>
      <c r="AE47" s="28">
        <v>5.8465459736250542</v>
      </c>
      <c r="AF47">
        <f t="shared" si="16"/>
        <v>0.98559419556078953</v>
      </c>
      <c r="AG47">
        <f t="shared" si="17"/>
        <v>1.1895644818369639</v>
      </c>
      <c r="AH47" s="29">
        <f t="shared" si="18"/>
        <v>-0.10730971558199412</v>
      </c>
    </row>
    <row r="48" spans="1:34" x14ac:dyDescent="0.3">
      <c r="A48" s="73">
        <v>48800</v>
      </c>
      <c r="B48">
        <f>(A48-A47)*C14/360</f>
        <v>2.0917222222222227</v>
      </c>
      <c r="C48">
        <f>(A48-B2)/360</f>
        <v>9.4083333333333332</v>
      </c>
      <c r="D48">
        <v>4</v>
      </c>
      <c r="F48" s="28">
        <f>0</f>
        <v>0</v>
      </c>
      <c r="G48">
        <f t="shared" si="1"/>
        <v>1</v>
      </c>
      <c r="H48">
        <f t="shared" si="2"/>
        <v>2.0917222222222227</v>
      </c>
      <c r="I48">
        <f t="shared" si="3"/>
        <v>-0.19679619907407411</v>
      </c>
      <c r="K48">
        <v>4.5509331389539067</v>
      </c>
      <c r="L48">
        <f t="shared" si="4"/>
        <v>0.98875065469842638</v>
      </c>
      <c r="M48">
        <f t="shared" si="5"/>
        <v>1.3664801193027585</v>
      </c>
      <c r="N48">
        <f t="shared" si="6"/>
        <v>-0.12711675492645677</v>
      </c>
      <c r="P48">
        <v>5.8165995322743278</v>
      </c>
      <c r="Q48">
        <f t="shared" si="7"/>
        <v>0.98566692555460211</v>
      </c>
      <c r="R48">
        <f t="shared" si="8"/>
        <v>1.2149262906149034</v>
      </c>
      <c r="S48">
        <f t="shared" si="9"/>
        <v>-0.11266598291651361</v>
      </c>
      <c r="U48">
        <v>5.894631917311008</v>
      </c>
      <c r="V48">
        <f t="shared" si="10"/>
        <v>0.98547743317159253</v>
      </c>
      <c r="W48">
        <f t="shared" si="11"/>
        <v>1.20616726710849</v>
      </c>
      <c r="X48">
        <f t="shared" si="12"/>
        <v>-0.11183221272090339</v>
      </c>
      <c r="Z48">
        <v>5.8949064966123652</v>
      </c>
      <c r="AA48">
        <f t="shared" si="13"/>
        <v>0.98547676651699612</v>
      </c>
      <c r="AB48">
        <f t="shared" si="14"/>
        <v>1.206136560698907</v>
      </c>
      <c r="AC48" s="29">
        <f t="shared" si="15"/>
        <v>-0.11182929006447397</v>
      </c>
      <c r="AE48" s="28">
        <v>5.8465459736250542</v>
      </c>
      <c r="AF48">
        <f t="shared" si="16"/>
        <v>0.98559419556078953</v>
      </c>
      <c r="AG48">
        <f t="shared" si="17"/>
        <v>1.2115571500218585</v>
      </c>
      <c r="AH48" s="29">
        <f t="shared" si="18"/>
        <v>-0.11234525593848232</v>
      </c>
    </row>
    <row r="49" spans="1:34" x14ac:dyDescent="0.3">
      <c r="A49" s="73">
        <v>48892</v>
      </c>
      <c r="B49">
        <f>((A49-A48)*C14/360)+100</f>
        <v>102.09172222222222</v>
      </c>
      <c r="C49">
        <f>(A49-B2)/360</f>
        <v>9.6638888888888896</v>
      </c>
      <c r="D49">
        <v>4</v>
      </c>
      <c r="F49" s="28">
        <f>0</f>
        <v>0</v>
      </c>
      <c r="G49">
        <f t="shared" si="1"/>
        <v>1</v>
      </c>
      <c r="H49">
        <f t="shared" si="2"/>
        <v>102.09172222222222</v>
      </c>
      <c r="I49">
        <f t="shared" si="3"/>
        <v>-9.8660306003086422</v>
      </c>
      <c r="K49">
        <v>4.5509331389539067</v>
      </c>
      <c r="L49">
        <f>1/(1+K49/(100*D49))</f>
        <v>0.98875065469842638</v>
      </c>
      <c r="M49">
        <f>B49*POWER(L49,C49*D49)</f>
        <v>65.927626224325351</v>
      </c>
      <c r="N49">
        <f t="shared" si="6"/>
        <v>-6.299501025461657</v>
      </c>
      <c r="P49">
        <v>5.8165995322743278</v>
      </c>
      <c r="Q49">
        <f t="shared" si="7"/>
        <v>0.98566692555460211</v>
      </c>
      <c r="R49">
        <f t="shared" si="8"/>
        <v>58.428845428514954</v>
      </c>
      <c r="S49">
        <f t="shared" si="9"/>
        <v>-5.5655670150311414</v>
      </c>
      <c r="U49">
        <v>5.894631917311008</v>
      </c>
      <c r="V49">
        <f t="shared" si="10"/>
        <v>0.98547743317159253</v>
      </c>
      <c r="W49">
        <f t="shared" si="11"/>
        <v>57.996202437191265</v>
      </c>
      <c r="X49">
        <f t="shared" si="12"/>
        <v>-5.5232940990922232</v>
      </c>
      <c r="Z49">
        <v>5.8949064966123652</v>
      </c>
      <c r="AA49">
        <f t="shared" si="13"/>
        <v>0.98547676651699612</v>
      </c>
      <c r="AB49">
        <f t="shared" si="14"/>
        <v>57.994685875298345</v>
      </c>
      <c r="AC49" s="29">
        <f t="shared" si="15"/>
        <v>-5.5231459323530556</v>
      </c>
      <c r="AE49" s="28">
        <v>5.8465459736250542</v>
      </c>
      <c r="AF49">
        <f t="shared" si="16"/>
        <v>0.98559419556078953</v>
      </c>
      <c r="AG49">
        <f t="shared" si="17"/>
        <v>58.262420120611836</v>
      </c>
      <c r="AH49" s="29">
        <f t="shared" si="18"/>
        <v>-5.5493048791889708</v>
      </c>
    </row>
    <row r="50" spans="1:34" ht="15" thickBot="1" x14ac:dyDescent="0.35">
      <c r="F50" s="48"/>
      <c r="G50" s="49" t="s">
        <v>52</v>
      </c>
      <c r="H50" s="49">
        <f>SUM(H28:H49)</f>
        <v>157.71768055555555</v>
      </c>
      <c r="I50" s="49">
        <f>SUM(I28:I49)</f>
        <v>-12.545603513503087</v>
      </c>
      <c r="J50" s="49"/>
      <c r="K50" s="49"/>
      <c r="L50" s="49" t="s">
        <v>52</v>
      </c>
      <c r="M50" s="49">
        <f>SUM(M28:M49)</f>
        <v>111.08347431426866</v>
      </c>
      <c r="N50" s="49">
        <f>SUM(N28:N49)</f>
        <v>-8.2644183267357914</v>
      </c>
      <c r="O50" s="49"/>
      <c r="P50" s="49"/>
      <c r="Q50" s="49" t="s">
        <v>52</v>
      </c>
      <c r="R50" s="49">
        <f>SUM(R28:R49)</f>
        <v>101.19883783336448</v>
      </c>
      <c r="S50" s="49">
        <f>SUM(S28:S49)</f>
        <v>-7.3733496075538962</v>
      </c>
      <c r="T50" s="49"/>
      <c r="U50" s="49"/>
      <c r="V50" s="49" t="s">
        <v>52</v>
      </c>
      <c r="W50" s="49">
        <f>SUM(W28:W49)</f>
        <v>100.62548821602022</v>
      </c>
      <c r="X50" s="49">
        <f>SUM(X28:X49)</f>
        <v>-7.3218856355806974</v>
      </c>
      <c r="Y50" s="49"/>
      <c r="Z50" s="49"/>
      <c r="AA50" s="49" t="s">
        <v>52</v>
      </c>
      <c r="AB50" s="49">
        <f>SUM(AB28:AB49)</f>
        <v>100.62347780254642</v>
      </c>
      <c r="AC50" s="52">
        <f>SUM(AC28:AC49)</f>
        <v>-7.3217052254633614</v>
      </c>
      <c r="AE50" s="48"/>
      <c r="AF50" s="49" t="s">
        <v>52</v>
      </c>
      <c r="AG50" s="49">
        <f>SUM(AG28:AG49)</f>
        <v>100.97832880317068</v>
      </c>
      <c r="AH50" s="52">
        <f>SUM(AH28:AH49)</f>
        <v>-7.3535536542667126</v>
      </c>
    </row>
    <row r="51" spans="1:34" ht="15" thickBot="1" x14ac:dyDescent="0.35">
      <c r="A51" s="61" t="s">
        <v>91</v>
      </c>
      <c r="F51" s="23" t="s">
        <v>131</v>
      </c>
      <c r="G51" s="10">
        <f>0</f>
        <v>0</v>
      </c>
      <c r="H51" s="10"/>
      <c r="I51" s="10"/>
      <c r="J51" s="10"/>
      <c r="K51" s="10" t="s">
        <v>53</v>
      </c>
      <c r="L51" s="10">
        <f>G51+(B17-H78)/I78</f>
        <v>4.5888436009571425</v>
      </c>
      <c r="M51" s="10"/>
      <c r="N51" s="10"/>
      <c r="O51" s="10"/>
      <c r="P51" s="10" t="s">
        <v>55</v>
      </c>
      <c r="Q51" s="10">
        <f>L51+(B17-M78)/N78</f>
        <v>5.7341555559800526</v>
      </c>
      <c r="R51" s="10"/>
      <c r="S51" s="10"/>
      <c r="T51" s="10"/>
      <c r="U51" s="10" t="s">
        <v>57</v>
      </c>
      <c r="V51" s="10">
        <f>Q51+(B17-R78)/S78</f>
        <v>5.791269855836223</v>
      </c>
      <c r="W51" s="10"/>
      <c r="X51" s="10"/>
      <c r="Y51" s="10"/>
      <c r="Z51" s="67" t="s">
        <v>59</v>
      </c>
      <c r="AA51" s="68">
        <f>V51+(B17-W78)/X78</f>
        <v>5.7914028774029847</v>
      </c>
      <c r="AB51" s="10"/>
      <c r="AC51" s="25"/>
      <c r="AE51" s="28" t="s">
        <v>61</v>
      </c>
      <c r="AF51">
        <f>AA51+(B17-AB78)/AC78</f>
        <v>5.7914028781221303</v>
      </c>
      <c r="AG51" s="10"/>
      <c r="AH51" s="25"/>
    </row>
    <row r="52" spans="1:34" x14ac:dyDescent="0.3">
      <c r="A52" s="61" t="s">
        <v>132</v>
      </c>
      <c r="B52" s="66" t="s">
        <v>133</v>
      </c>
      <c r="C52" s="66" t="s">
        <v>134</v>
      </c>
      <c r="D52" s="66" t="s">
        <v>135</v>
      </c>
      <c r="F52" s="69" t="s">
        <v>136</v>
      </c>
      <c r="G52" s="70" t="s">
        <v>48</v>
      </c>
      <c r="H52" s="70" t="s">
        <v>49</v>
      </c>
      <c r="I52" s="70" t="s">
        <v>50</v>
      </c>
      <c r="K52" s="70" t="s">
        <v>136</v>
      </c>
      <c r="L52" s="70" t="s">
        <v>48</v>
      </c>
      <c r="M52" s="70" t="s">
        <v>49</v>
      </c>
      <c r="N52" s="70" t="s">
        <v>50</v>
      </c>
      <c r="P52" s="70" t="s">
        <v>136</v>
      </c>
      <c r="Q52" s="70" t="s">
        <v>48</v>
      </c>
      <c r="R52" s="70" t="s">
        <v>49</v>
      </c>
      <c r="S52" s="70" t="s">
        <v>50</v>
      </c>
      <c r="U52" s="70" t="s">
        <v>136</v>
      </c>
      <c r="V52" s="70" t="s">
        <v>48</v>
      </c>
      <c r="W52" s="70" t="s">
        <v>49</v>
      </c>
      <c r="X52" s="70" t="s">
        <v>50</v>
      </c>
      <c r="Z52" s="70" t="s">
        <v>136</v>
      </c>
      <c r="AA52" s="70" t="s">
        <v>48</v>
      </c>
      <c r="AB52" s="70" t="s">
        <v>49</v>
      </c>
      <c r="AC52" s="71" t="s">
        <v>50</v>
      </c>
      <c r="AE52" s="69" t="s">
        <v>136</v>
      </c>
      <c r="AF52" s="70" t="s">
        <v>48</v>
      </c>
      <c r="AG52" s="70" t="s">
        <v>49</v>
      </c>
      <c r="AH52" s="71" t="s">
        <v>50</v>
      </c>
    </row>
    <row r="53" spans="1:34" x14ac:dyDescent="0.3">
      <c r="A53" s="72">
        <f>B5</f>
        <v>44874</v>
      </c>
      <c r="F53" s="28"/>
      <c r="AC53" s="29"/>
      <c r="AE53" s="28"/>
      <c r="AH53" s="29"/>
    </row>
    <row r="54" spans="1:34" x14ac:dyDescent="0.3">
      <c r="A54" s="72">
        <f>EDATE(A53,6)</f>
        <v>45055</v>
      </c>
      <c r="F54" s="28"/>
      <c r="AC54" s="29"/>
      <c r="AE54" s="28"/>
      <c r="AH54" s="29"/>
    </row>
    <row r="55" spans="1:34" x14ac:dyDescent="0.3">
      <c r="A55" s="72">
        <f t="shared" ref="A55:A73" si="20">EDATE(A54,6)</f>
        <v>45239</v>
      </c>
      <c r="F55" s="28"/>
      <c r="AC55" s="29"/>
      <c r="AE55" s="28"/>
      <c r="AH55" s="29"/>
    </row>
    <row r="56" spans="1:34" x14ac:dyDescent="0.3">
      <c r="A56" s="72">
        <f t="shared" si="20"/>
        <v>45421</v>
      </c>
      <c r="B56">
        <v>2.7454999999999998</v>
      </c>
      <c r="C56">
        <v>2.2222222222222223E-2</v>
      </c>
      <c r="D56">
        <v>2</v>
      </c>
      <c r="F56" s="28">
        <f>0</f>
        <v>0</v>
      </c>
      <c r="G56">
        <f>1/(1+F56/(100*D56))</f>
        <v>1</v>
      </c>
      <c r="H56">
        <f>B56*POWER(G56,C56*D56)</f>
        <v>2.7454999999999998</v>
      </c>
      <c r="I56">
        <f>-1*0.01*H56*G56*C56</f>
        <v>-6.1011111111111118E-4</v>
      </c>
      <c r="K56">
        <v>4.5888436009571425</v>
      </c>
      <c r="L56">
        <f>1/(1+K56/(100*D56))</f>
        <v>0.9775704113665773</v>
      </c>
      <c r="M56">
        <f>B56*POWER(L56,C56*D56)</f>
        <v>2.7427333260020461</v>
      </c>
      <c r="N56">
        <f>-1*0.01*M56*L56*C56</f>
        <v>-5.9582554350414243E-4</v>
      </c>
      <c r="P56">
        <v>5.7341555559800526</v>
      </c>
      <c r="Q56">
        <f>1/(1+P56/(100*D56))</f>
        <v>0.97212832482538469</v>
      </c>
      <c r="R56">
        <f>B56*POWER(Q56,C56*D56)</f>
        <v>2.7420529072925142</v>
      </c>
      <c r="S56">
        <f>-1*0.01*R56*Q56*C56</f>
        <v>-5.9236162207752178E-4</v>
      </c>
      <c r="U56">
        <v>5.791269855836223</v>
      </c>
      <c r="V56">
        <f>1/(1+U56/(100*D56))</f>
        <v>0.97185852509733184</v>
      </c>
      <c r="W56">
        <f>B56*POWER(V56,C56*D56)</f>
        <v>2.742019079877128</v>
      </c>
      <c r="X56">
        <f>-1*0.01*W56*V56*C56</f>
        <v>-5.9218991527958424E-4</v>
      </c>
      <c r="Z56">
        <v>5.7914028774029847</v>
      </c>
      <c r="AA56">
        <f>1/(1+Z56/(100*D56))</f>
        <v>0.97185789689740776</v>
      </c>
      <c r="AB56">
        <f>B56*POWER(AA56,C56*D56)</f>
        <v>2.7420190011031242</v>
      </c>
      <c r="AC56" s="29">
        <f>-1*0.01*AB56*AA56*C56</f>
        <v>-5.9218951548106963E-4</v>
      </c>
      <c r="AE56" s="28">
        <v>5.7330834251534757</v>
      </c>
      <c r="AF56">
        <f>1/(1+AE56/(100*D56))</f>
        <v>0.97213339084941486</v>
      </c>
      <c r="AG56">
        <f>B56*POWER(AF56,C56*D56)</f>
        <v>2.742053542383398</v>
      </c>
      <c r="AH56" s="29">
        <f>-1*0.01*AG56*AF56*C56</f>
        <v>-5.9236484623284948E-4</v>
      </c>
    </row>
    <row r="57" spans="1:34" x14ac:dyDescent="0.3">
      <c r="A57" s="72">
        <f t="shared" si="20"/>
        <v>45605</v>
      </c>
      <c r="B57">
        <v>2.7454999999999998</v>
      </c>
      <c r="C57">
        <v>0.52222222222222225</v>
      </c>
      <c r="D57">
        <v>2</v>
      </c>
      <c r="F57" s="28">
        <f>0</f>
        <v>0</v>
      </c>
      <c r="G57">
        <f t="shared" ref="G57:G77" si="21">1/(1+F57/(100*D57))</f>
        <v>1</v>
      </c>
      <c r="H57">
        <f t="shared" ref="H57:H77" si="22">B57*POWER(G57,C57*D57)</f>
        <v>2.7454999999999998</v>
      </c>
      <c r="I57">
        <f t="shared" ref="I57:I77" si="23">-1*0.01*H57*G57*C57</f>
        <v>-1.4337611111111112E-2</v>
      </c>
      <c r="K57">
        <v>4.5888436009571425</v>
      </c>
      <c r="L57">
        <f t="shared" ref="L57:L77" si="24">1/(1+K57/(100*D57))</f>
        <v>0.9775704113665773</v>
      </c>
      <c r="M57">
        <f t="shared" ref="M57:M77" si="25">B57*POWER(L57,C57*D57)</f>
        <v>2.6812149457686414</v>
      </c>
      <c r="N57">
        <f t="shared" ref="N57:N77" si="26">-1*0.01*M57*L57*C57</f>
        <v>-1.3687843409152389E-2</v>
      </c>
      <c r="P57">
        <v>5.7341555559800526</v>
      </c>
      <c r="Q57">
        <f t="shared" ref="Q57:Q77" si="27">1/(1+P57/(100*D57))</f>
        <v>0.97212832482538469</v>
      </c>
      <c r="R57">
        <f t="shared" ref="R57:R77" si="28">B57*POWER(Q57,C57*D57)</f>
        <v>2.6656272993488477</v>
      </c>
      <c r="S57">
        <f t="shared" ref="S57:S77" si="29">-1*0.01*R57*Q57*C57</f>
        <v>-1.3532510516985119E-2</v>
      </c>
      <c r="U57">
        <v>5.791269855836223</v>
      </c>
      <c r="V57">
        <f t="shared" ref="V57:V77" si="30">1/(1+U57/(100*D57))</f>
        <v>0.97185852509733184</v>
      </c>
      <c r="W57">
        <f t="shared" ref="W57:W77" si="31">B57*POWER(V57,C57*D57)</f>
        <v>2.6648546187581283</v>
      </c>
      <c r="X57">
        <f t="shared" ref="X57:X77" si="32">-1*0.01*W57*V57*C57</f>
        <v>-1.3524833214566566E-2</v>
      </c>
      <c r="Z57">
        <v>5.7914028774029847</v>
      </c>
      <c r="AA57">
        <f t="shared" ref="AA57:AA77" si="33">1/(1+Z57/(100*D57))</f>
        <v>0.97185789689740776</v>
      </c>
      <c r="AB57">
        <f t="shared" ref="AB57:AB77" si="34">B57*POWER(AA57,C57*D57)</f>
        <v>2.6648528196648131</v>
      </c>
      <c r="AC57" s="29">
        <f t="shared" ref="AC57:AC77" si="35">-1*0.01*AB57*AA57*C57</f>
        <v>-1.352481534138299E-2</v>
      </c>
      <c r="AE57" s="28">
        <v>5.7330834251534757</v>
      </c>
      <c r="AF57">
        <f t="shared" ref="AF57:AF77" si="36">1/(1+AE57/(100*D57))</f>
        <v>0.97213339084941486</v>
      </c>
      <c r="AG57">
        <f t="shared" ref="AG57:AG77" si="37">B57*POWER(AF57,C57*D57)</f>
        <v>2.6656418080478224</v>
      </c>
      <c r="AH57" s="29">
        <f t="shared" ref="AH57:AH77" si="38">-1*0.01*AG57*AF57*C57</f>
        <v>-1.3532654694825804E-2</v>
      </c>
    </row>
    <row r="58" spans="1:34" x14ac:dyDescent="0.3">
      <c r="A58" s="72">
        <f t="shared" si="20"/>
        <v>45786</v>
      </c>
      <c r="B58">
        <v>2.7454999999999998</v>
      </c>
      <c r="C58">
        <v>1.0222222222222221</v>
      </c>
      <c r="D58">
        <v>2</v>
      </c>
      <c r="F58" s="28">
        <f>0</f>
        <v>0</v>
      </c>
      <c r="G58">
        <f t="shared" si="21"/>
        <v>1</v>
      </c>
      <c r="H58">
        <f t="shared" si="22"/>
        <v>2.7454999999999998</v>
      </c>
      <c r="I58">
        <f t="shared" si="23"/>
        <v>-2.806511111111111E-2</v>
      </c>
      <c r="K58">
        <v>4.5888436009571425</v>
      </c>
      <c r="L58">
        <f t="shared" si="24"/>
        <v>0.9775704113665773</v>
      </c>
      <c r="M58">
        <f t="shared" si="25"/>
        <v>2.6210763974972657</v>
      </c>
      <c r="N58">
        <f t="shared" si="26"/>
        <v>-2.6192264372829531E-2</v>
      </c>
      <c r="P58">
        <v>5.7341555559800526</v>
      </c>
      <c r="Q58">
        <f t="shared" si="27"/>
        <v>0.97212832482538469</v>
      </c>
      <c r="R58">
        <f t="shared" si="28"/>
        <v>2.5913318011248094</v>
      </c>
      <c r="S58">
        <f t="shared" si="29"/>
        <v>-2.575087199402968E-2</v>
      </c>
      <c r="U58">
        <v>5.791269855836223</v>
      </c>
      <c r="V58">
        <f t="shared" si="30"/>
        <v>0.97185852509733184</v>
      </c>
      <c r="W58">
        <f t="shared" si="31"/>
        <v>2.5898616793850873</v>
      </c>
      <c r="X58">
        <f t="shared" si="32"/>
        <v>-2.5729120219762518E-2</v>
      </c>
      <c r="Z58">
        <v>5.7914028774029847</v>
      </c>
      <c r="AA58">
        <f t="shared" si="33"/>
        <v>0.97185789689740776</v>
      </c>
      <c r="AB58">
        <f t="shared" si="34"/>
        <v>2.5898582568605724</v>
      </c>
      <c r="AC58" s="29">
        <f t="shared" si="35"/>
        <v>-2.5729069587476779E-2</v>
      </c>
      <c r="AE58" s="28">
        <v>5.7330834251534757</v>
      </c>
      <c r="AF58">
        <f t="shared" si="36"/>
        <v>0.97213339084941486</v>
      </c>
      <c r="AG58">
        <f t="shared" si="37"/>
        <v>2.5913594096474943</v>
      </c>
      <c r="AH58" s="29">
        <f t="shared" si="38"/>
        <v>-2.5751280544726043E-2</v>
      </c>
    </row>
    <row r="59" spans="1:34" x14ac:dyDescent="0.3">
      <c r="A59" s="72">
        <f t="shared" si="20"/>
        <v>45970</v>
      </c>
      <c r="B59">
        <v>2.7454999999999998</v>
      </c>
      <c r="C59">
        <v>1.5222222222222221</v>
      </c>
      <c r="D59">
        <v>2</v>
      </c>
      <c r="F59" s="28">
        <f>0</f>
        <v>0</v>
      </c>
      <c r="G59">
        <f t="shared" si="21"/>
        <v>1</v>
      </c>
      <c r="H59">
        <f t="shared" si="22"/>
        <v>2.7454999999999998</v>
      </c>
      <c r="I59">
        <f t="shared" si="23"/>
        <v>-4.1792611111111107E-2</v>
      </c>
      <c r="K59">
        <v>4.5888436009571425</v>
      </c>
      <c r="L59">
        <f t="shared" si="24"/>
        <v>0.9775704113665773</v>
      </c>
      <c r="M59">
        <f t="shared" si="25"/>
        <v>2.5622867321246288</v>
      </c>
      <c r="N59">
        <f t="shared" si="26"/>
        <v>-3.8128861131380094E-2</v>
      </c>
      <c r="P59">
        <v>5.7341555559800526</v>
      </c>
      <c r="Q59">
        <f t="shared" si="27"/>
        <v>0.97212832482538469</v>
      </c>
      <c r="R59">
        <f t="shared" si="28"/>
        <v>2.5191070428942077</v>
      </c>
      <c r="S59">
        <f t="shared" si="29"/>
        <v>-3.7277628602671857E-2</v>
      </c>
      <c r="U59">
        <v>5.791269855836223</v>
      </c>
      <c r="V59">
        <f t="shared" si="30"/>
        <v>0.97185852509733184</v>
      </c>
      <c r="W59">
        <f t="shared" si="31"/>
        <v>2.51697915193329</v>
      </c>
      <c r="X59">
        <f t="shared" si="32"/>
        <v>-3.7235803060323446E-2</v>
      </c>
      <c r="Z59">
        <v>5.7914028774029847</v>
      </c>
      <c r="AA59">
        <f t="shared" si="33"/>
        <v>0.97185789689740776</v>
      </c>
      <c r="AB59">
        <f t="shared" si="34"/>
        <v>2.5169741987749021</v>
      </c>
      <c r="AC59" s="29">
        <f t="shared" si="35"/>
        <v>-3.7235705715244302E-2</v>
      </c>
      <c r="AE59" s="28">
        <v>5.7330834251534757</v>
      </c>
      <c r="AF59">
        <f t="shared" si="36"/>
        <v>0.97213339084941486</v>
      </c>
      <c r="AG59">
        <f t="shared" si="37"/>
        <v>2.5191470098101565</v>
      </c>
      <c r="AH59" s="29">
        <f t="shared" si="38"/>
        <v>-3.7278414298133652E-2</v>
      </c>
    </row>
    <row r="60" spans="1:34" x14ac:dyDescent="0.3">
      <c r="A60" s="72">
        <f t="shared" si="20"/>
        <v>46151</v>
      </c>
      <c r="B60">
        <v>2.7454999999999998</v>
      </c>
      <c r="C60">
        <v>2.0222222222222221</v>
      </c>
      <c r="D60">
        <v>2</v>
      </c>
      <c r="F60" s="28">
        <f>0</f>
        <v>0</v>
      </c>
      <c r="G60">
        <f t="shared" si="21"/>
        <v>1</v>
      </c>
      <c r="H60">
        <f t="shared" si="22"/>
        <v>2.7454999999999998</v>
      </c>
      <c r="I60">
        <f t="shared" si="23"/>
        <v>-5.552011111111111E-2</v>
      </c>
      <c r="K60">
        <v>4.5888436009571425</v>
      </c>
      <c r="L60">
        <f t="shared" si="24"/>
        <v>0.9775704113665773</v>
      </c>
      <c r="M60">
        <f t="shared" si="25"/>
        <v>2.504815694762196</v>
      </c>
      <c r="N60">
        <f t="shared" si="26"/>
        <v>-4.9516815006773032E-2</v>
      </c>
      <c r="P60">
        <v>5.7341555559800526</v>
      </c>
      <c r="Q60">
        <f t="shared" si="27"/>
        <v>0.97212832482538469</v>
      </c>
      <c r="R60">
        <f t="shared" si="28"/>
        <v>2.4488953096645747</v>
      </c>
      <c r="S60">
        <f t="shared" si="29"/>
        <v>-4.8141841122263065E-2</v>
      </c>
      <c r="U60">
        <v>5.791269855836223</v>
      </c>
      <c r="V60">
        <f t="shared" si="30"/>
        <v>0.97185852509733184</v>
      </c>
      <c r="W60">
        <f t="shared" si="31"/>
        <v>2.4461476462986202</v>
      </c>
      <c r="X60">
        <f t="shared" si="32"/>
        <v>-4.8074479861531086E-2</v>
      </c>
      <c r="Z60">
        <v>5.7914028774029847</v>
      </c>
      <c r="AA60">
        <f t="shared" si="33"/>
        <v>0.97185789689740776</v>
      </c>
      <c r="AB60">
        <f t="shared" si="34"/>
        <v>2.4461412513664142</v>
      </c>
      <c r="AC60" s="29">
        <f t="shared" si="35"/>
        <v>-4.8074323106242906E-2</v>
      </c>
      <c r="AE60" s="28">
        <v>5.7330834251534757</v>
      </c>
      <c r="AF60">
        <f t="shared" si="36"/>
        <v>0.97213339084941486</v>
      </c>
      <c r="AG60">
        <f t="shared" si="37"/>
        <v>2.448946924694912</v>
      </c>
      <c r="AH60" s="29">
        <f t="shared" si="38"/>
        <v>-4.8143106686703539E-2</v>
      </c>
    </row>
    <row r="61" spans="1:34" x14ac:dyDescent="0.3">
      <c r="A61" s="72">
        <f t="shared" si="20"/>
        <v>46335</v>
      </c>
      <c r="B61">
        <v>2.7454999999999998</v>
      </c>
      <c r="C61">
        <v>2.5222222222222221</v>
      </c>
      <c r="D61">
        <v>2</v>
      </c>
      <c r="F61" s="28">
        <f>0</f>
        <v>0</v>
      </c>
      <c r="G61">
        <f t="shared" si="21"/>
        <v>1</v>
      </c>
      <c r="H61">
        <f t="shared" si="22"/>
        <v>2.7454999999999998</v>
      </c>
      <c r="I61">
        <f t="shared" si="23"/>
        <v>-6.9247611111111107E-2</v>
      </c>
      <c r="K61">
        <v>4.5888436009571425</v>
      </c>
      <c r="L61">
        <f t="shared" si="24"/>
        <v>0.9775704113665773</v>
      </c>
      <c r="M61">
        <f t="shared" si="25"/>
        <v>2.4486337091261392</v>
      </c>
      <c r="N61">
        <f t="shared" si="26"/>
        <v>-6.0374732527316365E-2</v>
      </c>
      <c r="P61">
        <v>5.7341555559800526</v>
      </c>
      <c r="Q61">
        <f t="shared" si="27"/>
        <v>0.97212832482538469</v>
      </c>
      <c r="R61">
        <f t="shared" si="28"/>
        <v>2.3806404950569648</v>
      </c>
      <c r="S61">
        <f t="shared" si="29"/>
        <v>-5.8371487646551423E-2</v>
      </c>
      <c r="U61">
        <v>5.791269855836223</v>
      </c>
      <c r="V61">
        <f t="shared" si="30"/>
        <v>0.97185852509733184</v>
      </c>
      <c r="W61">
        <f t="shared" si="31"/>
        <v>2.3773094437020865</v>
      </c>
      <c r="X61">
        <f t="shared" si="32"/>
        <v>-5.8273635341330322E-2</v>
      </c>
      <c r="Z61">
        <v>5.7914028774029847</v>
      </c>
      <c r="AA61">
        <f t="shared" si="33"/>
        <v>0.97185789689740776</v>
      </c>
      <c r="AB61">
        <f t="shared" si="34"/>
        <v>2.3773016920669567</v>
      </c>
      <c r="AC61" s="29">
        <f t="shared" si="35"/>
        <v>-5.827340766251389E-2</v>
      </c>
      <c r="AE61" s="28">
        <v>5.7330834251534757</v>
      </c>
      <c r="AF61">
        <f t="shared" si="36"/>
        <v>0.97213339084941486</v>
      </c>
      <c r="AG61">
        <f t="shared" si="37"/>
        <v>2.3807030779139113</v>
      </c>
      <c r="AH61" s="29">
        <f t="shared" si="38"/>
        <v>-5.83733263280607E-2</v>
      </c>
    </row>
    <row r="62" spans="1:34" x14ac:dyDescent="0.3">
      <c r="A62" s="72">
        <f t="shared" si="20"/>
        <v>46516</v>
      </c>
      <c r="B62">
        <v>2.7454999999999998</v>
      </c>
      <c r="C62">
        <v>3.0222222222222221</v>
      </c>
      <c r="D62">
        <v>2</v>
      </c>
      <c r="F62" s="28">
        <f>0</f>
        <v>0</v>
      </c>
      <c r="G62">
        <f t="shared" si="21"/>
        <v>1</v>
      </c>
      <c r="H62">
        <f t="shared" si="22"/>
        <v>2.7454999999999998</v>
      </c>
      <c r="I62">
        <f t="shared" si="23"/>
        <v>-8.2975111111111111E-2</v>
      </c>
      <c r="K62">
        <v>4.5888436009571425</v>
      </c>
      <c r="L62">
        <f t="shared" si="24"/>
        <v>0.9775704113665773</v>
      </c>
      <c r="M62">
        <f t="shared" si="25"/>
        <v>2.3937118623165081</v>
      </c>
      <c r="N62">
        <f t="shared" si="26"/>
        <v>-7.0720661562564763E-2</v>
      </c>
      <c r="P62">
        <v>5.7341555559800526</v>
      </c>
      <c r="Q62">
        <f t="shared" si="27"/>
        <v>0.97212832482538469</v>
      </c>
      <c r="R62">
        <f t="shared" si="28"/>
        <v>2.3142880564712014</v>
      </c>
      <c r="S62">
        <f t="shared" si="29"/>
        <v>-6.7993501360911382E-2</v>
      </c>
      <c r="U62">
        <v>5.791269855836223</v>
      </c>
      <c r="V62">
        <f t="shared" si="30"/>
        <v>0.97185852509733184</v>
      </c>
      <c r="W62">
        <f t="shared" si="31"/>
        <v>2.3104084496562685</v>
      </c>
      <c r="X62">
        <f t="shared" si="32"/>
        <v>-6.7860680036161816E-2</v>
      </c>
      <c r="Z62">
        <v>5.7914028774029847</v>
      </c>
      <c r="AA62">
        <f t="shared" si="33"/>
        <v>0.97185789689740776</v>
      </c>
      <c r="AB62">
        <f t="shared" si="34"/>
        <v>2.3103994227428415</v>
      </c>
      <c r="AC62" s="29">
        <f t="shared" si="35"/>
        <v>-6.786037103583524E-2</v>
      </c>
      <c r="AE62" s="28">
        <v>5.7330834251534757</v>
      </c>
      <c r="AF62">
        <f t="shared" si="36"/>
        <v>0.97213339084941486</v>
      </c>
      <c r="AG62">
        <f t="shared" si="37"/>
        <v>2.3143609557380893</v>
      </c>
      <c r="AH62" s="29">
        <f t="shared" si="38"/>
        <v>-6.7995997476212877E-2</v>
      </c>
    </row>
    <row r="63" spans="1:34" x14ac:dyDescent="0.3">
      <c r="A63" s="72">
        <f t="shared" si="20"/>
        <v>46700</v>
      </c>
      <c r="B63">
        <v>2.7454999999999998</v>
      </c>
      <c r="C63">
        <v>3.5222222222222221</v>
      </c>
      <c r="D63">
        <v>2</v>
      </c>
      <c r="F63" s="28">
        <f>0</f>
        <v>0</v>
      </c>
      <c r="G63">
        <f t="shared" si="21"/>
        <v>1</v>
      </c>
      <c r="H63">
        <f t="shared" si="22"/>
        <v>2.7454999999999998</v>
      </c>
      <c r="I63">
        <f t="shared" si="23"/>
        <v>-9.6702611111111114E-2</v>
      </c>
      <c r="K63">
        <v>4.5888436009571425</v>
      </c>
      <c r="L63">
        <f t="shared" si="24"/>
        <v>0.9775704113665773</v>
      </c>
      <c r="M63">
        <f t="shared" si="25"/>
        <v>2.3400218899378045</v>
      </c>
      <c r="N63">
        <f t="shared" si="26"/>
        <v>-8.057210702359939E-2</v>
      </c>
      <c r="P63">
        <v>5.7341555559800526</v>
      </c>
      <c r="Q63">
        <f t="shared" si="27"/>
        <v>0.97212832482538469</v>
      </c>
      <c r="R63">
        <f t="shared" si="28"/>
        <v>2.2497849715007447</v>
      </c>
      <c r="S63">
        <f t="shared" si="29"/>
        <v>-7.7033807054807044E-2</v>
      </c>
      <c r="U63">
        <v>5.791269855836223</v>
      </c>
      <c r="V63">
        <f t="shared" si="30"/>
        <v>0.97185852509733184</v>
      </c>
      <c r="W63">
        <f t="shared" si="31"/>
        <v>2.2453901482553542</v>
      </c>
      <c r="X63">
        <f t="shared" si="32"/>
        <v>-7.686198820080381E-2</v>
      </c>
      <c r="Z63">
        <v>5.7914028774029847</v>
      </c>
      <c r="AA63">
        <f t="shared" si="33"/>
        <v>0.97185789689740776</v>
      </c>
      <c r="AB63">
        <f t="shared" si="34"/>
        <v>2.2453799239798431</v>
      </c>
      <c r="AC63" s="29">
        <f t="shared" si="35"/>
        <v>-7.6861588530838174E-2</v>
      </c>
      <c r="AE63" s="28">
        <v>5.7330834251534757</v>
      </c>
      <c r="AF63">
        <f t="shared" si="36"/>
        <v>0.97213339084941486</v>
      </c>
      <c r="AG63">
        <f t="shared" si="37"/>
        <v>2.2498675635511614</v>
      </c>
      <c r="AH63" s="29">
        <f t="shared" si="38"/>
        <v>-7.7037036508324594E-2</v>
      </c>
    </row>
    <row r="64" spans="1:34" x14ac:dyDescent="0.3">
      <c r="A64" s="72">
        <f t="shared" si="20"/>
        <v>46882</v>
      </c>
      <c r="B64">
        <v>2.7454999999999998</v>
      </c>
      <c r="C64">
        <v>4.0222222222222221</v>
      </c>
      <c r="D64">
        <v>2</v>
      </c>
      <c r="F64" s="28">
        <f>0</f>
        <v>0</v>
      </c>
      <c r="G64">
        <f t="shared" si="21"/>
        <v>1</v>
      </c>
      <c r="H64">
        <f t="shared" si="22"/>
        <v>2.7454999999999998</v>
      </c>
      <c r="I64">
        <f t="shared" si="23"/>
        <v>-0.1104301111111111</v>
      </c>
      <c r="K64">
        <v>4.5888436009571425</v>
      </c>
      <c r="L64">
        <f t="shared" si="24"/>
        <v>0.9775704113665773</v>
      </c>
      <c r="M64">
        <f t="shared" si="25"/>
        <v>2.2875361615532954</v>
      </c>
      <c r="N64">
        <f t="shared" si="26"/>
        <v>-8.994604614005984E-2</v>
      </c>
      <c r="P64">
        <v>5.7341555559800526</v>
      </c>
      <c r="Q64">
        <f t="shared" si="27"/>
        <v>0.97212832482538469</v>
      </c>
      <c r="R64">
        <f t="shared" si="28"/>
        <v>2.1870796955623444</v>
      </c>
      <c r="S64">
        <f t="shared" si="29"/>
        <v>-8.5517356410644604E-2</v>
      </c>
      <c r="U64">
        <v>5.791269855836223</v>
      </c>
      <c r="V64">
        <f t="shared" si="30"/>
        <v>0.97185852509733184</v>
      </c>
      <c r="W64">
        <f t="shared" si="31"/>
        <v>2.1822015577515277</v>
      </c>
      <c r="X64">
        <f t="shared" si="32"/>
        <v>-8.530293442578922E-2</v>
      </c>
      <c r="Z64">
        <v>5.7914028774029847</v>
      </c>
      <c r="AA64">
        <f t="shared" si="33"/>
        <v>0.97185789689740776</v>
      </c>
      <c r="AB64">
        <f t="shared" si="34"/>
        <v>2.1821902106547113</v>
      </c>
      <c r="AC64" s="29">
        <f t="shared" si="35"/>
        <v>-8.5302435725559289E-2</v>
      </c>
      <c r="AE64" s="28">
        <v>5.7330834251534757</v>
      </c>
      <c r="AF64">
        <f t="shared" si="36"/>
        <v>0.97213339084941486</v>
      </c>
      <c r="AG64">
        <f t="shared" si="37"/>
        <v>2.1871713835171018</v>
      </c>
      <c r="AH64" s="29">
        <f t="shared" si="38"/>
        <v>-8.5521387188964182E-2</v>
      </c>
    </row>
    <row r="65" spans="1:34" x14ac:dyDescent="0.3">
      <c r="A65" s="72">
        <f t="shared" si="20"/>
        <v>47066</v>
      </c>
      <c r="B65">
        <v>2.7454999999999998</v>
      </c>
      <c r="C65">
        <v>4.5222222222222221</v>
      </c>
      <c r="D65">
        <v>2</v>
      </c>
      <c r="F65" s="28">
        <f>0</f>
        <v>0</v>
      </c>
      <c r="G65">
        <f t="shared" si="21"/>
        <v>1</v>
      </c>
      <c r="H65">
        <f t="shared" si="22"/>
        <v>2.7454999999999998</v>
      </c>
      <c r="I65">
        <f t="shared" si="23"/>
        <v>-0.12415761111111111</v>
      </c>
      <c r="K65">
        <v>4.5888436009571425</v>
      </c>
      <c r="L65">
        <f t="shared" si="24"/>
        <v>0.9775704113665773</v>
      </c>
      <c r="M65">
        <f t="shared" si="25"/>
        <v>2.236227666465576</v>
      </c>
      <c r="N65">
        <f t="shared" si="26"/>
        <v>-9.8858943325015811E-2</v>
      </c>
      <c r="P65">
        <v>5.7341555559800526</v>
      </c>
      <c r="Q65">
        <f t="shared" si="27"/>
        <v>0.97212832482538469</v>
      </c>
      <c r="R65">
        <f t="shared" si="28"/>
        <v>2.1261221207066345</v>
      </c>
      <c r="S65">
        <f t="shared" si="29"/>
        <v>-9.3468162108859013E-2</v>
      </c>
      <c r="U65">
        <v>5.791269855836223</v>
      </c>
      <c r="V65">
        <f t="shared" si="30"/>
        <v>0.97185852509733184</v>
      </c>
      <c r="W65">
        <f t="shared" si="31"/>
        <v>2.1207911873814997</v>
      </c>
      <c r="X65">
        <f t="shared" si="32"/>
        <v>-9.3207929014561944E-2</v>
      </c>
      <c r="Z65">
        <v>5.7914028774029847</v>
      </c>
      <c r="AA65">
        <f t="shared" si="33"/>
        <v>0.97185789689740776</v>
      </c>
      <c r="AB65">
        <f t="shared" si="34"/>
        <v>2.1207787887569989</v>
      </c>
      <c r="AC65" s="29">
        <f t="shared" si="35"/>
        <v>-9.3207323851598384E-2</v>
      </c>
      <c r="AE65" s="28">
        <v>5.7330834251534757</v>
      </c>
      <c r="AF65">
        <f t="shared" si="36"/>
        <v>0.97213339084941486</v>
      </c>
      <c r="AG65">
        <f t="shared" si="37"/>
        <v>2.1262223334272861</v>
      </c>
      <c r="AH65" s="29">
        <f t="shared" si="38"/>
        <v>-9.3473054751625567E-2</v>
      </c>
    </row>
    <row r="66" spans="1:34" x14ac:dyDescent="0.3">
      <c r="A66" s="72">
        <f t="shared" si="20"/>
        <v>47247</v>
      </c>
      <c r="B66">
        <v>2.7454999999999998</v>
      </c>
      <c r="C66">
        <v>5.0222222222222221</v>
      </c>
      <c r="D66">
        <v>2</v>
      </c>
      <c r="F66" s="28">
        <f>0</f>
        <v>0</v>
      </c>
      <c r="G66">
        <f t="shared" si="21"/>
        <v>1</v>
      </c>
      <c r="H66">
        <f t="shared" si="22"/>
        <v>2.7454999999999998</v>
      </c>
      <c r="I66">
        <f t="shared" si="23"/>
        <v>-0.1378851111111111</v>
      </c>
      <c r="K66">
        <v>4.5888436009571425</v>
      </c>
      <c r="L66">
        <f t="shared" si="24"/>
        <v>0.9775704113665773</v>
      </c>
      <c r="M66">
        <f t="shared" si="25"/>
        <v>2.1860699998160742</v>
      </c>
      <c r="N66">
        <f t="shared" si="26"/>
        <v>-0.10732676463848251</v>
      </c>
      <c r="P66">
        <v>5.7341555559800526</v>
      </c>
      <c r="Q66">
        <f t="shared" si="27"/>
        <v>0.97212832482538469</v>
      </c>
      <c r="R66">
        <f t="shared" si="28"/>
        <v>2.0668635355767346</v>
      </c>
      <c r="S66">
        <f t="shared" si="29"/>
        <v>-0.10090933078780701</v>
      </c>
      <c r="U66">
        <v>5.791269855836223</v>
      </c>
      <c r="V66">
        <f t="shared" si="30"/>
        <v>0.97185852509733184</v>
      </c>
      <c r="W66">
        <f t="shared" si="31"/>
        <v>2.0611089954080035</v>
      </c>
      <c r="X66">
        <f t="shared" si="32"/>
        <v>-0.1006004521611793</v>
      </c>
      <c r="Z66">
        <v>5.7914028774029847</v>
      </c>
      <c r="AA66">
        <f t="shared" si="33"/>
        <v>0.97185789689740776</v>
      </c>
      <c r="AB66">
        <f t="shared" si="34"/>
        <v>2.061095613426009</v>
      </c>
      <c r="AC66" s="29">
        <f t="shared" si="35"/>
        <v>-0.10059973397469338</v>
      </c>
      <c r="AE66" s="28">
        <v>5.7330834251534757</v>
      </c>
      <c r="AF66">
        <f t="shared" si="36"/>
        <v>0.97213339084941486</v>
      </c>
      <c r="AG66">
        <f t="shared" si="37"/>
        <v>2.066971726694423</v>
      </c>
      <c r="AH66" s="29">
        <f t="shared" si="38"/>
        <v>-0.10091513883605738</v>
      </c>
    </row>
    <row r="67" spans="1:34" x14ac:dyDescent="0.3">
      <c r="A67" s="72">
        <f t="shared" si="20"/>
        <v>47431</v>
      </c>
      <c r="B67">
        <v>2.7454999999999998</v>
      </c>
      <c r="C67">
        <v>5.5222222222222221</v>
      </c>
      <c r="D67">
        <v>2</v>
      </c>
      <c r="F67" s="28">
        <f>0</f>
        <v>0</v>
      </c>
      <c r="G67">
        <f t="shared" si="21"/>
        <v>1</v>
      </c>
      <c r="H67">
        <f t="shared" si="22"/>
        <v>2.7454999999999998</v>
      </c>
      <c r="I67">
        <f t="shared" si="23"/>
        <v>-0.1516126111111111</v>
      </c>
      <c r="K67">
        <v>4.5888436009571425</v>
      </c>
      <c r="L67">
        <f t="shared" si="24"/>
        <v>0.9775704113665773</v>
      </c>
      <c r="M67">
        <f t="shared" si="25"/>
        <v>2.1370373489963335</v>
      </c>
      <c r="N67">
        <f t="shared" si="26"/>
        <v>-0.11536499186010561</v>
      </c>
      <c r="P67">
        <v>5.7341555559800526</v>
      </c>
      <c r="Q67">
        <f t="shared" si="27"/>
        <v>0.97212832482538469</v>
      </c>
      <c r="R67">
        <f t="shared" si="28"/>
        <v>2.0092565864828833</v>
      </c>
      <c r="S67">
        <f t="shared" si="29"/>
        <v>-0.10786309489581135</v>
      </c>
      <c r="U67">
        <v>5.791269855836223</v>
      </c>
      <c r="V67">
        <f t="shared" si="30"/>
        <v>0.97185852509733184</v>
      </c>
      <c r="W67">
        <f t="shared" si="31"/>
        <v>2.0031063483420657</v>
      </c>
      <c r="X67">
        <f t="shared" si="32"/>
        <v>-0.10750308696805251</v>
      </c>
      <c r="Z67">
        <v>5.7914028774029847</v>
      </c>
      <c r="AA67">
        <f t="shared" si="33"/>
        <v>0.97185789689740776</v>
      </c>
      <c r="AB67">
        <f t="shared" si="34"/>
        <v>2.0030920481686736</v>
      </c>
      <c r="AC67" s="29">
        <f t="shared" si="35"/>
        <v>-0.10750225001520985</v>
      </c>
      <c r="AE67" s="28">
        <v>5.7330834251534757</v>
      </c>
      <c r="AF67">
        <f t="shared" si="36"/>
        <v>0.97213339084941486</v>
      </c>
      <c r="AG67">
        <f t="shared" si="37"/>
        <v>2.0093722334613191</v>
      </c>
      <c r="AH67" s="29">
        <f t="shared" si="38"/>
        <v>-0.107869865318703</v>
      </c>
    </row>
    <row r="68" spans="1:34" x14ac:dyDescent="0.3">
      <c r="A68" s="72">
        <f t="shared" si="20"/>
        <v>47612</v>
      </c>
      <c r="B68">
        <v>2.7454999999999998</v>
      </c>
      <c r="C68">
        <v>6.0222222222222221</v>
      </c>
      <c r="D68">
        <v>2</v>
      </c>
      <c r="F68" s="28">
        <f>0</f>
        <v>0</v>
      </c>
      <c r="G68">
        <f t="shared" si="21"/>
        <v>1</v>
      </c>
      <c r="H68">
        <f t="shared" si="22"/>
        <v>2.7454999999999998</v>
      </c>
      <c r="I68">
        <f t="shared" si="23"/>
        <v>-0.1653401111111111</v>
      </c>
      <c r="K68">
        <v>4.5888436009571425</v>
      </c>
      <c r="L68">
        <f t="shared" si="24"/>
        <v>0.9775704113665773</v>
      </c>
      <c r="M68">
        <f t="shared" si="25"/>
        <v>2.0891044803640852</v>
      </c>
      <c r="N68">
        <f t="shared" si="26"/>
        <v>-0.12298863618127166</v>
      </c>
      <c r="P68">
        <v>5.7341555559800526</v>
      </c>
      <c r="Q68">
        <f t="shared" si="27"/>
        <v>0.97212832482538469</v>
      </c>
      <c r="R68">
        <f t="shared" si="28"/>
        <v>1.9532552395619758</v>
      </c>
      <c r="S68">
        <f t="shared" si="29"/>
        <v>-0.11435084347150552</v>
      </c>
      <c r="U68">
        <v>5.791269855836223</v>
      </c>
      <c r="V68">
        <f t="shared" si="30"/>
        <v>0.97185852509733184</v>
      </c>
      <c r="W68">
        <f t="shared" si="31"/>
        <v>1.9467359813128222</v>
      </c>
      <c r="X68">
        <f t="shared" si="32"/>
        <v>-0.11393755134194465</v>
      </c>
      <c r="Z68">
        <v>5.7914028774029847</v>
      </c>
      <c r="AA68">
        <f t="shared" si="33"/>
        <v>0.97185789689740776</v>
      </c>
      <c r="AB68">
        <f t="shared" si="34"/>
        <v>1.946720825225128</v>
      </c>
      <c r="AC68" s="29">
        <f t="shared" si="35"/>
        <v>-0.11393659064676957</v>
      </c>
      <c r="AE68" s="28">
        <v>5.7330834251534757</v>
      </c>
      <c r="AF68">
        <f t="shared" si="36"/>
        <v>0.97213339084941486</v>
      </c>
      <c r="AG68">
        <f t="shared" si="37"/>
        <v>1.9533778427934143</v>
      </c>
      <c r="AH68" s="29">
        <f t="shared" si="38"/>
        <v>-0.11435861707236483</v>
      </c>
    </row>
    <row r="69" spans="1:34" x14ac:dyDescent="0.3">
      <c r="A69" s="72">
        <f t="shared" si="20"/>
        <v>47796</v>
      </c>
      <c r="B69">
        <v>2.7454999999999998</v>
      </c>
      <c r="C69">
        <v>6.5222222222222221</v>
      </c>
      <c r="D69">
        <v>2</v>
      </c>
      <c r="F69" s="28">
        <f>0</f>
        <v>0</v>
      </c>
      <c r="G69">
        <f t="shared" si="21"/>
        <v>1</v>
      </c>
      <c r="H69">
        <f t="shared" si="22"/>
        <v>2.7454999999999998</v>
      </c>
      <c r="I69">
        <f t="shared" si="23"/>
        <v>-0.17906761111111111</v>
      </c>
      <c r="K69">
        <v>4.5888436009571425</v>
      </c>
      <c r="L69">
        <f t="shared" si="24"/>
        <v>0.9775704113665773</v>
      </c>
      <c r="M69">
        <f t="shared" si="25"/>
        <v>2.0422467262572788</v>
      </c>
      <c r="N69">
        <f t="shared" si="26"/>
        <v>-0.13021225152663693</v>
      </c>
      <c r="P69">
        <v>5.7341555559800526</v>
      </c>
      <c r="Q69">
        <f t="shared" si="27"/>
        <v>0.97212832482538469</v>
      </c>
      <c r="R69">
        <f t="shared" si="28"/>
        <v>1.8988147439917893</v>
      </c>
      <c r="S69">
        <f t="shared" si="29"/>
        <v>-0.12039315188747685</v>
      </c>
      <c r="U69">
        <v>5.791269855836223</v>
      </c>
      <c r="V69">
        <f t="shared" si="30"/>
        <v>0.97185852509733184</v>
      </c>
      <c r="W69">
        <f t="shared" si="31"/>
        <v>1.8919519595525862</v>
      </c>
      <c r="X69">
        <f t="shared" si="32"/>
        <v>-0.11992472880521277</v>
      </c>
      <c r="Z69">
        <v>5.7914028774029847</v>
      </c>
      <c r="AA69">
        <f t="shared" si="33"/>
        <v>0.97185789689740776</v>
      </c>
      <c r="AB69">
        <f t="shared" si="34"/>
        <v>1.8919360070496791</v>
      </c>
      <c r="AC69" s="29">
        <f t="shared" si="35"/>
        <v>-0.11992364011000924</v>
      </c>
      <c r="AE69" s="28">
        <v>5.7330834251534757</v>
      </c>
      <c r="AF69">
        <f t="shared" si="36"/>
        <v>0.97213339084941486</v>
      </c>
      <c r="AG69">
        <f t="shared" si="37"/>
        <v>1.8989438259248772</v>
      </c>
      <c r="AH69" s="29">
        <f t="shared" si="38"/>
        <v>-0.12040196369005236</v>
      </c>
    </row>
    <row r="70" spans="1:34" x14ac:dyDescent="0.3">
      <c r="A70" s="72">
        <f t="shared" si="20"/>
        <v>47977</v>
      </c>
      <c r="B70">
        <v>2.7454999999999998</v>
      </c>
      <c r="C70">
        <v>7.0222222222222221</v>
      </c>
      <c r="D70">
        <v>2</v>
      </c>
      <c r="F70" s="28">
        <f>0</f>
        <v>0</v>
      </c>
      <c r="G70">
        <f t="shared" si="21"/>
        <v>1</v>
      </c>
      <c r="H70">
        <f t="shared" si="22"/>
        <v>2.7454999999999998</v>
      </c>
      <c r="I70">
        <f t="shared" si="23"/>
        <v>-0.19279511111111111</v>
      </c>
      <c r="K70">
        <v>4.5888436009571425</v>
      </c>
      <c r="L70">
        <f t="shared" si="24"/>
        <v>0.9775704113665773</v>
      </c>
      <c r="M70">
        <f t="shared" si="25"/>
        <v>1.9964399722993735</v>
      </c>
      <c r="N70">
        <f t="shared" si="26"/>
        <v>-0.13704994751480956</v>
      </c>
      <c r="P70">
        <v>5.7341555559800526</v>
      </c>
      <c r="Q70">
        <f t="shared" si="27"/>
        <v>0.97212832482538469</v>
      </c>
      <c r="R70">
        <f t="shared" si="28"/>
        <v>1.8458915962304796</v>
      </c>
      <c r="S70">
        <f t="shared" si="29"/>
        <v>-0.12600981059108493</v>
      </c>
      <c r="U70">
        <v>5.791269855836223</v>
      </c>
      <c r="V70">
        <f t="shared" si="30"/>
        <v>0.97185852509733184</v>
      </c>
      <c r="W70">
        <f t="shared" si="31"/>
        <v>1.838709640965783</v>
      </c>
      <c r="X70">
        <f t="shared" si="32"/>
        <v>-0.12548469825808781</v>
      </c>
      <c r="Z70">
        <v>5.7914028774029847</v>
      </c>
      <c r="AA70">
        <f t="shared" si="33"/>
        <v>0.97185789689740776</v>
      </c>
      <c r="AB70">
        <f t="shared" si="34"/>
        <v>1.8386929488757802</v>
      </c>
      <c r="AC70" s="29">
        <f t="shared" si="35"/>
        <v>-0.12548347797726772</v>
      </c>
      <c r="AE70" s="28">
        <v>5.7330834251534757</v>
      </c>
      <c r="AF70">
        <f t="shared" si="36"/>
        <v>0.97213339084941486</v>
      </c>
      <c r="AG70">
        <f t="shared" si="37"/>
        <v>1.8460267005289119</v>
      </c>
      <c r="AH70" s="29">
        <f t="shared" si="38"/>
        <v>-0.12601969020685735</v>
      </c>
    </row>
    <row r="71" spans="1:34" x14ac:dyDescent="0.3">
      <c r="A71" s="72">
        <f t="shared" si="20"/>
        <v>48161</v>
      </c>
      <c r="B71">
        <v>2.7454999999999998</v>
      </c>
      <c r="C71">
        <v>7.5222222222222221</v>
      </c>
      <c r="D71">
        <v>2</v>
      </c>
      <c r="F71" s="28">
        <f>0</f>
        <v>0</v>
      </c>
      <c r="G71">
        <f t="shared" si="21"/>
        <v>1</v>
      </c>
      <c r="H71">
        <f t="shared" si="22"/>
        <v>2.7454999999999998</v>
      </c>
      <c r="I71">
        <f t="shared" si="23"/>
        <v>-0.20652261111111112</v>
      </c>
      <c r="K71">
        <v>4.5888436009571425</v>
      </c>
      <c r="L71">
        <f t="shared" si="24"/>
        <v>0.9775704113665773</v>
      </c>
      <c r="M71">
        <f t="shared" si="25"/>
        <v>1.951660644989377</v>
      </c>
      <c r="N71">
        <f t="shared" si="26"/>
        <v>-0.14351540206767135</v>
      </c>
      <c r="P71">
        <v>5.7341555559800526</v>
      </c>
      <c r="Q71">
        <f t="shared" si="27"/>
        <v>0.97212832482538469</v>
      </c>
      <c r="R71">
        <f t="shared" si="28"/>
        <v>1.7944435052527916</v>
      </c>
      <c r="S71">
        <f t="shared" si="29"/>
        <v>-0.13121985287525134</v>
      </c>
      <c r="U71">
        <v>5.791269855836223</v>
      </c>
      <c r="V71">
        <f t="shared" si="30"/>
        <v>0.97185852509733184</v>
      </c>
      <c r="W71">
        <f t="shared" si="31"/>
        <v>1.7869656397512508</v>
      </c>
      <c r="X71">
        <f t="shared" si="32"/>
        <v>-0.13063676272663027</v>
      </c>
      <c r="Z71">
        <v>5.7914028774029847</v>
      </c>
      <c r="AA71">
        <f t="shared" si="33"/>
        <v>0.97185789689740776</v>
      </c>
      <c r="AB71">
        <f t="shared" si="34"/>
        <v>1.7869482623345085</v>
      </c>
      <c r="AC71" s="29">
        <f t="shared" si="35"/>
        <v>-0.13063540790284403</v>
      </c>
      <c r="AE71" s="28">
        <v>5.7330834251534757</v>
      </c>
      <c r="AF71">
        <f t="shared" si="36"/>
        <v>0.97213339084941486</v>
      </c>
      <c r="AG71">
        <f t="shared" si="37"/>
        <v>1.7945841959837283</v>
      </c>
      <c r="AH71" s="29">
        <f t="shared" si="38"/>
        <v>-0.13123082485261722</v>
      </c>
    </row>
    <row r="72" spans="1:34" x14ac:dyDescent="0.3">
      <c r="A72" s="72">
        <f t="shared" si="20"/>
        <v>48343</v>
      </c>
      <c r="B72">
        <v>2.7454999999999998</v>
      </c>
      <c r="C72">
        <v>8.0222222222222221</v>
      </c>
      <c r="D72">
        <v>2</v>
      </c>
      <c r="F72" s="28">
        <f>0</f>
        <v>0</v>
      </c>
      <c r="G72">
        <f t="shared" si="21"/>
        <v>1</v>
      </c>
      <c r="H72">
        <f t="shared" si="22"/>
        <v>2.7454999999999998</v>
      </c>
      <c r="I72">
        <f t="shared" si="23"/>
        <v>-0.22025011111111112</v>
      </c>
      <c r="K72">
        <v>4.5888436009571425</v>
      </c>
      <c r="L72">
        <f t="shared" si="24"/>
        <v>0.9775704113665773</v>
      </c>
      <c r="M72">
        <f t="shared" si="25"/>
        <v>1.9078856995702247</v>
      </c>
      <c r="N72">
        <f t="shared" si="26"/>
        <v>-0.14962187367757959</v>
      </c>
      <c r="P72">
        <v>5.7341555559800526</v>
      </c>
      <c r="Q72">
        <f t="shared" si="27"/>
        <v>0.97212832482538469</v>
      </c>
      <c r="R72">
        <f t="shared" si="28"/>
        <v>1.7444293587551878</v>
      </c>
      <c r="S72">
        <f t="shared" si="29"/>
        <v>-0.13604158171096603</v>
      </c>
      <c r="U72">
        <v>5.791269855836223</v>
      </c>
      <c r="V72">
        <f t="shared" si="30"/>
        <v>0.97185852509733184</v>
      </c>
      <c r="W72">
        <f t="shared" si="31"/>
        <v>1.7366777910482605</v>
      </c>
      <c r="X72">
        <f t="shared" si="32"/>
        <v>-0.13539947712988026</v>
      </c>
      <c r="Z72">
        <v>5.7914028774029847</v>
      </c>
      <c r="AA72">
        <f t="shared" si="33"/>
        <v>0.97185789689740776</v>
      </c>
      <c r="AB72">
        <f t="shared" si="34"/>
        <v>1.736659780096893</v>
      </c>
      <c r="AC72" s="29">
        <f t="shared" si="35"/>
        <v>-0.13539798539234946</v>
      </c>
      <c r="AE72" s="28">
        <v>5.7330834251534757</v>
      </c>
      <c r="AF72">
        <f t="shared" si="36"/>
        <v>0.97213339084941486</v>
      </c>
      <c r="AG72">
        <f t="shared" si="37"/>
        <v>1.7445752196064326</v>
      </c>
      <c r="AH72" s="29">
        <f t="shared" si="38"/>
        <v>-0.13605366586707976</v>
      </c>
    </row>
    <row r="73" spans="1:34" x14ac:dyDescent="0.3">
      <c r="A73" s="72">
        <f t="shared" si="20"/>
        <v>48527</v>
      </c>
      <c r="B73">
        <f>100+2.7455</f>
        <v>102.74549999999999</v>
      </c>
      <c r="C73">
        <v>8.5222222222222221</v>
      </c>
      <c r="D73">
        <v>2</v>
      </c>
      <c r="F73" s="28">
        <f>0</f>
        <v>0</v>
      </c>
      <c r="G73">
        <f t="shared" si="21"/>
        <v>1</v>
      </c>
      <c r="H73">
        <f t="shared" si="22"/>
        <v>102.74549999999999</v>
      </c>
      <c r="I73">
        <f t="shared" si="23"/>
        <v>-8.7561998333333335</v>
      </c>
      <c r="K73">
        <v>4.5888436009571425</v>
      </c>
      <c r="L73">
        <f t="shared" si="24"/>
        <v>0.9775704113665773</v>
      </c>
      <c r="M73">
        <f t="shared" si="25"/>
        <v>69.797804615791733</v>
      </c>
      <c r="N73">
        <f t="shared" si="26"/>
        <v>-5.8149055548622526</v>
      </c>
      <c r="P73">
        <v>5.7341555559800526</v>
      </c>
      <c r="Q73">
        <f t="shared" si="27"/>
        <v>0.97212832482538469</v>
      </c>
      <c r="R73">
        <f t="shared" si="28"/>
        <v>63.462670975147212</v>
      </c>
      <c r="S73">
        <f t="shared" si="29"/>
        <v>-5.2576878487132293</v>
      </c>
      <c r="U73">
        <v>5.791269855836223</v>
      </c>
      <c r="V73">
        <f t="shared" si="30"/>
        <v>0.97185852509733184</v>
      </c>
      <c r="W73">
        <f t="shared" si="31"/>
        <v>63.163132618943315</v>
      </c>
      <c r="X73">
        <f t="shared" si="32"/>
        <v>-5.2314197080120906</v>
      </c>
      <c r="Z73">
        <v>5.7914028774029847</v>
      </c>
      <c r="AA73">
        <f t="shared" si="33"/>
        <v>0.97185789689740776</v>
      </c>
      <c r="AB73">
        <f t="shared" si="34"/>
        <v>63.162436731355783</v>
      </c>
      <c r="AC73" s="29">
        <f t="shared" si="35"/>
        <v>-5.2313586903563696</v>
      </c>
      <c r="AE73" s="28">
        <v>5.7330834251534757</v>
      </c>
      <c r="AF73">
        <f t="shared" si="36"/>
        <v>0.97213339084941486</v>
      </c>
      <c r="AG73">
        <f t="shared" si="37"/>
        <v>63.46830816940659</v>
      </c>
      <c r="AH73" s="29">
        <f t="shared" si="38"/>
        <v>-5.2581822746553391</v>
      </c>
    </row>
    <row r="74" spans="1:34" x14ac:dyDescent="0.3">
      <c r="A74" s="73">
        <v>48619</v>
      </c>
      <c r="B74">
        <v>0</v>
      </c>
      <c r="C74">
        <v>8.905555555555555</v>
      </c>
      <c r="D74">
        <v>4</v>
      </c>
      <c r="F74" s="28">
        <f>0</f>
        <v>0</v>
      </c>
      <c r="G74">
        <f t="shared" si="21"/>
        <v>1</v>
      </c>
      <c r="H74">
        <f t="shared" si="22"/>
        <v>0</v>
      </c>
      <c r="I74">
        <f t="shared" si="23"/>
        <v>0</v>
      </c>
      <c r="K74">
        <v>4.5888436009571425</v>
      </c>
      <c r="L74">
        <f t="shared" si="24"/>
        <v>0.98865800757105637</v>
      </c>
      <c r="M74">
        <f t="shared" si="25"/>
        <v>0</v>
      </c>
      <c r="N74">
        <f t="shared" si="26"/>
        <v>0</v>
      </c>
      <c r="P74">
        <v>5.7341555559800526</v>
      </c>
      <c r="Q74">
        <f t="shared" si="27"/>
        <v>0.98586721014866852</v>
      </c>
      <c r="R74">
        <f t="shared" si="28"/>
        <v>0</v>
      </c>
      <c r="S74">
        <f t="shared" si="29"/>
        <v>0</v>
      </c>
      <c r="U74">
        <v>5.791269855836223</v>
      </c>
      <c r="V74">
        <f t="shared" si="30"/>
        <v>0.98572845133436793</v>
      </c>
      <c r="W74">
        <f t="shared" si="31"/>
        <v>0</v>
      </c>
      <c r="X74">
        <f t="shared" si="32"/>
        <v>0</v>
      </c>
      <c r="Z74">
        <v>5.7914028774029847</v>
      </c>
      <c r="AA74">
        <f t="shared" si="33"/>
        <v>0.98572812820494216</v>
      </c>
      <c r="AB74">
        <f t="shared" si="34"/>
        <v>0</v>
      </c>
      <c r="AC74" s="29">
        <f t="shared" si="35"/>
        <v>0</v>
      </c>
      <c r="AE74" s="28">
        <v>5.7330834251534757</v>
      </c>
      <c r="AF74">
        <f t="shared" si="36"/>
        <v>0.9858698152569777</v>
      </c>
      <c r="AG74">
        <f t="shared" si="37"/>
        <v>0</v>
      </c>
      <c r="AH74" s="29">
        <f t="shared" si="38"/>
        <v>0</v>
      </c>
    </row>
    <row r="75" spans="1:34" x14ac:dyDescent="0.3">
      <c r="A75" s="73">
        <v>48708</v>
      </c>
      <c r="B75">
        <v>0</v>
      </c>
      <c r="C75">
        <v>9.1527777777777786</v>
      </c>
      <c r="D75">
        <v>4</v>
      </c>
      <c r="F75" s="28">
        <f>0</f>
        <v>0</v>
      </c>
      <c r="G75">
        <f t="shared" si="21"/>
        <v>1</v>
      </c>
      <c r="H75">
        <f t="shared" si="22"/>
        <v>0</v>
      </c>
      <c r="I75">
        <f t="shared" si="23"/>
        <v>0</v>
      </c>
      <c r="K75">
        <v>4.5888436009571425</v>
      </c>
      <c r="L75">
        <f t="shared" si="24"/>
        <v>0.98865800757105637</v>
      </c>
      <c r="M75">
        <f t="shared" si="25"/>
        <v>0</v>
      </c>
      <c r="N75">
        <f t="shared" si="26"/>
        <v>0</v>
      </c>
      <c r="P75">
        <v>5.7341555559800526</v>
      </c>
      <c r="Q75">
        <f t="shared" si="27"/>
        <v>0.98586721014866852</v>
      </c>
      <c r="R75">
        <f t="shared" si="28"/>
        <v>0</v>
      </c>
      <c r="S75">
        <f t="shared" si="29"/>
        <v>0</v>
      </c>
      <c r="U75">
        <v>5.791269855836223</v>
      </c>
      <c r="V75">
        <f t="shared" si="30"/>
        <v>0.98572845133436793</v>
      </c>
      <c r="W75">
        <f t="shared" si="31"/>
        <v>0</v>
      </c>
      <c r="X75">
        <f t="shared" si="32"/>
        <v>0</v>
      </c>
      <c r="Z75">
        <v>5.7914028774029847</v>
      </c>
      <c r="AA75">
        <f t="shared" si="33"/>
        <v>0.98572812820494216</v>
      </c>
      <c r="AB75">
        <f t="shared" si="34"/>
        <v>0</v>
      </c>
      <c r="AC75" s="29">
        <f t="shared" si="35"/>
        <v>0</v>
      </c>
      <c r="AE75" s="28">
        <v>5.7330834251534757</v>
      </c>
      <c r="AF75">
        <f t="shared" si="36"/>
        <v>0.9858698152569777</v>
      </c>
      <c r="AG75">
        <f t="shared" si="37"/>
        <v>0</v>
      </c>
      <c r="AH75" s="29">
        <f t="shared" si="38"/>
        <v>0</v>
      </c>
    </row>
    <row r="76" spans="1:34" x14ac:dyDescent="0.3">
      <c r="A76" s="73">
        <v>48800</v>
      </c>
      <c r="B76">
        <v>0</v>
      </c>
      <c r="C76">
        <v>9.4083333333333332</v>
      </c>
      <c r="D76">
        <v>4</v>
      </c>
      <c r="F76" s="28">
        <f>0</f>
        <v>0</v>
      </c>
      <c r="G76">
        <f t="shared" si="21"/>
        <v>1</v>
      </c>
      <c r="H76">
        <f t="shared" si="22"/>
        <v>0</v>
      </c>
      <c r="I76">
        <f t="shared" si="23"/>
        <v>0</v>
      </c>
      <c r="K76">
        <v>4.5888436009571425</v>
      </c>
      <c r="L76">
        <f t="shared" si="24"/>
        <v>0.98865800757105637</v>
      </c>
      <c r="M76">
        <f t="shared" si="25"/>
        <v>0</v>
      </c>
      <c r="N76">
        <f t="shared" si="26"/>
        <v>0</v>
      </c>
      <c r="P76">
        <v>5.7341555559800526</v>
      </c>
      <c r="Q76">
        <f t="shared" si="27"/>
        <v>0.98586721014866852</v>
      </c>
      <c r="R76">
        <f t="shared" si="28"/>
        <v>0</v>
      </c>
      <c r="S76">
        <f t="shared" si="29"/>
        <v>0</v>
      </c>
      <c r="U76">
        <v>5.791269855836223</v>
      </c>
      <c r="V76">
        <f t="shared" si="30"/>
        <v>0.98572845133436793</v>
      </c>
      <c r="W76">
        <f t="shared" si="31"/>
        <v>0</v>
      </c>
      <c r="X76">
        <f t="shared" si="32"/>
        <v>0</v>
      </c>
      <c r="Z76">
        <v>5.7914028774029847</v>
      </c>
      <c r="AA76">
        <f t="shared" si="33"/>
        <v>0.98572812820494216</v>
      </c>
      <c r="AB76">
        <f t="shared" si="34"/>
        <v>0</v>
      </c>
      <c r="AC76" s="29">
        <f t="shared" si="35"/>
        <v>0</v>
      </c>
      <c r="AE76" s="28">
        <v>5.7330834251534757</v>
      </c>
      <c r="AF76">
        <f t="shared" si="36"/>
        <v>0.9858698152569777</v>
      </c>
      <c r="AG76">
        <f t="shared" si="37"/>
        <v>0</v>
      </c>
      <c r="AH76" s="29">
        <f t="shared" si="38"/>
        <v>0</v>
      </c>
    </row>
    <row r="77" spans="1:34" x14ac:dyDescent="0.3">
      <c r="A77" s="73">
        <v>48892</v>
      </c>
      <c r="B77">
        <v>0</v>
      </c>
      <c r="C77">
        <v>9.6638888888888896</v>
      </c>
      <c r="D77">
        <v>4</v>
      </c>
      <c r="F77" s="28">
        <f>0</f>
        <v>0</v>
      </c>
      <c r="G77">
        <f t="shared" si="21"/>
        <v>1</v>
      </c>
      <c r="H77">
        <f t="shared" si="22"/>
        <v>0</v>
      </c>
      <c r="I77">
        <f t="shared" si="23"/>
        <v>0</v>
      </c>
      <c r="K77">
        <v>4.5888436009571425</v>
      </c>
      <c r="L77">
        <f t="shared" si="24"/>
        <v>0.98865800757105637</v>
      </c>
      <c r="M77">
        <f t="shared" si="25"/>
        <v>0</v>
      </c>
      <c r="N77">
        <f t="shared" si="26"/>
        <v>0</v>
      </c>
      <c r="P77">
        <v>5.7341555559800526</v>
      </c>
      <c r="Q77">
        <f t="shared" si="27"/>
        <v>0.98586721014866852</v>
      </c>
      <c r="R77">
        <f t="shared" si="28"/>
        <v>0</v>
      </c>
      <c r="S77">
        <f t="shared" si="29"/>
        <v>0</v>
      </c>
      <c r="U77">
        <v>5.791269855836223</v>
      </c>
      <c r="V77">
        <f t="shared" si="30"/>
        <v>0.98572845133436793</v>
      </c>
      <c r="W77">
        <f t="shared" si="31"/>
        <v>0</v>
      </c>
      <c r="X77">
        <f t="shared" si="32"/>
        <v>0</v>
      </c>
      <c r="Z77">
        <v>5.7914028774029847</v>
      </c>
      <c r="AA77">
        <f t="shared" si="33"/>
        <v>0.98572812820494216</v>
      </c>
      <c r="AB77">
        <f t="shared" si="34"/>
        <v>0</v>
      </c>
      <c r="AC77" s="29">
        <f t="shared" si="35"/>
        <v>0</v>
      </c>
      <c r="AE77" s="28">
        <v>5.7330834251534757</v>
      </c>
      <c r="AF77">
        <f t="shared" si="36"/>
        <v>0.9858698152569777</v>
      </c>
      <c r="AG77">
        <f t="shared" si="37"/>
        <v>0</v>
      </c>
      <c r="AH77" s="29">
        <f t="shared" si="38"/>
        <v>0</v>
      </c>
    </row>
    <row r="78" spans="1:34" ht="15" thickBot="1" x14ac:dyDescent="0.35">
      <c r="F78" s="48"/>
      <c r="G78" s="49" t="s">
        <v>52</v>
      </c>
      <c r="H78" s="49">
        <f>SUM(H56:H77)</f>
        <v>149.41899999999998</v>
      </c>
      <c r="I78" s="49">
        <f>SUM(I56:I77)</f>
        <v>-10.633511722222222</v>
      </c>
      <c r="J78" s="49"/>
      <c r="K78" s="49"/>
      <c r="L78" s="49" t="s">
        <v>52</v>
      </c>
      <c r="M78" s="49">
        <f>SUM(M56:M77)</f>
        <v>108.92650787363857</v>
      </c>
      <c r="N78" s="49">
        <f>SUM(N56:N77)</f>
        <v>-7.2495795223710058</v>
      </c>
      <c r="O78" s="49"/>
      <c r="P78" s="49"/>
      <c r="Q78" s="49" t="s">
        <v>52</v>
      </c>
      <c r="R78" s="49">
        <f>SUM(R56:R77)</f>
        <v>101.00055524062191</v>
      </c>
      <c r="S78" s="49">
        <f>SUM(S56:S77)</f>
        <v>-6.6021550433729335</v>
      </c>
      <c r="T78" s="49"/>
      <c r="U78" s="49"/>
      <c r="V78" s="49" t="s">
        <v>52</v>
      </c>
      <c r="W78" s="49">
        <f>SUM(W56:W77)</f>
        <v>100.62435193832307</v>
      </c>
      <c r="X78" s="49">
        <f>SUM(X56:X77)</f>
        <v>-6.5715700586931884</v>
      </c>
      <c r="Y78" s="49"/>
      <c r="Z78" s="49"/>
      <c r="AA78" s="49" t="s">
        <v>52</v>
      </c>
      <c r="AB78" s="49">
        <f>SUM(AB56:AB77)</f>
        <v>100.62347778250364</v>
      </c>
      <c r="AC78" s="52">
        <f>SUM(AC56:AC77)</f>
        <v>-6.5714990064476861</v>
      </c>
      <c r="AE78" s="48"/>
      <c r="AF78" s="49" t="s">
        <v>52</v>
      </c>
      <c r="AG78" s="49">
        <f>SUM(AG56:AG77)</f>
        <v>101.00763392313104</v>
      </c>
      <c r="AH78" s="52">
        <f>SUM(AH56:AH77)</f>
        <v>-6.6027306638228804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F6A5-3930-489A-B9A8-22C15760FA62}">
  <dimension ref="B1:H56"/>
  <sheetViews>
    <sheetView workbookViewId="0">
      <selection activeCell="H24" sqref="H24"/>
    </sheetView>
  </sheetViews>
  <sheetFormatPr defaultRowHeight="14.4" x14ac:dyDescent="0.3"/>
  <cols>
    <col min="2" max="2" width="9.88671875" bestFit="1" customWidth="1"/>
    <col min="6" max="6" width="22.44140625" customWidth="1"/>
    <col min="7" max="7" width="69.6640625" style="74" customWidth="1"/>
    <col min="8" max="8" width="22.33203125" customWidth="1"/>
  </cols>
  <sheetData>
    <row r="1" spans="2:8" ht="15" thickBot="1" x14ac:dyDescent="0.35"/>
    <row r="2" spans="2:8" x14ac:dyDescent="0.3">
      <c r="B2" s="75"/>
      <c r="C2" s="76" t="s">
        <v>137</v>
      </c>
      <c r="D2" s="77"/>
      <c r="E2" s="78"/>
      <c r="F2" s="79" t="s">
        <v>138</v>
      </c>
      <c r="G2" s="80" t="s">
        <v>139</v>
      </c>
      <c r="H2" s="79" t="s">
        <v>140</v>
      </c>
    </row>
    <row r="3" spans="2:8" ht="15" thickBot="1" x14ac:dyDescent="0.35">
      <c r="B3" s="81">
        <v>45435</v>
      </c>
      <c r="C3" s="82" t="s">
        <v>141</v>
      </c>
      <c r="D3" s="83">
        <v>45482</v>
      </c>
      <c r="E3" s="78"/>
      <c r="F3" s="110" t="s">
        <v>142</v>
      </c>
      <c r="G3" s="85" t="s">
        <v>143</v>
      </c>
      <c r="H3" s="84">
        <f>(D3-B3)/366</f>
        <v>0.12841530054644809</v>
      </c>
    </row>
    <row r="4" spans="2:8" x14ac:dyDescent="0.3">
      <c r="B4" s="86"/>
      <c r="C4" s="78"/>
      <c r="D4" s="78"/>
      <c r="E4" s="78"/>
      <c r="F4" s="111"/>
      <c r="G4" s="88" t="s">
        <v>144</v>
      </c>
      <c r="H4" s="87"/>
    </row>
    <row r="5" spans="2:8" x14ac:dyDescent="0.3">
      <c r="B5" s="78"/>
      <c r="C5" s="78"/>
      <c r="D5" s="78"/>
      <c r="E5" s="78"/>
      <c r="F5" s="112"/>
      <c r="G5" s="90" t="s">
        <v>145</v>
      </c>
      <c r="H5" s="89"/>
    </row>
    <row r="6" spans="2:8" x14ac:dyDescent="0.3">
      <c r="B6" s="78"/>
      <c r="C6" s="78"/>
      <c r="D6" s="78"/>
      <c r="E6" s="78"/>
      <c r="F6" s="110" t="s">
        <v>146</v>
      </c>
      <c r="G6" s="85" t="s">
        <v>147</v>
      </c>
      <c r="H6" s="84">
        <f>(D3-B3)/365</f>
        <v>0.12876712328767123</v>
      </c>
    </row>
    <row r="7" spans="2:8" x14ac:dyDescent="0.3">
      <c r="B7" s="78"/>
      <c r="C7" s="78"/>
      <c r="D7" s="78"/>
      <c r="E7" s="78"/>
      <c r="F7" s="111"/>
      <c r="G7" s="88" t="s">
        <v>148</v>
      </c>
      <c r="H7" s="87"/>
    </row>
    <row r="8" spans="2:8" x14ac:dyDescent="0.3">
      <c r="B8" s="78"/>
      <c r="C8" s="78"/>
      <c r="D8" s="78"/>
      <c r="E8" s="78"/>
      <c r="F8" s="112"/>
      <c r="G8" s="90" t="s">
        <v>149</v>
      </c>
      <c r="H8" s="89"/>
    </row>
    <row r="9" spans="2:8" x14ac:dyDescent="0.3">
      <c r="B9" s="78"/>
      <c r="C9" s="78"/>
      <c r="D9" s="78"/>
      <c r="E9" s="78"/>
      <c r="F9" s="110" t="s">
        <v>150</v>
      </c>
      <c r="G9" s="85" t="s">
        <v>147</v>
      </c>
      <c r="H9" s="84">
        <f>(D3-B3)/360</f>
        <v>0.13055555555555556</v>
      </c>
    </row>
    <row r="10" spans="2:8" x14ac:dyDescent="0.3">
      <c r="B10" s="78"/>
      <c r="C10" s="78"/>
      <c r="D10" s="78"/>
      <c r="E10" s="78"/>
      <c r="F10" s="111"/>
      <c r="G10" s="88" t="s">
        <v>148</v>
      </c>
      <c r="H10" s="87"/>
    </row>
    <row r="11" spans="2:8" x14ac:dyDescent="0.3">
      <c r="B11" s="78"/>
      <c r="C11" s="78"/>
      <c r="D11" s="78"/>
      <c r="E11" s="78"/>
      <c r="F11" s="112"/>
      <c r="G11" s="90" t="s">
        <v>151</v>
      </c>
      <c r="H11" s="89"/>
    </row>
    <row r="12" spans="2:8" x14ac:dyDescent="0.3">
      <c r="B12" s="78"/>
      <c r="C12" s="78"/>
      <c r="D12" s="78"/>
      <c r="E12" s="78"/>
      <c r="F12" s="110" t="s">
        <v>152</v>
      </c>
      <c r="G12" s="85" t="s">
        <v>147</v>
      </c>
      <c r="H12" s="84">
        <f>(D3-B3)/365</f>
        <v>0.12876712328767123</v>
      </c>
    </row>
    <row r="13" spans="2:8" x14ac:dyDescent="0.3">
      <c r="B13" s="78"/>
      <c r="C13" s="78"/>
      <c r="D13" s="78"/>
      <c r="E13" s="78"/>
      <c r="F13" s="111"/>
      <c r="G13" s="88" t="s">
        <v>148</v>
      </c>
      <c r="H13" s="87"/>
    </row>
    <row r="14" spans="2:8" x14ac:dyDescent="0.3">
      <c r="B14" s="78"/>
      <c r="C14" s="78"/>
      <c r="D14" s="78"/>
      <c r="E14" s="78"/>
      <c r="F14" s="112"/>
      <c r="G14" s="90" t="s">
        <v>153</v>
      </c>
      <c r="H14" s="89"/>
    </row>
    <row r="15" spans="2:8" x14ac:dyDescent="0.3">
      <c r="B15" s="78"/>
      <c r="C15" s="78"/>
      <c r="D15" s="78"/>
      <c r="E15" s="78"/>
      <c r="F15" s="110" t="s">
        <v>154</v>
      </c>
      <c r="G15" s="85" t="s">
        <v>147</v>
      </c>
      <c r="H15" s="84">
        <f>(D3-B3)/366</f>
        <v>0.12841530054644809</v>
      </c>
    </row>
    <row r="16" spans="2:8" x14ac:dyDescent="0.3">
      <c r="B16" s="78"/>
      <c r="C16" s="78"/>
      <c r="D16" s="78"/>
      <c r="E16" s="78"/>
      <c r="F16" s="111"/>
      <c r="G16" s="88" t="s">
        <v>148</v>
      </c>
      <c r="H16" s="87"/>
    </row>
    <row r="17" spans="2:8" x14ac:dyDescent="0.3">
      <c r="B17" s="78"/>
      <c r="C17" s="78"/>
      <c r="D17" s="78"/>
      <c r="E17" s="78"/>
      <c r="F17" s="112"/>
      <c r="G17" s="90" t="s">
        <v>155</v>
      </c>
      <c r="H17" s="89"/>
    </row>
    <row r="18" spans="2:8" x14ac:dyDescent="0.3">
      <c r="B18" s="78"/>
      <c r="C18" s="78"/>
      <c r="D18" s="78"/>
      <c r="E18" s="78"/>
      <c r="F18" s="110" t="s">
        <v>156</v>
      </c>
      <c r="G18" s="85" t="s">
        <v>147</v>
      </c>
      <c r="H18" s="84">
        <f>(D3-B3)/365</f>
        <v>0.12876712328767123</v>
      </c>
    </row>
    <row r="19" spans="2:8" x14ac:dyDescent="0.3">
      <c r="B19" s="78"/>
      <c r="C19" s="78"/>
      <c r="D19" s="78"/>
      <c r="E19" s="78"/>
      <c r="F19" s="111"/>
      <c r="G19" s="88" t="s">
        <v>157</v>
      </c>
      <c r="H19" s="87"/>
    </row>
    <row r="20" spans="2:8" x14ac:dyDescent="0.3">
      <c r="B20" s="78"/>
      <c r="C20" s="78"/>
      <c r="D20" s="78"/>
      <c r="E20" s="78"/>
      <c r="F20" s="111"/>
      <c r="G20" s="88" t="s">
        <v>158</v>
      </c>
      <c r="H20" s="87"/>
    </row>
    <row r="21" spans="2:8" x14ac:dyDescent="0.3">
      <c r="B21" s="78"/>
      <c r="C21" s="78"/>
      <c r="D21" s="78"/>
      <c r="E21" s="78"/>
      <c r="F21" s="111"/>
      <c r="G21" s="88" t="s">
        <v>159</v>
      </c>
      <c r="H21" s="87"/>
    </row>
    <row r="22" spans="2:8" x14ac:dyDescent="0.3">
      <c r="B22" s="78"/>
      <c r="C22" s="78"/>
      <c r="D22" s="78"/>
      <c r="E22" s="78"/>
      <c r="F22" s="111"/>
      <c r="G22" s="88" t="s">
        <v>160</v>
      </c>
      <c r="H22" s="87"/>
    </row>
    <row r="23" spans="2:8" x14ac:dyDescent="0.3">
      <c r="B23" s="78"/>
      <c r="C23" s="78"/>
      <c r="D23" s="78"/>
      <c r="E23" s="78"/>
      <c r="F23" s="112"/>
      <c r="G23" s="90" t="s">
        <v>161</v>
      </c>
      <c r="H23" s="89"/>
    </row>
    <row r="24" spans="2:8" x14ac:dyDescent="0.3">
      <c r="B24" s="78"/>
      <c r="C24" s="78"/>
      <c r="D24" s="78"/>
      <c r="E24" s="78"/>
      <c r="F24" s="110" t="s">
        <v>162</v>
      </c>
      <c r="G24" s="85" t="s">
        <v>147</v>
      </c>
      <c r="H24" s="84">
        <f>(DATEDIF(B3,D3,"md")+DATEDIF(B3,D3,"ym")*30+DATEDIF(B3,D3,"y")*360)/360</f>
        <v>0.12777777777777777</v>
      </c>
    </row>
    <row r="25" spans="2:8" x14ac:dyDescent="0.3">
      <c r="B25" s="78"/>
      <c r="C25" s="78"/>
      <c r="D25" s="78"/>
      <c r="E25" s="78"/>
      <c r="F25" s="111"/>
      <c r="G25" s="88" t="s">
        <v>163</v>
      </c>
      <c r="H25" s="87"/>
    </row>
    <row r="26" spans="2:8" x14ac:dyDescent="0.3">
      <c r="B26" s="78"/>
      <c r="C26" s="78"/>
      <c r="D26" s="78"/>
      <c r="E26" s="78"/>
      <c r="F26" s="111"/>
      <c r="G26" s="88" t="s">
        <v>164</v>
      </c>
      <c r="H26" s="87"/>
    </row>
    <row r="27" spans="2:8" x14ac:dyDescent="0.3">
      <c r="B27" s="78"/>
      <c r="C27" s="78"/>
      <c r="D27" s="78"/>
      <c r="E27" s="78"/>
      <c r="F27" s="111"/>
      <c r="G27" s="88" t="s">
        <v>165</v>
      </c>
      <c r="H27" s="87"/>
    </row>
    <row r="28" spans="2:8" x14ac:dyDescent="0.3">
      <c r="B28" s="78"/>
      <c r="C28" s="78"/>
      <c r="D28" s="78"/>
      <c r="E28" s="78"/>
      <c r="F28" s="111"/>
      <c r="G28" s="88" t="s">
        <v>166</v>
      </c>
      <c r="H28" s="87"/>
    </row>
    <row r="29" spans="2:8" x14ac:dyDescent="0.3">
      <c r="B29" s="78"/>
      <c r="C29" s="78"/>
      <c r="D29" s="78"/>
      <c r="E29" s="78"/>
      <c r="F29" s="112"/>
      <c r="G29" s="90" t="s">
        <v>151</v>
      </c>
      <c r="H29" s="89"/>
    </row>
    <row r="30" spans="2:8" x14ac:dyDescent="0.3">
      <c r="B30" s="78"/>
      <c r="C30" s="78"/>
      <c r="D30" s="78"/>
      <c r="E30" s="78"/>
      <c r="F30" s="110" t="s">
        <v>167</v>
      </c>
      <c r="G30" s="85" t="s">
        <v>147</v>
      </c>
      <c r="H30" s="84">
        <f>(DATEDIF(B3,D3,"md")+DATEDIF(B3,D3,"ym")*30+DATEDIF(B3,D3,"y")*360)/360</f>
        <v>0.12777777777777777</v>
      </c>
    </row>
    <row r="31" spans="2:8" x14ac:dyDescent="0.3">
      <c r="B31" s="78"/>
      <c r="C31" s="78"/>
      <c r="D31" s="78"/>
      <c r="E31" s="78"/>
      <c r="F31" s="111"/>
      <c r="G31" s="88" t="s">
        <v>163</v>
      </c>
      <c r="H31" s="87"/>
    </row>
    <row r="32" spans="2:8" x14ac:dyDescent="0.3">
      <c r="B32" s="78"/>
      <c r="C32" s="78"/>
      <c r="D32" s="78"/>
      <c r="E32" s="78"/>
      <c r="F32" s="111"/>
      <c r="G32" s="88" t="s">
        <v>164</v>
      </c>
      <c r="H32" s="87"/>
    </row>
    <row r="33" spans="2:8" x14ac:dyDescent="0.3">
      <c r="B33" s="78"/>
      <c r="C33" s="78"/>
      <c r="D33" s="78"/>
      <c r="E33" s="78"/>
      <c r="F33" s="111"/>
      <c r="G33" s="88" t="s">
        <v>168</v>
      </c>
      <c r="H33" s="87"/>
    </row>
    <row r="34" spans="2:8" x14ac:dyDescent="0.3">
      <c r="B34" s="78"/>
      <c r="C34" s="78"/>
      <c r="D34" s="78"/>
      <c r="E34" s="78"/>
      <c r="F34" s="111"/>
      <c r="G34" s="88" t="s">
        <v>169</v>
      </c>
      <c r="H34" s="87"/>
    </row>
    <row r="35" spans="2:8" x14ac:dyDescent="0.3">
      <c r="B35" s="78"/>
      <c r="C35" s="78"/>
      <c r="D35" s="78"/>
      <c r="E35" s="78"/>
      <c r="F35" s="111"/>
      <c r="G35" s="88" t="s">
        <v>170</v>
      </c>
      <c r="H35" s="87"/>
    </row>
    <row r="36" spans="2:8" x14ac:dyDescent="0.3">
      <c r="B36" s="78"/>
      <c r="C36" s="78"/>
      <c r="D36" s="78"/>
      <c r="E36" s="78"/>
      <c r="F36" s="112"/>
      <c r="G36" s="90" t="s">
        <v>151</v>
      </c>
      <c r="H36" s="89"/>
    </row>
    <row r="37" spans="2:8" x14ac:dyDescent="0.3">
      <c r="B37" s="78"/>
      <c r="C37" s="78"/>
      <c r="D37" s="78"/>
      <c r="E37" s="78"/>
      <c r="F37" s="110" t="s">
        <v>171</v>
      </c>
      <c r="G37" s="85" t="s">
        <v>172</v>
      </c>
      <c r="H37" s="84">
        <f>(DATEDIF(B3,D3,"md")+DATEDIF(B3,D3,"ym")*30+DATEDIF(B3,D3,"y")*360)/360</f>
        <v>0.12777777777777777</v>
      </c>
    </row>
    <row r="38" spans="2:8" x14ac:dyDescent="0.3">
      <c r="B38" s="78"/>
      <c r="C38" s="78"/>
      <c r="D38" s="78"/>
      <c r="E38" s="78"/>
      <c r="F38" s="111"/>
      <c r="G38" s="88" t="s">
        <v>163</v>
      </c>
      <c r="H38" s="87"/>
    </row>
    <row r="39" spans="2:8" x14ac:dyDescent="0.3">
      <c r="B39" s="78"/>
      <c r="C39" s="78"/>
      <c r="D39" s="78"/>
      <c r="E39" s="78"/>
      <c r="F39" s="111"/>
      <c r="G39" s="88" t="s">
        <v>164</v>
      </c>
      <c r="H39" s="87"/>
    </row>
    <row r="40" spans="2:8" ht="28.8" x14ac:dyDescent="0.3">
      <c r="B40" s="78"/>
      <c r="C40" s="78"/>
      <c r="D40" s="78"/>
      <c r="E40" s="78"/>
      <c r="F40" s="111"/>
      <c r="G40" s="88" t="s">
        <v>173</v>
      </c>
      <c r="H40" s="87"/>
    </row>
    <row r="41" spans="2:8" x14ac:dyDescent="0.3">
      <c r="B41" s="78"/>
      <c r="C41" s="78"/>
      <c r="D41" s="78"/>
      <c r="E41" s="78"/>
      <c r="F41" s="111"/>
      <c r="G41" s="88" t="s">
        <v>166</v>
      </c>
      <c r="H41" s="87"/>
    </row>
    <row r="42" spans="2:8" x14ac:dyDescent="0.3">
      <c r="B42" s="78"/>
      <c r="C42" s="78"/>
      <c r="D42" s="78"/>
      <c r="E42" s="78"/>
      <c r="F42" s="112"/>
      <c r="G42" s="90" t="s">
        <v>151</v>
      </c>
      <c r="H42" s="89"/>
    </row>
    <row r="43" spans="2:8" x14ac:dyDescent="0.3">
      <c r="B43" s="78"/>
      <c r="C43" s="78"/>
      <c r="D43" s="78"/>
      <c r="E43" s="78"/>
      <c r="F43" s="110" t="s">
        <v>174</v>
      </c>
      <c r="G43" s="85" t="s">
        <v>147</v>
      </c>
      <c r="H43" s="84">
        <f>(DATEDIF(B3,D3,"md")+DATEDIF(B3,D3,"ym")*30+DATEDIF(B3,D3,"y")*360)/360</f>
        <v>0.12777777777777777</v>
      </c>
    </row>
    <row r="44" spans="2:8" x14ac:dyDescent="0.3">
      <c r="B44" s="78"/>
      <c r="C44" s="78"/>
      <c r="D44" s="78"/>
      <c r="E44" s="78"/>
      <c r="F44" s="111"/>
      <c r="G44" s="88" t="s">
        <v>163</v>
      </c>
      <c r="H44" s="87"/>
    </row>
    <row r="45" spans="2:8" x14ac:dyDescent="0.3">
      <c r="B45" s="78"/>
      <c r="C45" s="78"/>
      <c r="D45" s="78"/>
      <c r="E45" s="78"/>
      <c r="F45" s="111"/>
      <c r="G45" s="88" t="s">
        <v>175</v>
      </c>
      <c r="H45" s="87"/>
    </row>
    <row r="46" spans="2:8" ht="28.8" x14ac:dyDescent="0.3">
      <c r="B46" s="78"/>
      <c r="C46" s="78"/>
      <c r="D46" s="78"/>
      <c r="E46" s="78"/>
      <c r="F46" s="111"/>
      <c r="G46" s="88" t="s">
        <v>176</v>
      </c>
      <c r="H46" s="87"/>
    </row>
    <row r="47" spans="2:8" x14ac:dyDescent="0.3">
      <c r="B47" s="78"/>
      <c r="C47" s="78"/>
      <c r="D47" s="78"/>
      <c r="E47" s="78"/>
      <c r="F47" s="111"/>
      <c r="G47" s="88" t="s">
        <v>166</v>
      </c>
      <c r="H47" s="87"/>
    </row>
    <row r="48" spans="2:8" x14ac:dyDescent="0.3">
      <c r="B48" s="78"/>
      <c r="C48" s="78"/>
      <c r="D48" s="78"/>
      <c r="E48" s="78"/>
      <c r="F48" s="112"/>
      <c r="G48" s="90" t="s">
        <v>151</v>
      </c>
      <c r="H48" s="89"/>
    </row>
    <row r="49" spans="2:8" x14ac:dyDescent="0.3">
      <c r="B49" s="78"/>
      <c r="C49" s="78"/>
      <c r="D49" s="78"/>
      <c r="E49" s="78"/>
      <c r="F49" s="110" t="s">
        <v>177</v>
      </c>
      <c r="G49" s="85" t="s">
        <v>147</v>
      </c>
      <c r="H49" s="84">
        <f>(DATEDIF(B3,D3,"md")+DATEDIF(B3,D3,"ym")*30+DATEDIF(B3,D3,"y")*360)/360</f>
        <v>0.12777777777777777</v>
      </c>
    </row>
    <row r="50" spans="2:8" x14ac:dyDescent="0.3">
      <c r="B50" s="78"/>
      <c r="C50" s="78"/>
      <c r="D50" s="78"/>
      <c r="E50" s="78"/>
      <c r="F50" s="111"/>
      <c r="G50" s="88" t="s">
        <v>163</v>
      </c>
      <c r="H50" s="87"/>
    </row>
    <row r="51" spans="2:8" ht="13.95" customHeight="1" x14ac:dyDescent="0.3">
      <c r="B51" s="78"/>
      <c r="C51" s="78"/>
      <c r="D51" s="78"/>
      <c r="E51" s="78"/>
      <c r="F51" s="111"/>
      <c r="G51" s="88" t="s">
        <v>178</v>
      </c>
      <c r="H51" s="87"/>
    </row>
    <row r="52" spans="2:8" x14ac:dyDescent="0.3">
      <c r="B52" s="78"/>
      <c r="C52" s="78"/>
      <c r="D52" s="78"/>
      <c r="E52" s="78"/>
      <c r="F52" s="111"/>
      <c r="G52" s="88" t="s">
        <v>179</v>
      </c>
      <c r="H52" s="87"/>
    </row>
    <row r="53" spans="2:8" x14ac:dyDescent="0.3">
      <c r="B53" s="78"/>
      <c r="C53" s="78"/>
      <c r="D53" s="78"/>
      <c r="E53" s="78"/>
      <c r="F53" s="111"/>
      <c r="G53" s="88" t="s">
        <v>180</v>
      </c>
      <c r="H53" s="87"/>
    </row>
    <row r="54" spans="2:8" x14ac:dyDescent="0.3">
      <c r="B54" s="78"/>
      <c r="C54" s="78"/>
      <c r="D54" s="78"/>
      <c r="E54" s="78"/>
      <c r="F54" s="111"/>
      <c r="G54" s="88" t="s">
        <v>181</v>
      </c>
      <c r="H54" s="87"/>
    </row>
    <row r="55" spans="2:8" x14ac:dyDescent="0.3">
      <c r="B55" s="78"/>
      <c r="C55" s="78"/>
      <c r="D55" s="78"/>
      <c r="E55" s="78"/>
      <c r="F55" s="111"/>
      <c r="G55" s="88" t="s">
        <v>182</v>
      </c>
      <c r="H55" s="87"/>
    </row>
    <row r="56" spans="2:8" x14ac:dyDescent="0.3">
      <c r="B56" s="78"/>
      <c r="C56" s="78"/>
      <c r="D56" s="78"/>
      <c r="E56" s="78"/>
      <c r="F56" s="112"/>
      <c r="G56" s="90" t="s">
        <v>151</v>
      </c>
      <c r="H56" s="89"/>
    </row>
  </sheetData>
  <mergeCells count="11">
    <mergeCell ref="F18:F23"/>
    <mergeCell ref="F3:F5"/>
    <mergeCell ref="F6:F8"/>
    <mergeCell ref="F9:F11"/>
    <mergeCell ref="F12:F14"/>
    <mergeCell ref="F15:F17"/>
    <mergeCell ref="F24:F29"/>
    <mergeCell ref="F30:F36"/>
    <mergeCell ref="F37:F42"/>
    <mergeCell ref="F43:F48"/>
    <mergeCell ref="F49:F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5059-1134-4F14-B293-C6B54C42E8D7}">
  <dimension ref="A1:P7"/>
  <sheetViews>
    <sheetView workbookViewId="0">
      <selection activeCell="D9" sqref="D9"/>
    </sheetView>
  </sheetViews>
  <sheetFormatPr defaultRowHeight="14.4" x14ac:dyDescent="0.3"/>
  <cols>
    <col min="1" max="1" width="10.44140625" bestFit="1" customWidth="1"/>
    <col min="2" max="2" width="8" bestFit="1" customWidth="1"/>
    <col min="3" max="3" width="9.6640625" bestFit="1" customWidth="1"/>
    <col min="4" max="4" width="22" bestFit="1" customWidth="1"/>
    <col min="5" max="5" width="15.33203125" bestFit="1" customWidth="1"/>
    <col min="6" max="6" width="14.6640625" bestFit="1" customWidth="1"/>
    <col min="7" max="8" width="30.44140625" bestFit="1" customWidth="1"/>
    <col min="9" max="9" width="7.109375" bestFit="1" customWidth="1"/>
    <col min="10" max="10" width="6.33203125" bestFit="1" customWidth="1"/>
    <col min="11" max="11" width="8" bestFit="1" customWidth="1"/>
    <col min="12" max="12" width="6.88671875" bestFit="1" customWidth="1"/>
    <col min="13" max="13" width="9.109375" bestFit="1" customWidth="1"/>
    <col min="14" max="14" width="10.5546875" bestFit="1" customWidth="1"/>
    <col min="15" max="15" width="11.109375" bestFit="1" customWidth="1"/>
    <col min="16" max="16" width="10.6640625" bestFit="1" customWidth="1"/>
  </cols>
  <sheetData>
    <row r="1" spans="1:16" x14ac:dyDescent="0.3">
      <c r="A1" t="s">
        <v>183</v>
      </c>
      <c r="B1" t="s">
        <v>184</v>
      </c>
      <c r="C1" t="s">
        <v>185</v>
      </c>
      <c r="D1" t="s">
        <v>186</v>
      </c>
      <c r="E1" t="s">
        <v>187</v>
      </c>
      <c r="F1" t="s">
        <v>111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  <c r="O1" t="s">
        <v>196</v>
      </c>
      <c r="P1" t="s">
        <v>197</v>
      </c>
    </row>
    <row r="2" spans="1:16" s="93" customFormat="1" x14ac:dyDescent="0.3">
      <c r="A2" s="93" t="s">
        <v>198</v>
      </c>
      <c r="B2" s="93">
        <v>75.906000000000006</v>
      </c>
      <c r="C2" s="94">
        <v>15761</v>
      </c>
      <c r="D2" s="93" t="s">
        <v>199</v>
      </c>
      <c r="E2" s="93" t="s">
        <v>200</v>
      </c>
      <c r="F2" s="94">
        <v>45394</v>
      </c>
      <c r="G2" s="93" t="s">
        <v>201</v>
      </c>
      <c r="H2" s="93" t="s">
        <v>202</v>
      </c>
      <c r="I2" s="93">
        <v>3.4359999999999999</v>
      </c>
      <c r="J2" s="93">
        <v>6.9420000000000002</v>
      </c>
      <c r="K2" s="93">
        <v>5.31</v>
      </c>
      <c r="L2" s="93">
        <v>1.6319999999999999</v>
      </c>
      <c r="M2" s="93" t="s">
        <v>203</v>
      </c>
      <c r="N2" s="94">
        <v>44585</v>
      </c>
      <c r="O2" s="94">
        <v>44616</v>
      </c>
      <c r="P2" s="94">
        <v>52194</v>
      </c>
    </row>
    <row r="3" spans="1:16" s="95" customFormat="1" x14ac:dyDescent="0.3">
      <c r="A3" s="95" t="s">
        <v>204</v>
      </c>
      <c r="B3" s="95">
        <v>98</v>
      </c>
      <c r="C3" s="96">
        <v>12308</v>
      </c>
      <c r="D3" s="95" t="s">
        <v>205</v>
      </c>
      <c r="E3" s="95" t="s">
        <v>200</v>
      </c>
      <c r="F3" s="96">
        <v>45413</v>
      </c>
      <c r="G3" s="95" t="s">
        <v>206</v>
      </c>
      <c r="H3" s="95" t="s">
        <v>207</v>
      </c>
      <c r="I3" s="95">
        <v>5.4909999999999997</v>
      </c>
      <c r="J3" s="95">
        <v>8.1850000000000005</v>
      </c>
      <c r="K3" s="95">
        <v>5.32</v>
      </c>
      <c r="L3" s="95">
        <v>2.8650000000000002</v>
      </c>
      <c r="M3" s="95" t="s">
        <v>203</v>
      </c>
      <c r="N3" s="96">
        <v>44782</v>
      </c>
      <c r="O3" s="96">
        <v>44874</v>
      </c>
      <c r="P3" s="96">
        <v>48800</v>
      </c>
    </row>
    <row r="4" spans="1:16" s="97" customFormat="1" x14ac:dyDescent="0.3">
      <c r="A4" s="97" t="s">
        <v>208</v>
      </c>
      <c r="B4" s="97">
        <v>97.387</v>
      </c>
      <c r="C4" s="98">
        <v>12530</v>
      </c>
      <c r="D4" s="97" t="s">
        <v>209</v>
      </c>
      <c r="E4" s="97" t="s">
        <v>210</v>
      </c>
      <c r="F4" s="98">
        <v>45394</v>
      </c>
      <c r="G4" s="97" t="s">
        <v>211</v>
      </c>
      <c r="H4" s="97" t="s">
        <v>212</v>
      </c>
      <c r="I4" s="97">
        <v>5.25</v>
      </c>
      <c r="J4" s="97">
        <v>7.18</v>
      </c>
      <c r="K4" s="97">
        <v>5.31</v>
      </c>
      <c r="L4" s="97">
        <v>1.87</v>
      </c>
      <c r="M4" s="97" t="s">
        <v>203</v>
      </c>
      <c r="N4" s="98">
        <v>45037</v>
      </c>
      <c r="O4" s="98">
        <v>45220</v>
      </c>
      <c r="P4" s="98">
        <v>48965</v>
      </c>
    </row>
    <row r="5" spans="1:16" s="99" customFormat="1" x14ac:dyDescent="0.3">
      <c r="A5" s="99" t="s">
        <v>213</v>
      </c>
      <c r="B5" s="99">
        <v>70.799000000000007</v>
      </c>
      <c r="C5" s="100">
        <v>19106</v>
      </c>
      <c r="D5" s="99" t="s">
        <v>199</v>
      </c>
      <c r="E5" s="99" t="s">
        <v>200</v>
      </c>
      <c r="F5" s="100">
        <v>45425</v>
      </c>
      <c r="G5" s="99" t="s">
        <v>214</v>
      </c>
      <c r="H5" s="99" t="s">
        <v>215</v>
      </c>
      <c r="I5" s="99">
        <v>3.3279999999999998</v>
      </c>
      <c r="J5" s="99">
        <v>6.89</v>
      </c>
      <c r="K5" s="99">
        <v>5.31</v>
      </c>
      <c r="L5" s="99">
        <v>1.58</v>
      </c>
      <c r="M5" s="99" t="s">
        <v>203</v>
      </c>
      <c r="N5" s="100">
        <v>44308</v>
      </c>
      <c r="O5" s="100">
        <v>44491</v>
      </c>
      <c r="P5" s="100">
        <v>55540</v>
      </c>
    </row>
    <row r="6" spans="1:16" s="101" customFormat="1" x14ac:dyDescent="0.3">
      <c r="A6" s="101" t="s">
        <v>216</v>
      </c>
      <c r="B6" s="101">
        <v>104.482</v>
      </c>
      <c r="C6" s="102">
        <v>12375</v>
      </c>
      <c r="D6" s="101" t="s">
        <v>209</v>
      </c>
      <c r="E6" s="101" t="s">
        <v>210</v>
      </c>
      <c r="F6" s="102">
        <v>45425</v>
      </c>
      <c r="G6" s="101" t="s">
        <v>217</v>
      </c>
      <c r="H6" s="101" t="s">
        <v>218</v>
      </c>
      <c r="I6" s="101">
        <v>6.27</v>
      </c>
      <c r="J6" s="101">
        <v>7.6479999999999997</v>
      </c>
      <c r="K6" s="101">
        <v>5.31</v>
      </c>
      <c r="L6" s="101">
        <v>2.3380000000000001</v>
      </c>
      <c r="M6" s="101" t="s">
        <v>203</v>
      </c>
      <c r="N6" s="102">
        <v>44882</v>
      </c>
      <c r="O6" s="102">
        <v>45063</v>
      </c>
      <c r="P6" s="102">
        <v>48808</v>
      </c>
    </row>
    <row r="7" spans="1:16" s="103" customFormat="1" x14ac:dyDescent="0.3">
      <c r="A7" s="103" t="s">
        <v>219</v>
      </c>
      <c r="B7" s="103">
        <v>101.86</v>
      </c>
      <c r="C7" s="104">
        <v>47376</v>
      </c>
      <c r="D7" s="103" t="s">
        <v>209</v>
      </c>
      <c r="E7" s="103" t="s">
        <v>210</v>
      </c>
      <c r="F7" s="104">
        <v>45425</v>
      </c>
      <c r="G7" s="103" t="s">
        <v>220</v>
      </c>
      <c r="H7" s="103" t="s">
        <v>221</v>
      </c>
      <c r="I7" s="103">
        <v>5.819</v>
      </c>
      <c r="J7" s="103">
        <v>6.88</v>
      </c>
      <c r="K7" s="103">
        <v>5.31</v>
      </c>
      <c r="L7" s="103">
        <v>1.57</v>
      </c>
      <c r="M7" s="103" t="s">
        <v>203</v>
      </c>
      <c r="N7" s="104">
        <v>45184</v>
      </c>
      <c r="O7" s="104">
        <v>45366</v>
      </c>
      <c r="P7" s="104">
        <v>47284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451E-66BF-4549-BF1B-8098DC12DD4A}">
  <dimension ref="A1:AH71"/>
  <sheetViews>
    <sheetView tabSelected="1" topLeftCell="A14" workbookViewId="0">
      <selection activeCell="B17" sqref="B17"/>
    </sheetView>
  </sheetViews>
  <sheetFormatPr defaultRowHeight="14.4" x14ac:dyDescent="0.3"/>
  <cols>
    <col min="1" max="1" width="30.6640625" bestFit="1" customWidth="1"/>
    <col min="2" max="2" width="12" bestFit="1" customWidth="1"/>
    <col min="3" max="3" width="11.88671875" bestFit="1" customWidth="1"/>
    <col min="4" max="4" width="17.33203125" bestFit="1" customWidth="1"/>
    <col min="8" max="8" width="14.5546875" customWidth="1"/>
    <col min="13" max="13" width="12" bestFit="1" customWidth="1"/>
  </cols>
  <sheetData>
    <row r="1" spans="1:4" x14ac:dyDescent="0.3">
      <c r="A1" s="61" t="s">
        <v>110</v>
      </c>
      <c r="B1" s="91">
        <v>44585</v>
      </c>
      <c r="C1" s="63"/>
      <c r="D1" s="64"/>
    </row>
    <row r="2" spans="1:4" x14ac:dyDescent="0.3">
      <c r="A2" s="61" t="s">
        <v>111</v>
      </c>
      <c r="B2" s="91">
        <v>45394</v>
      </c>
      <c r="C2" s="65"/>
      <c r="D2" s="65"/>
    </row>
    <row r="3" spans="1:4" x14ac:dyDescent="0.3">
      <c r="A3" s="61" t="s">
        <v>113</v>
      </c>
      <c r="B3" s="91">
        <v>52286</v>
      </c>
      <c r="C3" s="65"/>
      <c r="D3" s="65"/>
    </row>
    <row r="4" spans="1:4" x14ac:dyDescent="0.3">
      <c r="A4" s="61" t="s">
        <v>114</v>
      </c>
      <c r="B4" s="91">
        <v>44616</v>
      </c>
      <c r="C4" s="65"/>
      <c r="D4" s="65"/>
    </row>
    <row r="5" spans="1:4" x14ac:dyDescent="0.3">
      <c r="A5" s="61" t="s">
        <v>115</v>
      </c>
      <c r="B5" s="91">
        <v>52194</v>
      </c>
      <c r="C5" s="65"/>
      <c r="D5" s="65"/>
    </row>
    <row r="6" spans="1:4" x14ac:dyDescent="0.3">
      <c r="A6" s="61" t="s">
        <v>116</v>
      </c>
      <c r="B6" s="18">
        <v>75.906000000000006</v>
      </c>
      <c r="C6" s="65"/>
      <c r="D6" s="65"/>
    </row>
    <row r="7" spans="1:4" x14ac:dyDescent="0.3">
      <c r="A7" s="61" t="s">
        <v>4</v>
      </c>
      <c r="B7" s="65">
        <v>100</v>
      </c>
      <c r="C7" s="65"/>
      <c r="D7" s="65"/>
    </row>
    <row r="8" spans="1:4" x14ac:dyDescent="0.3">
      <c r="A8" s="65"/>
      <c r="B8" s="61" t="s">
        <v>117</v>
      </c>
      <c r="C8" s="61" t="s">
        <v>118</v>
      </c>
    </row>
    <row r="9" spans="1:4" x14ac:dyDescent="0.3">
      <c r="A9" s="61" t="s">
        <v>119</v>
      </c>
      <c r="B9" s="65" t="s">
        <v>44</v>
      </c>
      <c r="C9" s="65" t="s">
        <v>120</v>
      </c>
      <c r="D9" s="65"/>
    </row>
    <row r="10" spans="1:4" x14ac:dyDescent="0.3">
      <c r="A10" s="61" t="s">
        <v>121</v>
      </c>
      <c r="B10" s="65">
        <v>2</v>
      </c>
      <c r="C10" s="65">
        <v>4</v>
      </c>
      <c r="D10" s="65"/>
    </row>
    <row r="11" spans="1:4" x14ac:dyDescent="0.3">
      <c r="A11" s="61" t="s">
        <v>122</v>
      </c>
      <c r="B11" s="91">
        <v>44585</v>
      </c>
      <c r="C11" s="92">
        <v>51921</v>
      </c>
      <c r="D11" s="65"/>
    </row>
    <row r="12" spans="1:4" x14ac:dyDescent="0.3">
      <c r="A12" s="61" t="s">
        <v>123</v>
      </c>
      <c r="B12" s="62">
        <v>51920</v>
      </c>
      <c r="C12" s="62">
        <v>52285</v>
      </c>
      <c r="D12" s="65"/>
    </row>
    <row r="13" spans="1:4" x14ac:dyDescent="0.3">
      <c r="A13" s="61" t="s">
        <v>192</v>
      </c>
      <c r="B13" s="62"/>
      <c r="C13">
        <v>5.31</v>
      </c>
      <c r="D13" s="65"/>
    </row>
    <row r="14" spans="1:4" x14ac:dyDescent="0.3">
      <c r="A14" s="61" t="s">
        <v>193</v>
      </c>
      <c r="B14" s="62"/>
      <c r="C14">
        <v>1.6319999999999999</v>
      </c>
      <c r="D14" s="65"/>
    </row>
    <row r="15" spans="1:4" x14ac:dyDescent="0.3">
      <c r="A15" s="61" t="s">
        <v>124</v>
      </c>
      <c r="B15">
        <v>3.4359999999999999</v>
      </c>
      <c r="C15">
        <f>C13+C14</f>
        <v>6.9419999999999993</v>
      </c>
      <c r="D15" s="65"/>
    </row>
    <row r="17" spans="1:34" x14ac:dyDescent="0.3">
      <c r="A17" s="61" t="s">
        <v>222</v>
      </c>
      <c r="B17">
        <f>(DATEDIF(A30,B2,"md")+DATEDIF(A30,B2,"ym")*30+DATEDIF(A30,B2,"y")*360)</f>
        <v>49</v>
      </c>
      <c r="C17" s="18"/>
    </row>
    <row r="18" spans="1:34" x14ac:dyDescent="0.3">
      <c r="A18" s="61" t="s">
        <v>140</v>
      </c>
      <c r="B18" s="18">
        <f>B17/360</f>
        <v>0.1361111111111111</v>
      </c>
      <c r="C18" s="18"/>
    </row>
    <row r="19" spans="1:34" x14ac:dyDescent="0.3">
      <c r="A19" s="61" t="s">
        <v>125</v>
      </c>
      <c r="B19" s="18">
        <f>B18*B15</f>
        <v>0.46767777777777775</v>
      </c>
      <c r="C19" s="18"/>
    </row>
    <row r="20" spans="1:34" x14ac:dyDescent="0.3">
      <c r="A20" s="61" t="s">
        <v>126</v>
      </c>
      <c r="B20" s="18">
        <f>B6+B19</f>
        <v>76.373677777777786</v>
      </c>
    </row>
    <row r="21" spans="1:34" x14ac:dyDescent="0.3">
      <c r="A21" s="61" t="s">
        <v>128</v>
      </c>
      <c r="B21" s="18">
        <f>AF24</f>
        <v>5.5524249607447347</v>
      </c>
    </row>
    <row r="22" spans="1:34" x14ac:dyDescent="0.3">
      <c r="A22" s="61" t="s">
        <v>130</v>
      </c>
      <c r="B22" s="65"/>
    </row>
    <row r="23" spans="1:34" x14ac:dyDescent="0.3">
      <c r="A23" s="18"/>
    </row>
    <row r="24" spans="1:34" x14ac:dyDescent="0.3">
      <c r="A24" s="61" t="s">
        <v>90</v>
      </c>
      <c r="F24" t="s">
        <v>131</v>
      </c>
      <c r="G24">
        <f>0</f>
        <v>0</v>
      </c>
      <c r="K24" t="s">
        <v>53</v>
      </c>
      <c r="L24">
        <f>G24+(B20-H71)/I71</f>
        <v>3.5440568302308773</v>
      </c>
      <c r="P24" t="s">
        <v>55</v>
      </c>
      <c r="Q24">
        <f>L24+(B20-M71)/N71</f>
        <v>5.2439266031589922</v>
      </c>
      <c r="U24" t="s">
        <v>57</v>
      </c>
      <c r="V24">
        <f>Q24+(B20-R71)/S71</f>
        <v>5.5445488602680841</v>
      </c>
      <c r="Z24" t="s">
        <v>59</v>
      </c>
      <c r="AA24">
        <f>V24+(B20-W71)/X71</f>
        <v>5.552419754611547</v>
      </c>
      <c r="AE24" s="13" t="s">
        <v>61</v>
      </c>
      <c r="AF24" s="13">
        <f>AA24+(B20-AB71)/AC71</f>
        <v>5.5524249607447347</v>
      </c>
    </row>
    <row r="25" spans="1:34" x14ac:dyDescent="0.3">
      <c r="A25" s="61" t="s">
        <v>132</v>
      </c>
      <c r="B25" s="66" t="s">
        <v>133</v>
      </c>
      <c r="C25" s="66" t="s">
        <v>134</v>
      </c>
      <c r="D25" s="66" t="s">
        <v>135</v>
      </c>
      <c r="F25" s="70" t="s">
        <v>136</v>
      </c>
      <c r="G25" s="70" t="s">
        <v>48</v>
      </c>
      <c r="H25" s="70" t="s">
        <v>49</v>
      </c>
      <c r="I25" s="70" t="s">
        <v>50</v>
      </c>
      <c r="K25" s="70" t="s">
        <v>136</v>
      </c>
      <c r="L25" s="70" t="s">
        <v>48</v>
      </c>
      <c r="M25" s="70" t="s">
        <v>49</v>
      </c>
      <c r="N25" s="70" t="s">
        <v>50</v>
      </c>
      <c r="P25" s="70" t="s">
        <v>136</v>
      </c>
      <c r="Q25" s="70" t="s">
        <v>48</v>
      </c>
      <c r="R25" s="70" t="s">
        <v>49</v>
      </c>
      <c r="S25" s="70" t="s">
        <v>50</v>
      </c>
      <c r="U25" s="70" t="s">
        <v>136</v>
      </c>
      <c r="V25" s="70" t="s">
        <v>48</v>
      </c>
      <c r="W25" s="70" t="s">
        <v>49</v>
      </c>
      <c r="X25" s="70" t="s">
        <v>50</v>
      </c>
      <c r="Z25" s="70" t="s">
        <v>136</v>
      </c>
      <c r="AA25" s="70" t="s">
        <v>48</v>
      </c>
      <c r="AB25" s="70" t="s">
        <v>49</v>
      </c>
      <c r="AC25" s="70" t="s">
        <v>50</v>
      </c>
      <c r="AE25" s="70" t="s">
        <v>136</v>
      </c>
      <c r="AF25" s="70" t="s">
        <v>48</v>
      </c>
      <c r="AG25" s="70" t="s">
        <v>49</v>
      </c>
      <c r="AH25" s="70" t="s">
        <v>50</v>
      </c>
    </row>
    <row r="26" spans="1:34" x14ac:dyDescent="0.3">
      <c r="A26" s="91">
        <f>B4</f>
        <v>44616</v>
      </c>
    </row>
    <row r="27" spans="1:34" x14ac:dyDescent="0.3">
      <c r="A27" s="91">
        <f>EDATE(A26,6)</f>
        <v>44797</v>
      </c>
    </row>
    <row r="28" spans="1:34" x14ac:dyDescent="0.3">
      <c r="A28" s="91">
        <f t="shared" ref="A28:A66" si="0">EDATE(A27,6)</f>
        <v>44981</v>
      </c>
    </row>
    <row r="29" spans="1:34" x14ac:dyDescent="0.3">
      <c r="A29" s="91">
        <f t="shared" si="0"/>
        <v>45162</v>
      </c>
    </row>
    <row r="30" spans="1:34" x14ac:dyDescent="0.3">
      <c r="A30" s="91">
        <f t="shared" si="0"/>
        <v>45346</v>
      </c>
      <c r="C30" s="91"/>
    </row>
    <row r="31" spans="1:34" x14ac:dyDescent="0.3">
      <c r="A31" s="91">
        <f t="shared" si="0"/>
        <v>45528</v>
      </c>
      <c r="B31">
        <f>B15/B10</f>
        <v>1.718</v>
      </c>
      <c r="C31">
        <f>(DATEDIF(B2,A31,"md")+DATEDIF(B2,A31,"ym")*30+DATEDIF(B2,A31,"y")*360)/360</f>
        <v>0.36666666666666664</v>
      </c>
      <c r="D31">
        <v>2</v>
      </c>
      <c r="F31">
        <f>0</f>
        <v>0</v>
      </c>
      <c r="G31">
        <f>1/(1+F31/(100*D31))</f>
        <v>1</v>
      </c>
      <c r="H31">
        <f>B31*POWER(G31,C31*D31)</f>
        <v>1.718</v>
      </c>
      <c r="I31">
        <f>-1*0.01*H31*G31*C31</f>
        <v>-6.299333333333333E-3</v>
      </c>
      <c r="K31">
        <v>3.5440568302308773</v>
      </c>
      <c r="L31">
        <f>1/(1+K31/(100*D31))</f>
        <v>0.98258825688442064</v>
      </c>
      <c r="M31">
        <f>B31*POWER(L31,C31*D31)</f>
        <v>1.696012220139115</v>
      </c>
      <c r="N31">
        <f>-1*0.01*M31*L31*C31</f>
        <v>-6.1104328671509533E-3</v>
      </c>
      <c r="P31">
        <v>5.2439266031589922</v>
      </c>
      <c r="Q31">
        <f>1/(1+P31/(100*D31))</f>
        <v>0.97445027148940611</v>
      </c>
      <c r="R31">
        <f>B31*POWER(Q31,C31*D31)</f>
        <v>1.6856998914633665</v>
      </c>
      <c r="S31">
        <f>-1*0.01*R31*Q31*C31</f>
        <v>-6.0229792952491788E-3</v>
      </c>
      <c r="U31">
        <v>5.5445488602680841</v>
      </c>
      <c r="V31">
        <f>1/(1+U31/(100*D31))</f>
        <v>0.97302507465650512</v>
      </c>
      <c r="W31">
        <f>B31*POWER(V31,C31*D31)</f>
        <v>1.6838915452218406</v>
      </c>
      <c r="X31">
        <f>-1*0.01*W31*V31*C31</f>
        <v>-6.0077185538441116E-3</v>
      </c>
      <c r="Z31">
        <v>5.552419754611547</v>
      </c>
      <c r="AA31">
        <f>1/(1+Z31/(100*D31))</f>
        <v>0.97298781614324936</v>
      </c>
      <c r="AB31">
        <f>B31*POWER(AA31,C31*D31)</f>
        <v>1.6838442606730957</v>
      </c>
      <c r="AC31">
        <f>-1*0.01*AB31*AA31*C31</f>
        <v>-6.0073198163647507E-3</v>
      </c>
      <c r="AE31">
        <v>5.5524249607447347</v>
      </c>
      <c r="AF31">
        <f>1/(1+AE31/(100*D31))</f>
        <v>0.97298779149988091</v>
      </c>
      <c r="AG31">
        <f>B31*POWER(AF31,C31*D31)</f>
        <v>1.6838442293981895</v>
      </c>
      <c r="AH31">
        <f>-1*0.01*AG31*AF31*C31</f>
        <v>-6.0073195526371987E-3</v>
      </c>
    </row>
    <row r="32" spans="1:34" x14ac:dyDescent="0.3">
      <c r="A32" s="91">
        <f t="shared" si="0"/>
        <v>45712</v>
      </c>
      <c r="B32">
        <v>1.718</v>
      </c>
      <c r="C32">
        <f>C31+(DATEDIF(A31,A32,"ym")*30)/360</f>
        <v>0.8666666666666667</v>
      </c>
      <c r="D32">
        <v>2</v>
      </c>
      <c r="F32">
        <f>0</f>
        <v>0</v>
      </c>
      <c r="G32">
        <f t="shared" ref="G32" si="1">1/(1+F32/(100*D32))</f>
        <v>1</v>
      </c>
      <c r="H32">
        <f t="shared" ref="H32:H70" si="2">B32*POWER(G32,C32*D32)</f>
        <v>1.718</v>
      </c>
      <c r="I32">
        <f t="shared" ref="I32:I70" si="3">-1*0.01*H32*G32*C32</f>
        <v>-1.4889333333333334E-2</v>
      </c>
      <c r="K32">
        <v>3.5440568302308773</v>
      </c>
      <c r="L32">
        <f t="shared" ref="L32:L70" si="4">1/(1+K32/(100*D32))</f>
        <v>0.98258825688442064</v>
      </c>
      <c r="M32">
        <f t="shared" ref="M32:M70" si="5">B32*POWER(L32,C32*D32)</f>
        <v>1.6664816910411693</v>
      </c>
      <c r="N32">
        <f t="shared" ref="N32:N70" si="6">-1*0.01*M32*L32*C32</f>
        <v>-1.4191366279392848E-2</v>
      </c>
      <c r="P32">
        <v>5.2439266031589922</v>
      </c>
      <c r="Q32">
        <f t="shared" ref="Q32:Q70" si="7">1/(1+P32/(100*D32))</f>
        <v>0.97445027148940611</v>
      </c>
      <c r="R32">
        <f t="shared" ref="R32:R70" si="8">B32*POWER(Q32,C32*D32)</f>
        <v>1.64263071688614</v>
      </c>
      <c r="S32">
        <f t="shared" ref="S32:S70" si="9">-1*0.01*R32*Q32*C32</f>
        <v>-1.3872403549563324E-2</v>
      </c>
      <c r="U32">
        <v>5.5445488602680841</v>
      </c>
      <c r="V32">
        <f t="shared" ref="V32:V70" si="10">1/(1+U32/(100*D32))</f>
        <v>0.97302507465650512</v>
      </c>
      <c r="W32">
        <f t="shared" ref="W32:W70" si="11">B32*POWER(V32,C32*D32)</f>
        <v>1.6384686965029394</v>
      </c>
      <c r="X32">
        <f t="shared" ref="X32:X70" si="12">-1*0.01*W32*V32*C32</f>
        <v>-1.3817016423055033E-2</v>
      </c>
      <c r="Z32">
        <v>5.552419754611547</v>
      </c>
      <c r="AA32">
        <f t="shared" ref="AA32:AA70" si="13">1/(1+Z32/(100*D32))</f>
        <v>0.97298781614324936</v>
      </c>
      <c r="AB32">
        <f t="shared" ref="AB32:AB70" si="14">B32*POWER(AA32,C32*D32)</f>
        <v>1.6383599499176598</v>
      </c>
      <c r="AC32">
        <f t="shared" ref="AC32:AC70" si="15">-1*0.01*AB32*AA32*C32</f>
        <v>-1.3815570337633544E-2</v>
      </c>
      <c r="AE32">
        <v>5.5524249607447347</v>
      </c>
      <c r="AF32">
        <f t="shared" ref="AF32:AF70" si="16">1/(1+AE32/(100*D32))</f>
        <v>0.97298779149988091</v>
      </c>
      <c r="AG32">
        <f t="shared" ref="AG32:AG70" si="17">B32*POWER(AF32,C32*D32)</f>
        <v>1.6383598779919633</v>
      </c>
      <c r="AH32">
        <f t="shared" ref="AH32:AH70" si="18">-1*0.01*AG32*AF32*C32</f>
        <v>-1.3815569381201593E-2</v>
      </c>
    </row>
    <row r="33" spans="1:34" x14ac:dyDescent="0.3">
      <c r="A33" s="91">
        <f t="shared" si="0"/>
        <v>45893</v>
      </c>
      <c r="B33">
        <v>1.718</v>
      </c>
      <c r="C33">
        <f t="shared" ref="C33:C66" si="19">C32+(DATEDIF(A32,A33,"ym")*30)/360</f>
        <v>1.3666666666666667</v>
      </c>
      <c r="D33">
        <v>2</v>
      </c>
      <c r="F33">
        <f>0</f>
        <v>0</v>
      </c>
      <c r="G33">
        <f>1/(1+F33/(100*D33))</f>
        <v>1</v>
      </c>
      <c r="H33">
        <f t="shared" si="2"/>
        <v>1.718</v>
      </c>
      <c r="I33">
        <f t="shared" si="3"/>
        <v>-2.3479333333333335E-2</v>
      </c>
      <c r="K33">
        <v>3.5440568302308773</v>
      </c>
      <c r="L33">
        <f t="shared" si="4"/>
        <v>0.98258825688442064</v>
      </c>
      <c r="M33">
        <f t="shared" si="5"/>
        <v>1.6374653399299444</v>
      </c>
      <c r="N33">
        <f t="shared" si="6"/>
        <v>-2.1989040925629064E-2</v>
      </c>
      <c r="P33">
        <v>5.2439266031589922</v>
      </c>
      <c r="Q33">
        <f t="shared" si="7"/>
        <v>0.97445027148940611</v>
      </c>
      <c r="R33">
        <f t="shared" si="8"/>
        <v>1.6006619480265369</v>
      </c>
      <c r="S33">
        <f t="shared" si="9"/>
        <v>-2.1316794754168679E-2</v>
      </c>
      <c r="U33">
        <v>5.5445488602680841</v>
      </c>
      <c r="V33">
        <f t="shared" si="10"/>
        <v>0.97302507465650512</v>
      </c>
      <c r="W33">
        <f t="shared" si="11"/>
        <v>1.5942711257371192</v>
      </c>
      <c r="X33">
        <f t="shared" si="12"/>
        <v>-2.1200632342288635E-2</v>
      </c>
      <c r="Z33">
        <v>5.552419754611547</v>
      </c>
      <c r="AA33">
        <f t="shared" si="13"/>
        <v>0.97298781614324936</v>
      </c>
      <c r="AB33">
        <f t="shared" si="14"/>
        <v>1.594104269726947</v>
      </c>
      <c r="AC33">
        <f t="shared" si="15"/>
        <v>-2.1197601772118772E-2</v>
      </c>
      <c r="AE33">
        <v>5.5524249607447347</v>
      </c>
      <c r="AF33">
        <f t="shared" si="16"/>
        <v>0.97298779149988091</v>
      </c>
      <c r="AG33">
        <f t="shared" si="17"/>
        <v>1.5941041593694145</v>
      </c>
      <c r="AH33">
        <f t="shared" si="18"/>
        <v>-2.1197599767756817E-2</v>
      </c>
    </row>
    <row r="34" spans="1:34" x14ac:dyDescent="0.3">
      <c r="A34" s="91">
        <f t="shared" si="0"/>
        <v>46077</v>
      </c>
      <c r="B34">
        <v>1.718</v>
      </c>
      <c r="C34">
        <f t="shared" si="19"/>
        <v>1.8666666666666667</v>
      </c>
      <c r="D34">
        <v>2</v>
      </c>
      <c r="F34">
        <f>0</f>
        <v>0</v>
      </c>
      <c r="G34">
        <f>1/(1+F34/(100*D34))</f>
        <v>1</v>
      </c>
      <c r="H34">
        <f t="shared" si="2"/>
        <v>1.718</v>
      </c>
      <c r="I34">
        <f t="shared" si="3"/>
        <v>-3.2069333333333339E-2</v>
      </c>
      <c r="K34">
        <v>3.5440568302308773</v>
      </c>
      <c r="L34">
        <f t="shared" si="4"/>
        <v>0.98258825688442064</v>
      </c>
      <c r="M34">
        <f t="shared" si="5"/>
        <v>1.6089542140704192</v>
      </c>
      <c r="N34">
        <f t="shared" si="6"/>
        <v>-2.9510870976725528E-2</v>
      </c>
      <c r="P34">
        <v>5.2439266031589922</v>
      </c>
      <c r="Q34">
        <f t="shared" si="7"/>
        <v>0.97445027148940611</v>
      </c>
      <c r="R34">
        <f t="shared" si="8"/>
        <v>1.5597654698172205</v>
      </c>
      <c r="S34">
        <f t="shared" si="9"/>
        <v>-2.8371725863099575E-2</v>
      </c>
      <c r="U34">
        <v>5.5445488602680841</v>
      </c>
      <c r="V34">
        <f t="shared" si="10"/>
        <v>0.97302507465650512</v>
      </c>
      <c r="W34">
        <f t="shared" si="11"/>
        <v>1.551265781143071</v>
      </c>
      <c r="X34">
        <f t="shared" si="12"/>
        <v>-2.8175849380164611E-2</v>
      </c>
      <c r="Z34">
        <v>5.552419754611547</v>
      </c>
      <c r="AA34">
        <f t="shared" si="13"/>
        <v>0.97298781614324936</v>
      </c>
      <c r="AB34">
        <f t="shared" si="14"/>
        <v>1.5510440321062517</v>
      </c>
      <c r="AC34">
        <f t="shared" si="15"/>
        <v>-2.8170742983433528E-2</v>
      </c>
      <c r="AE34">
        <v>5.5524249607447347</v>
      </c>
      <c r="AF34">
        <f t="shared" si="16"/>
        <v>0.97298779149988091</v>
      </c>
      <c r="AG34">
        <f t="shared" si="17"/>
        <v>1.551043885445621</v>
      </c>
      <c r="AH34">
        <f t="shared" si="18"/>
        <v>-2.8170739606223742E-2</v>
      </c>
    </row>
    <row r="35" spans="1:34" x14ac:dyDescent="0.3">
      <c r="A35" s="91">
        <f t="shared" si="0"/>
        <v>46258</v>
      </c>
      <c r="B35">
        <v>1.718</v>
      </c>
      <c r="C35">
        <f t="shared" si="19"/>
        <v>2.3666666666666667</v>
      </c>
      <c r="D35">
        <v>2</v>
      </c>
      <c r="F35">
        <f>0</f>
        <v>0</v>
      </c>
      <c r="G35">
        <f t="shared" ref="G35:G70" si="20">1/(1+F35/(100*D35))</f>
        <v>1</v>
      </c>
      <c r="H35">
        <f t="shared" si="2"/>
        <v>1.718</v>
      </c>
      <c r="I35">
        <f t="shared" si="3"/>
        <v>-4.0659333333333339E-2</v>
      </c>
      <c r="K35">
        <v>3.5440568302308773</v>
      </c>
      <c r="L35">
        <f t="shared" si="4"/>
        <v>0.98258825688442064</v>
      </c>
      <c r="M35">
        <f t="shared" si="5"/>
        <v>1.5809395166102964</v>
      </c>
      <c r="N35">
        <f t="shared" si="6"/>
        <v>-3.6764098291490833E-2</v>
      </c>
      <c r="P35">
        <v>5.2439266031589922</v>
      </c>
      <c r="Q35">
        <f t="shared" si="7"/>
        <v>0.97445027148940611</v>
      </c>
      <c r="R35">
        <f t="shared" si="8"/>
        <v>1.5199138855231915</v>
      </c>
      <c r="S35">
        <f t="shared" si="9"/>
        <v>-3.5052238461863346E-2</v>
      </c>
      <c r="U35">
        <v>5.5445488602680841</v>
      </c>
      <c r="V35">
        <f t="shared" si="10"/>
        <v>0.97302507465650512</v>
      </c>
      <c r="W35">
        <f t="shared" si="11"/>
        <v>1.5094205025088183</v>
      </c>
      <c r="X35">
        <f t="shared" si="12"/>
        <v>-3.4759327932353624E-2</v>
      </c>
      <c r="Z35">
        <v>5.552419754611547</v>
      </c>
      <c r="AA35">
        <f t="shared" si="13"/>
        <v>0.97298781614324936</v>
      </c>
      <c r="AB35">
        <f t="shared" si="14"/>
        <v>1.5091469455410815</v>
      </c>
      <c r="AC35">
        <f t="shared" si="15"/>
        <v>-3.4751697648490114E-2</v>
      </c>
      <c r="AE35">
        <v>5.5524249607447347</v>
      </c>
      <c r="AF35">
        <f t="shared" si="16"/>
        <v>0.97298779149988091</v>
      </c>
      <c r="AG35">
        <f t="shared" si="17"/>
        <v>1.5091467646191288</v>
      </c>
      <c r="AH35">
        <f t="shared" si="18"/>
        <v>-3.4751692602157644E-2</v>
      </c>
    </row>
    <row r="36" spans="1:34" x14ac:dyDescent="0.3">
      <c r="A36" s="91">
        <f t="shared" si="0"/>
        <v>46442</v>
      </c>
      <c r="B36">
        <v>1.718</v>
      </c>
      <c r="C36">
        <f t="shared" si="19"/>
        <v>2.8666666666666667</v>
      </c>
      <c r="D36">
        <v>2</v>
      </c>
      <c r="F36">
        <f>0</f>
        <v>0</v>
      </c>
      <c r="G36">
        <f t="shared" si="20"/>
        <v>1</v>
      </c>
      <c r="H36">
        <f t="shared" si="2"/>
        <v>1.718</v>
      </c>
      <c r="I36">
        <f t="shared" si="3"/>
        <v>-4.9249333333333339E-2</v>
      </c>
      <c r="K36">
        <v>3.5440568302308773</v>
      </c>
      <c r="L36">
        <f t="shared" si="4"/>
        <v>0.98258825688442064</v>
      </c>
      <c r="M36">
        <f t="shared" si="5"/>
        <v>1.5534126038658096</v>
      </c>
      <c r="N36">
        <f t="shared" si="6"/>
        <v>-4.3755796169437457E-2</v>
      </c>
      <c r="P36">
        <v>5.2439266031589922</v>
      </c>
      <c r="Q36">
        <f t="shared" si="7"/>
        <v>0.97445027148940611</v>
      </c>
      <c r="R36">
        <f t="shared" si="8"/>
        <v>1.4810804983885921</v>
      </c>
      <c r="S36">
        <f t="shared" si="9"/>
        <v>-4.1372859754236282E-2</v>
      </c>
      <c r="U36">
        <v>5.5445488602680841</v>
      </c>
      <c r="V36">
        <f t="shared" si="10"/>
        <v>0.97302507465650512</v>
      </c>
      <c r="W36">
        <f t="shared" si="11"/>
        <v>1.4687039971417024</v>
      </c>
      <c r="X36">
        <f t="shared" si="12"/>
        <v>-4.0967126738723887E-2</v>
      </c>
      <c r="Z36">
        <v>5.552419754611547</v>
      </c>
      <c r="AA36">
        <f t="shared" si="13"/>
        <v>0.97298781614324936</v>
      </c>
      <c r="AB36">
        <f t="shared" si="14"/>
        <v>1.4683815907812723</v>
      </c>
      <c r="AC36">
        <f t="shared" si="15"/>
        <v>-4.0956565388670992E-2</v>
      </c>
      <c r="AE36">
        <v>5.5524249607447347</v>
      </c>
      <c r="AF36">
        <f t="shared" si="16"/>
        <v>0.97298779149988091</v>
      </c>
      <c r="AG36">
        <f t="shared" si="17"/>
        <v>1.4683813775559569</v>
      </c>
      <c r="AH36">
        <f t="shared" si="18"/>
        <v>-4.0956558403994731E-2</v>
      </c>
    </row>
    <row r="37" spans="1:34" x14ac:dyDescent="0.3">
      <c r="A37" s="91">
        <f t="shared" si="0"/>
        <v>46623</v>
      </c>
      <c r="B37">
        <v>1.718</v>
      </c>
      <c r="C37">
        <f t="shared" si="19"/>
        <v>3.3666666666666667</v>
      </c>
      <c r="D37">
        <v>2</v>
      </c>
      <c r="F37">
        <f>0</f>
        <v>0</v>
      </c>
      <c r="G37">
        <f t="shared" si="20"/>
        <v>1</v>
      </c>
      <c r="H37">
        <f t="shared" si="2"/>
        <v>1.718</v>
      </c>
      <c r="I37">
        <f t="shared" si="3"/>
        <v>-5.783933333333334E-2</v>
      </c>
      <c r="K37">
        <v>3.5440568302308773</v>
      </c>
      <c r="L37">
        <f t="shared" si="4"/>
        <v>0.98258825688442064</v>
      </c>
      <c r="M37">
        <f t="shared" si="5"/>
        <v>1.5263649826547947</v>
      </c>
      <c r="N37">
        <f t="shared" si="6"/>
        <v>-5.0492873025098521E-2</v>
      </c>
      <c r="P37">
        <v>5.2439266031589922</v>
      </c>
      <c r="Q37">
        <f t="shared" si="7"/>
        <v>0.97445027148940611</v>
      </c>
      <c r="R37">
        <f t="shared" si="8"/>
        <v>1.4432392937524285</v>
      </c>
      <c r="S37">
        <f t="shared" si="9"/>
        <v>-4.7347619027914838E-2</v>
      </c>
      <c r="U37">
        <v>5.5445488602680841</v>
      </c>
      <c r="V37">
        <f t="shared" si="10"/>
        <v>0.97302507465650512</v>
      </c>
      <c r="W37">
        <f t="shared" si="11"/>
        <v>1.4290858164671123</v>
      </c>
      <c r="X37">
        <f t="shared" si="12"/>
        <v>-4.6814723219701641E-2</v>
      </c>
      <c r="Z37">
        <v>5.552419754611547</v>
      </c>
      <c r="AA37">
        <f t="shared" si="13"/>
        <v>0.97298781614324936</v>
      </c>
      <c r="AB37">
        <f t="shared" si="14"/>
        <v>1.4287173972792206</v>
      </c>
      <c r="AC37">
        <f t="shared" si="15"/>
        <v>-4.6800862215574057E-2</v>
      </c>
      <c r="AE37">
        <v>5.5524249607447347</v>
      </c>
      <c r="AF37">
        <f t="shared" si="16"/>
        <v>0.97298779149988091</v>
      </c>
      <c r="AG37">
        <f t="shared" si="17"/>
        <v>1.4287171536277232</v>
      </c>
      <c r="AH37">
        <f t="shared" si="18"/>
        <v>-4.6800853048869898E-2</v>
      </c>
    </row>
    <row r="38" spans="1:34" x14ac:dyDescent="0.3">
      <c r="A38" s="91">
        <f t="shared" si="0"/>
        <v>46807</v>
      </c>
      <c r="B38">
        <v>1.718</v>
      </c>
      <c r="C38">
        <f t="shared" si="19"/>
        <v>3.8666666666666667</v>
      </c>
      <c r="D38">
        <v>2</v>
      </c>
      <c r="F38">
        <f>0</f>
        <v>0</v>
      </c>
      <c r="G38">
        <f t="shared" si="20"/>
        <v>1</v>
      </c>
      <c r="H38">
        <f t="shared" si="2"/>
        <v>1.718</v>
      </c>
      <c r="I38">
        <f t="shared" si="3"/>
        <v>-6.642933333333334E-2</v>
      </c>
      <c r="K38">
        <v>3.5440568302308773</v>
      </c>
      <c r="L38">
        <f t="shared" si="4"/>
        <v>0.98258825688442064</v>
      </c>
      <c r="M38">
        <f t="shared" si="5"/>
        <v>1.4997883076761938</v>
      </c>
      <c r="N38">
        <f t="shared" si="6"/>
        <v>-5.6982075985493874E-2</v>
      </c>
      <c r="P38">
        <v>5.2439266031589922</v>
      </c>
      <c r="Q38">
        <f t="shared" si="7"/>
        <v>0.97445027148940611</v>
      </c>
      <c r="R38">
        <f t="shared" si="8"/>
        <v>1.4063649216212326</v>
      </c>
      <c r="S38">
        <f t="shared" si="9"/>
        <v>-5.2990063614563515E-2</v>
      </c>
      <c r="U38">
        <v>5.5445488602680841</v>
      </c>
      <c r="V38">
        <f t="shared" si="10"/>
        <v>0.97302507465650512</v>
      </c>
      <c r="W38">
        <f t="shared" si="11"/>
        <v>1.3905363332584646</v>
      </c>
      <c r="X38">
        <f t="shared" si="12"/>
        <v>-5.2317033153280817E-2</v>
      </c>
      <c r="Z38">
        <v>5.552419754611547</v>
      </c>
      <c r="AA38">
        <f t="shared" si="13"/>
        <v>0.97298781614324936</v>
      </c>
      <c r="AB38">
        <f t="shared" si="14"/>
        <v>1.3901246202645761</v>
      </c>
      <c r="AC38">
        <f t="shared" si="15"/>
        <v>-5.2299540312943489E-2</v>
      </c>
      <c r="AE38">
        <v>5.5524249607447347</v>
      </c>
      <c r="AF38">
        <f t="shared" si="16"/>
        <v>0.97298779149988091</v>
      </c>
      <c r="AG38">
        <f t="shared" si="17"/>
        <v>1.3901243479862344</v>
      </c>
      <c r="AH38">
        <f t="shared" si="18"/>
        <v>-5.2299528744617081E-2</v>
      </c>
    </row>
    <row r="39" spans="1:34" x14ac:dyDescent="0.3">
      <c r="A39" s="91">
        <f t="shared" si="0"/>
        <v>46989</v>
      </c>
      <c r="B39">
        <v>1.718</v>
      </c>
      <c r="C39">
        <f t="shared" si="19"/>
        <v>4.3666666666666671</v>
      </c>
      <c r="D39">
        <v>2</v>
      </c>
      <c r="F39">
        <f>0</f>
        <v>0</v>
      </c>
      <c r="G39">
        <f t="shared" si="20"/>
        <v>1</v>
      </c>
      <c r="H39">
        <f t="shared" si="2"/>
        <v>1.718</v>
      </c>
      <c r="I39">
        <f t="shared" si="3"/>
        <v>-7.5019333333333341E-2</v>
      </c>
      <c r="K39">
        <v>3.5440568302308773</v>
      </c>
      <c r="L39">
        <f t="shared" si="4"/>
        <v>0.98258825688442064</v>
      </c>
      <c r="M39">
        <f t="shared" si="5"/>
        <v>1.4736743789351865</v>
      </c>
      <c r="N39">
        <f t="shared" si="6"/>
        <v>-6.3229994412307824E-2</v>
      </c>
      <c r="P39">
        <v>5.2439266031589922</v>
      </c>
      <c r="Q39">
        <f t="shared" si="7"/>
        <v>0.97445027148940611</v>
      </c>
      <c r="R39">
        <f t="shared" si="8"/>
        <v>1.3704326796869875</v>
      </c>
      <c r="S39">
        <f t="shared" si="9"/>
        <v>-5.8313274359347023E-2</v>
      </c>
      <c r="U39">
        <v>5.5445488602680841</v>
      </c>
      <c r="V39">
        <f t="shared" si="10"/>
        <v>0.97302507465650512</v>
      </c>
      <c r="W39">
        <f t="shared" si="11"/>
        <v>1.3530267194814003</v>
      </c>
      <c r="X39">
        <f t="shared" si="12"/>
        <v>-5.74884297134561E-2</v>
      </c>
      <c r="Z39">
        <v>5.552419754611547</v>
      </c>
      <c r="AA39">
        <f t="shared" si="13"/>
        <v>0.97298781614324936</v>
      </c>
      <c r="AB39">
        <f t="shared" si="14"/>
        <v>1.3525743184381938</v>
      </c>
      <c r="AC39">
        <f t="shared" si="15"/>
        <v>-5.7467007175729841E-2</v>
      </c>
      <c r="AE39">
        <v>5.5524249607447347</v>
      </c>
      <c r="AF39">
        <f t="shared" si="16"/>
        <v>0.97298779149988091</v>
      </c>
      <c r="AG39">
        <f t="shared" si="17"/>
        <v>1.3525740192573381</v>
      </c>
      <c r="AH39">
        <f t="shared" si="18"/>
        <v>-5.7466993008896093E-2</v>
      </c>
    </row>
    <row r="40" spans="1:34" x14ac:dyDescent="0.3">
      <c r="A40" s="91">
        <f t="shared" si="0"/>
        <v>47173</v>
      </c>
      <c r="B40">
        <v>1.718</v>
      </c>
      <c r="C40">
        <f t="shared" si="19"/>
        <v>4.8666666666666671</v>
      </c>
      <c r="D40">
        <v>2</v>
      </c>
      <c r="F40">
        <f>0</f>
        <v>0</v>
      </c>
      <c r="G40">
        <f t="shared" si="20"/>
        <v>1</v>
      </c>
      <c r="H40">
        <f t="shared" si="2"/>
        <v>1.718</v>
      </c>
      <c r="I40">
        <f t="shared" si="3"/>
        <v>-8.3609333333333341E-2</v>
      </c>
      <c r="K40">
        <v>3.5440568302308773</v>
      </c>
      <c r="L40">
        <f t="shared" si="4"/>
        <v>0.98258825688442064</v>
      </c>
      <c r="M40">
        <f t="shared" si="5"/>
        <v>1.4480151392131559</v>
      </c>
      <c r="N40">
        <f t="shared" si="6"/>
        <v>-6.9243063350309733E-2</v>
      </c>
      <c r="P40">
        <v>5.2439266031589922</v>
      </c>
      <c r="Q40">
        <f t="shared" si="7"/>
        <v>0.97445027148940611</v>
      </c>
      <c r="R40">
        <f t="shared" si="8"/>
        <v>1.3354184967789393</v>
      </c>
      <c r="S40">
        <f t="shared" si="9"/>
        <v>-6.3329880614592993E-2</v>
      </c>
      <c r="U40">
        <v>5.5445488602680841</v>
      </c>
      <c r="V40">
        <f t="shared" si="10"/>
        <v>0.97302507465650512</v>
      </c>
      <c r="W40">
        <f t="shared" si="11"/>
        <v>1.3165289247356358</v>
      </c>
      <c r="X40">
        <f t="shared" si="12"/>
        <v>-6.2342761890212574E-2</v>
      </c>
      <c r="Z40">
        <v>5.552419754611547</v>
      </c>
      <c r="AA40">
        <f t="shared" si="13"/>
        <v>0.97298781614324936</v>
      </c>
      <c r="AB40">
        <f t="shared" si="14"/>
        <v>1.3160383322686218</v>
      </c>
      <c r="AC40">
        <f t="shared" si="15"/>
        <v>-6.2317144126576053E-2</v>
      </c>
      <c r="AE40">
        <v>5.5524249607447347</v>
      </c>
      <c r="AF40">
        <f t="shared" si="16"/>
        <v>0.97298779149988091</v>
      </c>
      <c r="AG40">
        <f t="shared" si="17"/>
        <v>1.3160380078373148</v>
      </c>
      <c r="AH40">
        <f t="shared" si="18"/>
        <v>-6.231712718574256E-2</v>
      </c>
    </row>
    <row r="41" spans="1:34" x14ac:dyDescent="0.3">
      <c r="A41" s="91">
        <f t="shared" si="0"/>
        <v>47354</v>
      </c>
      <c r="B41">
        <v>1.718</v>
      </c>
      <c r="C41">
        <f t="shared" si="19"/>
        <v>5.3666666666666671</v>
      </c>
      <c r="D41">
        <v>2</v>
      </c>
      <c r="F41">
        <f>0</f>
        <v>0</v>
      </c>
      <c r="G41">
        <f t="shared" si="20"/>
        <v>1</v>
      </c>
      <c r="H41">
        <f t="shared" si="2"/>
        <v>1.718</v>
      </c>
      <c r="I41">
        <f t="shared" si="3"/>
        <v>-9.2199333333333341E-2</v>
      </c>
      <c r="K41">
        <v>3.5440568302308773</v>
      </c>
      <c r="L41">
        <f t="shared" si="4"/>
        <v>0.98258825688442064</v>
      </c>
      <c r="M41">
        <f t="shared" si="5"/>
        <v>1.4228026715817066</v>
      </c>
      <c r="N41">
        <f t="shared" si="6"/>
        <v>-7.5027566903518181E-2</v>
      </c>
      <c r="P41">
        <v>5.2439266031589922</v>
      </c>
      <c r="Q41">
        <f t="shared" si="7"/>
        <v>0.97445027148940611</v>
      </c>
      <c r="R41">
        <f t="shared" si="8"/>
        <v>1.3012989167382119</v>
      </c>
      <c r="S41">
        <f t="shared" si="9"/>
        <v>-6.8052074771803917E-2</v>
      </c>
      <c r="U41">
        <v>5.5445488602680841</v>
      </c>
      <c r="V41">
        <f t="shared" si="10"/>
        <v>0.97302507465650512</v>
      </c>
      <c r="W41">
        <f t="shared" si="11"/>
        <v>1.2810156552783405</v>
      </c>
      <c r="X41">
        <f t="shared" si="12"/>
        <v>-6.6893372310583621E-2</v>
      </c>
      <c r="Z41">
        <v>5.552419754611547</v>
      </c>
      <c r="AA41">
        <f t="shared" si="13"/>
        <v>0.97298781614324936</v>
      </c>
      <c r="AB41">
        <f t="shared" si="14"/>
        <v>1.2804892628748505</v>
      </c>
      <c r="AC41">
        <f t="shared" si="15"/>
        <v>-6.686332422939878E-2</v>
      </c>
      <c r="AE41">
        <v>5.5524249607447347</v>
      </c>
      <c r="AF41">
        <f t="shared" si="16"/>
        <v>0.97298779149988091</v>
      </c>
      <c r="AG41">
        <f t="shared" si="17"/>
        <v>1.2804889147755321</v>
      </c>
      <c r="AH41">
        <f t="shared" si="18"/>
        <v>-6.6863304359210479E-2</v>
      </c>
    </row>
    <row r="42" spans="1:34" x14ac:dyDescent="0.3">
      <c r="A42" s="91">
        <f t="shared" si="0"/>
        <v>47538</v>
      </c>
      <c r="B42">
        <v>1.718</v>
      </c>
      <c r="C42">
        <f t="shared" si="19"/>
        <v>5.8666666666666671</v>
      </c>
      <c r="D42">
        <v>2</v>
      </c>
      <c r="F42">
        <f>0</f>
        <v>0</v>
      </c>
      <c r="G42">
        <f t="shared" si="20"/>
        <v>1</v>
      </c>
      <c r="H42">
        <f t="shared" si="2"/>
        <v>1.718</v>
      </c>
      <c r="I42">
        <f t="shared" si="3"/>
        <v>-0.10078933333333334</v>
      </c>
      <c r="K42">
        <v>3.5440568302308773</v>
      </c>
      <c r="L42">
        <f t="shared" si="4"/>
        <v>0.98258825688442064</v>
      </c>
      <c r="M42">
        <f t="shared" si="5"/>
        <v>1.3980291969599661</v>
      </c>
      <c r="N42">
        <f t="shared" si="6"/>
        <v>-8.0589641540579279E-2</v>
      </c>
      <c r="P42">
        <v>5.2439266031589922</v>
      </c>
      <c r="Q42">
        <f t="shared" si="7"/>
        <v>0.97445027148940611</v>
      </c>
      <c r="R42">
        <f t="shared" si="8"/>
        <v>1.2680510827044207</v>
      </c>
      <c r="S42">
        <f t="shared" si="9"/>
        <v>-7.2491626345820473E-2</v>
      </c>
      <c r="U42">
        <v>5.5445488602680841</v>
      </c>
      <c r="V42">
        <f t="shared" si="10"/>
        <v>0.97302507465650512</v>
      </c>
      <c r="W42">
        <f t="shared" si="11"/>
        <v>1.2464603536133592</v>
      </c>
      <c r="X42">
        <f t="shared" si="12"/>
        <v>-7.1153114479686072E-2</v>
      </c>
      <c r="Z42">
        <v>5.552419754611547</v>
      </c>
      <c r="AA42">
        <f t="shared" si="13"/>
        <v>0.97298781614324936</v>
      </c>
      <c r="AB42">
        <f t="shared" si="14"/>
        <v>1.2459004514794798</v>
      </c>
      <c r="AC42">
        <f t="shared" si="15"/>
        <v>-7.1118429619125248E-2</v>
      </c>
      <c r="AE42">
        <v>5.5524249607447347</v>
      </c>
      <c r="AF42">
        <f t="shared" si="16"/>
        <v>0.97298779149988091</v>
      </c>
      <c r="AG42">
        <f t="shared" si="17"/>
        <v>1.245900081227524</v>
      </c>
      <c r="AH42">
        <f t="shared" si="18"/>
        <v>-7.1118406683168017E-2</v>
      </c>
    </row>
    <row r="43" spans="1:34" x14ac:dyDescent="0.3">
      <c r="A43" s="91">
        <f t="shared" si="0"/>
        <v>47719</v>
      </c>
      <c r="B43">
        <v>1.718</v>
      </c>
      <c r="C43">
        <f t="shared" si="19"/>
        <v>6.3666666666666671</v>
      </c>
      <c r="D43">
        <v>2</v>
      </c>
      <c r="F43">
        <f>0</f>
        <v>0</v>
      </c>
      <c r="G43">
        <f t="shared" si="20"/>
        <v>1</v>
      </c>
      <c r="H43">
        <f t="shared" si="2"/>
        <v>1.718</v>
      </c>
      <c r="I43">
        <f t="shared" si="3"/>
        <v>-0.10937933333333334</v>
      </c>
      <c r="K43">
        <v>3.5440568302308773</v>
      </c>
      <c r="L43">
        <f t="shared" si="4"/>
        <v>0.98258825688442064</v>
      </c>
      <c r="M43">
        <f t="shared" si="5"/>
        <v>1.3736870717144194</v>
      </c>
      <c r="N43">
        <f t="shared" si="6"/>
        <v>-8.5935279330800765E-2</v>
      </c>
      <c r="P43">
        <v>5.2439266031589922</v>
      </c>
      <c r="Q43">
        <f t="shared" si="7"/>
        <v>0.97445027148940611</v>
      </c>
      <c r="R43">
        <f t="shared" si="8"/>
        <v>1.2356527218037581</v>
      </c>
      <c r="S43">
        <f t="shared" si="9"/>
        <v>-7.6659895624534818E-2</v>
      </c>
      <c r="U43">
        <v>5.5445488602680841</v>
      </c>
      <c r="V43">
        <f t="shared" si="10"/>
        <v>0.97302507465650512</v>
      </c>
      <c r="W43">
        <f t="shared" si="11"/>
        <v>1.2128371786310126</v>
      </c>
      <c r="X43">
        <f t="shared" si="12"/>
        <v>-7.513436946005754E-2</v>
      </c>
      <c r="Z43">
        <v>5.552419754611547</v>
      </c>
      <c r="AA43">
        <f t="shared" si="13"/>
        <v>0.97298781614324936</v>
      </c>
      <c r="AB43">
        <f t="shared" si="14"/>
        <v>1.2122459594169075</v>
      </c>
      <c r="AC43">
        <f t="shared" si="15"/>
        <v>-7.5094868266057727E-2</v>
      </c>
      <c r="AE43">
        <v>5.5524249607447347</v>
      </c>
      <c r="AF43">
        <f t="shared" si="16"/>
        <v>0.97298779149988091</v>
      </c>
      <c r="AG43">
        <f t="shared" si="17"/>
        <v>1.2122455684630908</v>
      </c>
      <c r="AH43">
        <f t="shared" si="18"/>
        <v>-7.5094842145718099E-2</v>
      </c>
    </row>
    <row r="44" spans="1:34" x14ac:dyDescent="0.3">
      <c r="A44" s="91">
        <f t="shared" si="0"/>
        <v>47903</v>
      </c>
      <c r="B44">
        <v>1.718</v>
      </c>
      <c r="C44">
        <f t="shared" si="19"/>
        <v>6.8666666666666671</v>
      </c>
      <c r="D44">
        <v>2</v>
      </c>
      <c r="F44">
        <f>0</f>
        <v>0</v>
      </c>
      <c r="G44">
        <f t="shared" si="20"/>
        <v>1</v>
      </c>
      <c r="H44">
        <f t="shared" si="2"/>
        <v>1.718</v>
      </c>
      <c r="I44">
        <f t="shared" si="3"/>
        <v>-0.11796933333333334</v>
      </c>
      <c r="K44">
        <v>3.5440568302308773</v>
      </c>
      <c r="L44">
        <f t="shared" si="4"/>
        <v>0.98258825688442064</v>
      </c>
      <c r="M44">
        <f t="shared" si="5"/>
        <v>1.3497687853005356</v>
      </c>
      <c r="N44">
        <f t="shared" si="6"/>
        <v>-9.1070331112254585E-2</v>
      </c>
      <c r="P44">
        <v>5.2439266031589922</v>
      </c>
      <c r="Q44">
        <f t="shared" si="7"/>
        <v>0.97445027148940611</v>
      </c>
      <c r="R44">
        <f t="shared" si="8"/>
        <v>1.2040821302282956</v>
      </c>
      <c r="S44">
        <f t="shared" si="9"/>
        <v>-8.0567846897160011E-2</v>
      </c>
      <c r="U44">
        <v>5.5445488602680841</v>
      </c>
      <c r="V44">
        <f t="shared" si="10"/>
        <v>0.97302507465650512</v>
      </c>
      <c r="W44">
        <f t="shared" si="11"/>
        <v>1.1801209862836259</v>
      </c>
      <c r="X44">
        <f t="shared" si="12"/>
        <v>-7.8849062007053564E-2</v>
      </c>
      <c r="Z44">
        <v>5.552419754611547</v>
      </c>
      <c r="AA44">
        <f t="shared" si="13"/>
        <v>0.97298781614324936</v>
      </c>
      <c r="AB44">
        <f t="shared" si="14"/>
        <v>1.1795005486815351</v>
      </c>
      <c r="AC44">
        <f t="shared" si="15"/>
        <v>-7.8804590192763577E-2</v>
      </c>
      <c r="AE44">
        <v>5.5524249607447347</v>
      </c>
      <c r="AF44">
        <f t="shared" si="16"/>
        <v>0.97298779149988091</v>
      </c>
      <c r="AG44">
        <f t="shared" si="17"/>
        <v>1.1795001384144204</v>
      </c>
      <c r="AH44">
        <f t="shared" si="18"/>
        <v>-7.8804560786142688E-2</v>
      </c>
    </row>
    <row r="45" spans="1:34" x14ac:dyDescent="0.3">
      <c r="A45" s="91">
        <f t="shared" si="0"/>
        <v>48084</v>
      </c>
      <c r="B45">
        <v>1.718</v>
      </c>
      <c r="C45">
        <f t="shared" si="19"/>
        <v>7.3666666666666671</v>
      </c>
      <c r="D45">
        <v>2</v>
      </c>
      <c r="F45">
        <f>0</f>
        <v>0</v>
      </c>
      <c r="G45">
        <f t="shared" si="20"/>
        <v>1</v>
      </c>
      <c r="H45">
        <f t="shared" si="2"/>
        <v>1.718</v>
      </c>
      <c r="I45">
        <f t="shared" si="3"/>
        <v>-0.12655933333333336</v>
      </c>
      <c r="K45">
        <v>3.5440568302308773</v>
      </c>
      <c r="L45">
        <f t="shared" si="4"/>
        <v>0.98258825688442064</v>
      </c>
      <c r="M45">
        <f t="shared" si="5"/>
        <v>1.3262669579454549</v>
      </c>
      <c r="N45">
        <f t="shared" si="6"/>
        <v>-9.6000509593332395E-2</v>
      </c>
      <c r="P45">
        <v>5.2439266031589922</v>
      </c>
      <c r="Q45">
        <f t="shared" si="7"/>
        <v>0.97445027148940611</v>
      </c>
      <c r="R45">
        <f t="shared" si="8"/>
        <v>1.1733181586965051</v>
      </c>
      <c r="S45">
        <f t="shared" si="9"/>
        <v>-8.4226061273680791E-2</v>
      </c>
      <c r="U45">
        <v>5.5445488602680841</v>
      </c>
      <c r="V45">
        <f t="shared" si="10"/>
        <v>0.97302507465650512</v>
      </c>
      <c r="W45">
        <f t="shared" si="11"/>
        <v>1.1482873107823335</v>
      </c>
      <c r="X45">
        <f t="shared" si="12"/>
        <v>-8.2308676177514195E-2</v>
      </c>
      <c r="Z45">
        <v>5.552419754611547</v>
      </c>
      <c r="AA45">
        <f t="shared" si="13"/>
        <v>0.97298781614324936</v>
      </c>
      <c r="AB45">
        <f t="shared" si="14"/>
        <v>1.147639663001411</v>
      </c>
      <c r="AC45">
        <f t="shared" si="15"/>
        <v>-8.2259103160836344E-2</v>
      </c>
      <c r="AE45">
        <v>5.5524249607447347</v>
      </c>
      <c r="AF45">
        <f t="shared" si="16"/>
        <v>0.97298779149988091</v>
      </c>
      <c r="AG45">
        <f t="shared" si="17"/>
        <v>1.1476392347496509</v>
      </c>
      <c r="AH45">
        <f t="shared" si="18"/>
        <v>-8.2259070381715482E-2</v>
      </c>
    </row>
    <row r="46" spans="1:34" x14ac:dyDescent="0.3">
      <c r="A46" s="91">
        <f t="shared" si="0"/>
        <v>48268</v>
      </c>
      <c r="B46">
        <v>1.718</v>
      </c>
      <c r="C46">
        <f t="shared" si="19"/>
        <v>7.8666666666666671</v>
      </c>
      <c r="D46">
        <v>2</v>
      </c>
      <c r="F46">
        <f>0</f>
        <v>0</v>
      </c>
      <c r="G46">
        <f t="shared" si="20"/>
        <v>1</v>
      </c>
      <c r="H46">
        <f t="shared" si="2"/>
        <v>1.718</v>
      </c>
      <c r="I46">
        <f t="shared" si="3"/>
        <v>-0.13514933333333334</v>
      </c>
      <c r="K46">
        <v>3.5440568302308773</v>
      </c>
      <c r="L46">
        <f t="shared" si="4"/>
        <v>0.98258825688442064</v>
      </c>
      <c r="M46">
        <f t="shared" si="5"/>
        <v>1.3031743383710279</v>
      </c>
      <c r="N46">
        <f t="shared" si="6"/>
        <v>-0.10073139238911107</v>
      </c>
      <c r="P46">
        <v>5.2439266031589922</v>
      </c>
      <c r="Q46">
        <f t="shared" si="7"/>
        <v>0.97445027148940611</v>
      </c>
      <c r="R46">
        <f t="shared" si="8"/>
        <v>1.1433401982852596</v>
      </c>
      <c r="S46">
        <f t="shared" si="9"/>
        <v>-8.7644749107740713E-2</v>
      </c>
      <c r="U46">
        <v>5.5445488602680841</v>
      </c>
      <c r="V46">
        <f t="shared" si="10"/>
        <v>0.97302507465650512</v>
      </c>
      <c r="W46">
        <f t="shared" si="11"/>
        <v>1.1173123463010977</v>
      </c>
      <c r="X46">
        <f t="shared" si="12"/>
        <v>-8.5524270428375154E-2</v>
      </c>
      <c r="Z46">
        <v>5.552419754611547</v>
      </c>
      <c r="AA46">
        <f t="shared" si="13"/>
        <v>0.97298781614324936</v>
      </c>
      <c r="AB46">
        <f t="shared" si="14"/>
        <v>1.1166394094231176</v>
      </c>
      <c r="AC46">
        <f t="shared" si="15"/>
        <v>-8.5469487844334835E-2</v>
      </c>
      <c r="AE46">
        <v>5.5524249607447347</v>
      </c>
      <c r="AF46">
        <f t="shared" si="16"/>
        <v>0.97298779149988091</v>
      </c>
      <c r="AG46">
        <f t="shared" si="17"/>
        <v>1.116638964457676</v>
      </c>
      <c r="AH46">
        <f t="shared" si="18"/>
        <v>-8.5469451621190545E-2</v>
      </c>
    </row>
    <row r="47" spans="1:34" x14ac:dyDescent="0.3">
      <c r="A47" s="91">
        <f t="shared" si="0"/>
        <v>48450</v>
      </c>
      <c r="B47">
        <v>1.718</v>
      </c>
      <c r="C47">
        <f t="shared" si="19"/>
        <v>8.3666666666666671</v>
      </c>
      <c r="D47">
        <v>2</v>
      </c>
      <c r="F47">
        <f>0</f>
        <v>0</v>
      </c>
      <c r="G47">
        <f t="shared" si="20"/>
        <v>1</v>
      </c>
      <c r="H47">
        <f t="shared" si="2"/>
        <v>1.718</v>
      </c>
      <c r="I47">
        <f t="shared" si="3"/>
        <v>-0.14373933333333336</v>
      </c>
      <c r="K47">
        <v>3.5440568302308773</v>
      </c>
      <c r="L47">
        <f t="shared" si="4"/>
        <v>0.98258825688442064</v>
      </c>
      <c r="M47">
        <f t="shared" si="5"/>
        <v>1.2804838015564963</v>
      </c>
      <c r="N47">
        <f t="shared" si="6"/>
        <v>-0.1052684249938579</v>
      </c>
      <c r="P47">
        <v>5.2439266031589922</v>
      </c>
      <c r="Q47">
        <f t="shared" si="7"/>
        <v>0.97445027148940611</v>
      </c>
      <c r="R47">
        <f t="shared" si="8"/>
        <v>1.1141281666238227</v>
      </c>
      <c r="S47">
        <f t="shared" si="9"/>
        <v>-9.0833762034861723E-2</v>
      </c>
      <c r="U47">
        <v>5.5445488602680841</v>
      </c>
      <c r="V47">
        <f t="shared" si="10"/>
        <v>0.97302507465650512</v>
      </c>
      <c r="W47">
        <f t="shared" si="11"/>
        <v>1.0871729291742604</v>
      </c>
      <c r="X47">
        <f t="shared" si="12"/>
        <v>-8.8506492221384445E-2</v>
      </c>
      <c r="Z47">
        <v>5.552419754611547</v>
      </c>
      <c r="AA47">
        <f t="shared" si="13"/>
        <v>0.97298781614324936</v>
      </c>
      <c r="AB47">
        <f t="shared" si="14"/>
        <v>1.086476540394087</v>
      </c>
      <c r="AC47">
        <f t="shared" si="15"/>
        <v>-8.8446412506185942E-2</v>
      </c>
      <c r="AE47">
        <v>5.5524249607447347</v>
      </c>
      <c r="AF47">
        <f t="shared" si="16"/>
        <v>0.97298779149988091</v>
      </c>
      <c r="AG47">
        <f t="shared" si="17"/>
        <v>1.0864760799303881</v>
      </c>
      <c r="AH47">
        <f t="shared" si="18"/>
        <v>-8.8446372781252683E-2</v>
      </c>
    </row>
    <row r="48" spans="1:34" x14ac:dyDescent="0.3">
      <c r="A48" s="91">
        <f t="shared" si="0"/>
        <v>48634</v>
      </c>
      <c r="B48">
        <v>1.718</v>
      </c>
      <c r="C48">
        <f t="shared" si="19"/>
        <v>8.8666666666666671</v>
      </c>
      <c r="D48">
        <v>2</v>
      </c>
      <c r="F48">
        <f>0</f>
        <v>0</v>
      </c>
      <c r="G48">
        <f t="shared" si="20"/>
        <v>1</v>
      </c>
      <c r="H48">
        <f t="shared" si="2"/>
        <v>1.718</v>
      </c>
      <c r="I48">
        <f t="shared" si="3"/>
        <v>-0.15232933333333334</v>
      </c>
      <c r="K48">
        <v>3.5440568302308773</v>
      </c>
      <c r="L48">
        <f t="shared" si="4"/>
        <v>0.98258825688442064</v>
      </c>
      <c r="M48">
        <f t="shared" si="5"/>
        <v>1.2581883465401342</v>
      </c>
      <c r="N48">
        <f t="shared" si="6"/>
        <v>-0.10961692369097903</v>
      </c>
      <c r="P48">
        <v>5.2439266031589922</v>
      </c>
      <c r="Q48">
        <f t="shared" si="7"/>
        <v>0.97445027148940611</v>
      </c>
      <c r="R48">
        <f t="shared" si="8"/>
        <v>1.0856624944405782</v>
      </c>
      <c r="S48">
        <f t="shared" si="9"/>
        <v>-9.380260463754253E-2</v>
      </c>
      <c r="U48">
        <v>5.5445488602680841</v>
      </c>
      <c r="V48">
        <f t="shared" si="10"/>
        <v>0.97302507465650512</v>
      </c>
      <c r="W48">
        <f t="shared" si="11"/>
        <v>1.0578465205743162</v>
      </c>
      <c r="X48">
        <f t="shared" si="12"/>
        <v>-9.1265592149582755E-2</v>
      </c>
      <c r="Z48">
        <v>5.552419754611547</v>
      </c>
      <c r="AA48">
        <f t="shared" si="13"/>
        <v>0.97298781614324936</v>
      </c>
      <c r="AB48">
        <f t="shared" si="14"/>
        <v>1.0571284363289155</v>
      </c>
      <c r="AC48">
        <f t="shared" si="15"/>
        <v>-9.1200147193331832E-2</v>
      </c>
      <c r="AE48">
        <v>5.5524249607447347</v>
      </c>
      <c r="AF48">
        <f t="shared" si="16"/>
        <v>0.97298779149988091</v>
      </c>
      <c r="AG48">
        <f t="shared" si="17"/>
        <v>1.0571279615289166</v>
      </c>
      <c r="AH48">
        <f t="shared" si="18"/>
        <v>-9.1200103921710199E-2</v>
      </c>
    </row>
    <row r="49" spans="1:34" x14ac:dyDescent="0.3">
      <c r="A49" s="91">
        <f t="shared" si="0"/>
        <v>48815</v>
      </c>
      <c r="B49">
        <v>1.718</v>
      </c>
      <c r="C49">
        <f t="shared" si="19"/>
        <v>9.3666666666666671</v>
      </c>
      <c r="D49">
        <v>2</v>
      </c>
      <c r="F49">
        <f>0</f>
        <v>0</v>
      </c>
      <c r="G49">
        <f t="shared" si="20"/>
        <v>1</v>
      </c>
      <c r="H49">
        <f t="shared" si="2"/>
        <v>1.718</v>
      </c>
      <c r="I49">
        <f t="shared" si="3"/>
        <v>-0.16091933333333336</v>
      </c>
      <c r="K49">
        <v>3.5440568302308773</v>
      </c>
      <c r="L49">
        <f t="shared" si="4"/>
        <v>0.98258825688442064</v>
      </c>
      <c r="M49">
        <f t="shared" si="5"/>
        <v>1.2362810942591618</v>
      </c>
      <c r="N49">
        <f t="shared" si="6"/>
        <v>-0.11378207840168798</v>
      </c>
      <c r="P49">
        <v>5.2439266031589922</v>
      </c>
      <c r="Q49">
        <f t="shared" si="7"/>
        <v>0.97445027148940611</v>
      </c>
      <c r="R49">
        <f t="shared" si="8"/>
        <v>1.0579241124534873</v>
      </c>
      <c r="S49">
        <f t="shared" si="9"/>
        <v>-9.6560445748444204E-2</v>
      </c>
      <c r="U49">
        <v>5.5445488602680841</v>
      </c>
      <c r="V49">
        <f t="shared" si="10"/>
        <v>0.97302507465650512</v>
      </c>
      <c r="W49">
        <f t="shared" si="11"/>
        <v>1.029311189656948</v>
      </c>
      <c r="X49">
        <f t="shared" si="12"/>
        <v>-9.3811437600721526E-2</v>
      </c>
      <c r="Z49">
        <v>5.552419754611547</v>
      </c>
      <c r="AA49">
        <f t="shared" si="13"/>
        <v>0.97298781614324936</v>
      </c>
      <c r="AB49">
        <f t="shared" si="14"/>
        <v>1.0285730886465996</v>
      </c>
      <c r="AC49">
        <f t="shared" si="15"/>
        <v>-9.3740577465912689E-2</v>
      </c>
      <c r="AE49">
        <v>5.5524249607447347</v>
      </c>
      <c r="AF49">
        <f t="shared" si="16"/>
        <v>0.97298779149988091</v>
      </c>
      <c r="AG49">
        <f t="shared" si="17"/>
        <v>1.0285726006207914</v>
      </c>
      <c r="AH49">
        <f t="shared" si="18"/>
        <v>-9.3740530614720985E-2</v>
      </c>
    </row>
    <row r="50" spans="1:34" x14ac:dyDescent="0.3">
      <c r="A50" s="91">
        <f t="shared" si="0"/>
        <v>48999</v>
      </c>
      <c r="B50">
        <v>1.718</v>
      </c>
      <c r="C50">
        <f t="shared" si="19"/>
        <v>9.8666666666666671</v>
      </c>
      <c r="D50">
        <v>2</v>
      </c>
      <c r="F50">
        <f>0</f>
        <v>0</v>
      </c>
      <c r="G50">
        <f t="shared" si="20"/>
        <v>1</v>
      </c>
      <c r="H50">
        <f t="shared" si="2"/>
        <v>1.718</v>
      </c>
      <c r="I50">
        <f t="shared" si="3"/>
        <v>-0.16950933333333335</v>
      </c>
      <c r="K50">
        <v>3.5440568302308773</v>
      </c>
      <c r="L50">
        <f t="shared" si="4"/>
        <v>0.98258825688442064</v>
      </c>
      <c r="M50">
        <f t="shared" si="5"/>
        <v>1.2147552854272738</v>
      </c>
      <c r="N50">
        <f t="shared" si="6"/>
        <v>-0.1177689554736467</v>
      </c>
      <c r="P50">
        <v>5.2439266031589922</v>
      </c>
      <c r="Q50">
        <f t="shared" si="7"/>
        <v>0.97445027148940611</v>
      </c>
      <c r="R50">
        <f t="shared" si="8"/>
        <v>1.0308944385954897</v>
      </c>
      <c r="S50">
        <f t="shared" si="9"/>
        <v>-9.9116129402540984E-2</v>
      </c>
      <c r="U50">
        <v>5.5445488602680841</v>
      </c>
      <c r="V50">
        <f t="shared" si="10"/>
        <v>0.97302507465650512</v>
      </c>
      <c r="W50">
        <f t="shared" si="11"/>
        <v>1.0015455971607281</v>
      </c>
      <c r="X50">
        <f t="shared" si="12"/>
        <v>-9.6153525972322212E-2</v>
      </c>
      <c r="Z50">
        <v>5.552419754611547</v>
      </c>
      <c r="AA50">
        <f t="shared" si="13"/>
        <v>0.97298781614324936</v>
      </c>
      <c r="AB50">
        <f t="shared" si="14"/>
        <v>1.0007890832659718</v>
      </c>
      <c r="AC50">
        <f t="shared" si="15"/>
        <v>-9.6077217675300308E-2</v>
      </c>
      <c r="AE50">
        <v>5.5524249607447347</v>
      </c>
      <c r="AF50">
        <f t="shared" si="16"/>
        <v>0.97298779149988091</v>
      </c>
      <c r="AG50">
        <f t="shared" si="17"/>
        <v>1.0007885830753129</v>
      </c>
      <c r="AH50">
        <f t="shared" si="18"/>
        <v>-9.6077167222868062E-2</v>
      </c>
    </row>
    <row r="51" spans="1:34" x14ac:dyDescent="0.3">
      <c r="A51" s="91">
        <f t="shared" si="0"/>
        <v>49180</v>
      </c>
      <c r="B51">
        <v>1.718</v>
      </c>
      <c r="C51">
        <f t="shared" si="19"/>
        <v>10.366666666666667</v>
      </c>
      <c r="D51">
        <v>2</v>
      </c>
      <c r="F51">
        <f>0</f>
        <v>0</v>
      </c>
      <c r="G51">
        <f t="shared" si="20"/>
        <v>1</v>
      </c>
      <c r="H51">
        <f t="shared" si="2"/>
        <v>1.718</v>
      </c>
      <c r="I51">
        <f t="shared" si="3"/>
        <v>-0.17809933333333336</v>
      </c>
      <c r="K51">
        <v>3.5440568302308773</v>
      </c>
      <c r="L51">
        <f t="shared" si="4"/>
        <v>0.98258825688442064</v>
      </c>
      <c r="M51">
        <f t="shared" si="5"/>
        <v>1.1936042784491221</v>
      </c>
      <c r="N51">
        <f t="shared" si="6"/>
        <v>-0.12158250041080503</v>
      </c>
      <c r="P51">
        <v>5.2439266031589922</v>
      </c>
      <c r="Q51">
        <f t="shared" si="7"/>
        <v>0.97445027148940611</v>
      </c>
      <c r="R51">
        <f t="shared" si="8"/>
        <v>1.0045553655662938</v>
      </c>
      <c r="S51">
        <f t="shared" si="9"/>
        <v>-0.10147818544879625</v>
      </c>
      <c r="U51">
        <v>5.5445488602680841</v>
      </c>
      <c r="V51">
        <f t="shared" si="10"/>
        <v>0.97302507465650512</v>
      </c>
      <c r="W51">
        <f t="shared" si="11"/>
        <v>0.97452897944921146</v>
      </c>
      <c r="X51">
        <f t="shared" si="12"/>
        <v>-9.830099745262251E-2</v>
      </c>
      <c r="Z51">
        <v>5.552419754611547</v>
      </c>
      <c r="AA51">
        <f t="shared" si="13"/>
        <v>0.97298781614324936</v>
      </c>
      <c r="AB51">
        <f t="shared" si="14"/>
        <v>0.97375558454696232</v>
      </c>
      <c r="AC51">
        <f t="shared" si="15"/>
        <v>-9.8219223805338235E-2</v>
      </c>
      <c r="AE51">
        <v>5.5524249607447347</v>
      </c>
      <c r="AF51">
        <f t="shared" si="16"/>
        <v>0.97298779149988091</v>
      </c>
      <c r="AG51">
        <f t="shared" si="17"/>
        <v>0.97375507320474386</v>
      </c>
      <c r="AH51">
        <f t="shared" si="18"/>
        <v>-9.8219169740439607E-2</v>
      </c>
    </row>
    <row r="52" spans="1:34" x14ac:dyDescent="0.3">
      <c r="A52" s="91">
        <f t="shared" si="0"/>
        <v>49364</v>
      </c>
      <c r="B52">
        <v>1.718</v>
      </c>
      <c r="C52">
        <f t="shared" si="19"/>
        <v>10.866666666666667</v>
      </c>
      <c r="D52">
        <v>2</v>
      </c>
      <c r="F52">
        <f>0</f>
        <v>0</v>
      </c>
      <c r="G52">
        <f t="shared" si="20"/>
        <v>1</v>
      </c>
      <c r="H52">
        <f t="shared" si="2"/>
        <v>1.718</v>
      </c>
      <c r="I52">
        <f t="shared" si="3"/>
        <v>-0.18668933333333335</v>
      </c>
      <c r="K52">
        <v>3.5440568302308773</v>
      </c>
      <c r="L52">
        <f t="shared" si="4"/>
        <v>0.98258825688442064</v>
      </c>
      <c r="M52">
        <f t="shared" si="5"/>
        <v>1.1728215473711094</v>
      </c>
      <c r="N52">
        <f t="shared" si="6"/>
        <v>-0.12522754054564161</v>
      </c>
      <c r="P52">
        <v>5.2439266031589922</v>
      </c>
      <c r="Q52">
        <f t="shared" si="7"/>
        <v>0.97445027148940611</v>
      </c>
      <c r="R52">
        <f t="shared" si="8"/>
        <v>0.97888924870221461</v>
      </c>
      <c r="S52">
        <f t="shared" si="9"/>
        <v>-0.10365483983161149</v>
      </c>
      <c r="U52">
        <v>5.5445488602680841</v>
      </c>
      <c r="V52">
        <f t="shared" si="10"/>
        <v>0.97302507465650512</v>
      </c>
      <c r="W52">
        <f t="shared" si="11"/>
        <v>0.94824113298349666</v>
      </c>
      <c r="X52">
        <f t="shared" si="12"/>
        <v>-0.10026264738121508</v>
      </c>
      <c r="Z52">
        <v>5.552419754611547</v>
      </c>
      <c r="AA52">
        <f t="shared" si="13"/>
        <v>0.97298781614324936</v>
      </c>
      <c r="AB52">
        <f t="shared" si="14"/>
        <v>0.94745231966564214</v>
      </c>
      <c r="AC52">
        <f t="shared" si="15"/>
        <v>-0.10017540589069776</v>
      </c>
      <c r="AE52">
        <v>5.5524249607447347</v>
      </c>
      <c r="AF52">
        <f t="shared" si="16"/>
        <v>0.97298779149988091</v>
      </c>
      <c r="AG52">
        <f t="shared" si="17"/>
        <v>0.94745179813928848</v>
      </c>
      <c r="AH52">
        <f t="shared" si="18"/>
        <v>-0.10017534821182292</v>
      </c>
    </row>
    <row r="53" spans="1:34" x14ac:dyDescent="0.3">
      <c r="A53" s="91">
        <f t="shared" si="0"/>
        <v>49545</v>
      </c>
      <c r="B53">
        <v>1.718</v>
      </c>
      <c r="C53">
        <f t="shared" si="19"/>
        <v>11.366666666666667</v>
      </c>
      <c r="D53">
        <v>2</v>
      </c>
      <c r="F53">
        <f>0</f>
        <v>0</v>
      </c>
      <c r="G53">
        <f t="shared" si="20"/>
        <v>1</v>
      </c>
      <c r="H53">
        <f t="shared" si="2"/>
        <v>1.718</v>
      </c>
      <c r="I53">
        <f t="shared" si="3"/>
        <v>-0.19527933333333336</v>
      </c>
      <c r="K53">
        <v>3.5440568302308773</v>
      </c>
      <c r="L53">
        <f t="shared" si="4"/>
        <v>0.98258825688442064</v>
      </c>
      <c r="M53">
        <f t="shared" si="5"/>
        <v>1.1524006798678672</v>
      </c>
      <c r="N53">
        <f t="shared" si="6"/>
        <v>-0.128708787654984</v>
      </c>
      <c r="P53">
        <v>5.2439266031589922</v>
      </c>
      <c r="Q53">
        <f t="shared" si="7"/>
        <v>0.97445027148940611</v>
      </c>
      <c r="R53">
        <f t="shared" si="8"/>
        <v>0.95387889415593374</v>
      </c>
      <c r="S53">
        <f t="shared" si="9"/>
        <v>-0.105654024551996</v>
      </c>
      <c r="U53">
        <v>5.5445488602680841</v>
      </c>
      <c r="V53">
        <f t="shared" si="10"/>
        <v>0.97302507465650512</v>
      </c>
      <c r="W53">
        <f t="shared" si="11"/>
        <v>0.92266239921363591</v>
      </c>
      <c r="X53">
        <f t="shared" si="12"/>
        <v>-0.10204693820275366</v>
      </c>
      <c r="Z53">
        <v>5.552419754611547</v>
      </c>
      <c r="AA53">
        <f t="shared" si="13"/>
        <v>0.97298781614324936</v>
      </c>
      <c r="AB53">
        <f t="shared" si="14"/>
        <v>0.9218595634113288</v>
      </c>
      <c r="AC53">
        <f t="shared" si="15"/>
        <v>-0.10195424002582537</v>
      </c>
      <c r="AE53">
        <v>5.5524249607447347</v>
      </c>
      <c r="AF53">
        <f t="shared" si="16"/>
        <v>0.97298779149988091</v>
      </c>
      <c r="AG53">
        <f t="shared" si="17"/>
        <v>0.92185903262413749</v>
      </c>
      <c r="AH53">
        <f t="shared" si="18"/>
        <v>-0.10195417874048902</v>
      </c>
    </row>
    <row r="54" spans="1:34" x14ac:dyDescent="0.3">
      <c r="A54" s="91">
        <f t="shared" si="0"/>
        <v>49729</v>
      </c>
      <c r="B54">
        <v>1.718</v>
      </c>
      <c r="C54">
        <f t="shared" si="19"/>
        <v>11.866666666666667</v>
      </c>
      <c r="D54">
        <v>2</v>
      </c>
      <c r="F54">
        <f>0</f>
        <v>0</v>
      </c>
      <c r="G54">
        <f t="shared" si="20"/>
        <v>1</v>
      </c>
      <c r="H54">
        <f t="shared" si="2"/>
        <v>1.718</v>
      </c>
      <c r="I54">
        <f t="shared" si="3"/>
        <v>-0.20386933333333335</v>
      </c>
      <c r="K54">
        <v>3.5440568302308773</v>
      </c>
      <c r="L54">
        <f t="shared" si="4"/>
        <v>0.98258825688442064</v>
      </c>
      <c r="M54">
        <f t="shared" si="5"/>
        <v>1.132335375263789</v>
      </c>
      <c r="N54">
        <f t="shared" si="6"/>
        <v>-0.13203084052056285</v>
      </c>
      <c r="P54">
        <v>5.2439266031589922</v>
      </c>
      <c r="Q54">
        <f t="shared" si="7"/>
        <v>0.97445027148940611</v>
      </c>
      <c r="R54">
        <f t="shared" si="8"/>
        <v>0.92950754737826424</v>
      </c>
      <c r="S54">
        <f t="shared" si="9"/>
        <v>-0.10748338731811194</v>
      </c>
      <c r="U54">
        <v>5.5445488602680841</v>
      </c>
      <c r="V54">
        <f t="shared" si="10"/>
        <v>0.97302507465650512</v>
      </c>
      <c r="W54">
        <f t="shared" si="11"/>
        <v>0.89777364987759822</v>
      </c>
      <c r="X54">
        <f t="shared" si="12"/>
        <v>-0.10366201102668611</v>
      </c>
      <c r="Z54">
        <v>5.552419754611547</v>
      </c>
      <c r="AA54">
        <f t="shared" si="13"/>
        <v>0.97298781614324936</v>
      </c>
      <c r="AB54">
        <f t="shared" si="14"/>
        <v>0.89695812339435821</v>
      </c>
      <c r="AC54">
        <f t="shared" si="15"/>
        <v>-0.10356387997753964</v>
      </c>
      <c r="AE54">
        <v>5.5524249607447347</v>
      </c>
      <c r="AF54">
        <f t="shared" si="16"/>
        <v>0.97298779149988091</v>
      </c>
      <c r="AG54">
        <f t="shared" si="17"/>
        <v>0.8969575842271762</v>
      </c>
      <c r="AH54">
        <f t="shared" si="18"/>
        <v>-0.10356381510162387</v>
      </c>
    </row>
    <row r="55" spans="1:34" x14ac:dyDescent="0.3">
      <c r="A55" s="91">
        <f t="shared" si="0"/>
        <v>49911</v>
      </c>
      <c r="B55">
        <v>1.718</v>
      </c>
      <c r="C55">
        <f t="shared" si="19"/>
        <v>12.366666666666667</v>
      </c>
      <c r="D55">
        <v>2</v>
      </c>
      <c r="F55">
        <f>0</f>
        <v>0</v>
      </c>
      <c r="G55">
        <f t="shared" si="20"/>
        <v>1</v>
      </c>
      <c r="H55">
        <f t="shared" si="2"/>
        <v>1.718</v>
      </c>
      <c r="I55">
        <f t="shared" si="3"/>
        <v>-0.21245933333333336</v>
      </c>
      <c r="K55">
        <v>3.5440568302308773</v>
      </c>
      <c r="L55">
        <f t="shared" si="4"/>
        <v>0.98258825688442064</v>
      </c>
      <c r="M55">
        <f t="shared" si="5"/>
        <v>1.1126194425890128</v>
      </c>
      <c r="N55">
        <f t="shared" si="6"/>
        <v>-0.13519818743543105</v>
      </c>
      <c r="P55">
        <v>5.2439266031589922</v>
      </c>
      <c r="Q55">
        <f t="shared" si="7"/>
        <v>0.97445027148940611</v>
      </c>
      <c r="R55">
        <f t="shared" si="8"/>
        <v>0.90575888189420151</v>
      </c>
      <c r="S55">
        <f t="shared" si="9"/>
        <v>-0.10915030089456387</v>
      </c>
      <c r="U55">
        <v>5.5445488602680841</v>
      </c>
      <c r="V55">
        <f t="shared" si="10"/>
        <v>0.97302507465650512</v>
      </c>
      <c r="W55">
        <f t="shared" si="11"/>
        <v>0.87355627269679303</v>
      </c>
      <c r="X55">
        <f t="shared" si="12"/>
        <v>-0.10511569680557201</v>
      </c>
      <c r="Z55">
        <v>5.552419754611547</v>
      </c>
      <c r="AA55">
        <f t="shared" si="13"/>
        <v>0.97298781614324936</v>
      </c>
      <c r="AB55">
        <f t="shared" si="14"/>
        <v>0.87272932565342387</v>
      </c>
      <c r="AC55">
        <f t="shared" si="15"/>
        <v>-0.10501216841392635</v>
      </c>
      <c r="AE55">
        <v>5.5524249607447347</v>
      </c>
      <c r="AF55">
        <f t="shared" si="16"/>
        <v>0.97298779149988091</v>
      </c>
      <c r="AG55">
        <f t="shared" si="17"/>
        <v>0.87272877894626844</v>
      </c>
      <c r="AH55">
        <f t="shared" si="18"/>
        <v>-0.10501209997105759</v>
      </c>
    </row>
    <row r="56" spans="1:34" x14ac:dyDescent="0.3">
      <c r="A56" s="91">
        <f t="shared" si="0"/>
        <v>50095</v>
      </c>
      <c r="B56">
        <v>1.718</v>
      </c>
      <c r="C56">
        <f t="shared" si="19"/>
        <v>12.866666666666667</v>
      </c>
      <c r="D56">
        <v>2</v>
      </c>
      <c r="F56">
        <f>0</f>
        <v>0</v>
      </c>
      <c r="G56">
        <f t="shared" si="20"/>
        <v>1</v>
      </c>
      <c r="H56">
        <f t="shared" si="2"/>
        <v>1.718</v>
      </c>
      <c r="I56">
        <f t="shared" si="3"/>
        <v>-0.22104933333333335</v>
      </c>
      <c r="K56">
        <v>3.5440568302308773</v>
      </c>
      <c r="L56">
        <f t="shared" si="4"/>
        <v>0.98258825688442064</v>
      </c>
      <c r="M56">
        <f t="shared" si="5"/>
        <v>1.0932467986692536</v>
      </c>
      <c r="N56">
        <f t="shared" si="6"/>
        <v>-0.13821520865735784</v>
      </c>
      <c r="P56">
        <v>5.2439266031589922</v>
      </c>
      <c r="Q56">
        <f t="shared" si="7"/>
        <v>0.97445027148940611</v>
      </c>
      <c r="R56">
        <f t="shared" si="8"/>
        <v>0.88261698836574554</v>
      </c>
      <c r="S56">
        <f t="shared" si="9"/>
        <v>-0.11066187215952895</v>
      </c>
      <c r="U56">
        <v>5.5445488602680841</v>
      </c>
      <c r="V56">
        <f t="shared" si="10"/>
        <v>0.97302507465650512</v>
      </c>
      <c r="W56">
        <f t="shared" si="11"/>
        <v>0.84999215745745538</v>
      </c>
      <c r="X56">
        <f t="shared" si="12"/>
        <v>-0.10641552714414966</v>
      </c>
      <c r="Z56">
        <v>5.552419754611547</v>
      </c>
      <c r="AA56">
        <f t="shared" si="13"/>
        <v>0.97298781614324936</v>
      </c>
      <c r="AB56">
        <f t="shared" si="14"/>
        <v>0.84915500065169558</v>
      </c>
      <c r="AC56">
        <f t="shared" si="15"/>
        <v>-0.10630664776178939</v>
      </c>
      <c r="AE56">
        <v>5.5524249607447347</v>
      </c>
      <c r="AF56">
        <f t="shared" si="16"/>
        <v>0.97298779149988091</v>
      </c>
      <c r="AG56">
        <f t="shared" si="17"/>
        <v>0.84915444720531752</v>
      </c>
      <c r="AH56">
        <f t="shared" si="18"/>
        <v>-0.10630657578274708</v>
      </c>
    </row>
    <row r="57" spans="1:34" x14ac:dyDescent="0.3">
      <c r="A57" s="91">
        <f t="shared" si="0"/>
        <v>50276</v>
      </c>
      <c r="B57">
        <v>1.718</v>
      </c>
      <c r="C57">
        <f t="shared" si="19"/>
        <v>13.366666666666667</v>
      </c>
      <c r="D57">
        <v>2</v>
      </c>
      <c r="F57">
        <f>0</f>
        <v>0</v>
      </c>
      <c r="G57">
        <f t="shared" si="20"/>
        <v>1</v>
      </c>
      <c r="H57">
        <f t="shared" si="2"/>
        <v>1.718</v>
      </c>
      <c r="I57">
        <f t="shared" si="3"/>
        <v>-0.22963933333333336</v>
      </c>
      <c r="K57">
        <v>3.5440568302308773</v>
      </c>
      <c r="L57">
        <f t="shared" si="4"/>
        <v>0.98258825688442064</v>
      </c>
      <c r="M57">
        <f t="shared" si="5"/>
        <v>1.0742114662488951</v>
      </c>
      <c r="N57">
        <f t="shared" si="6"/>
        <v>-0.14108617881028351</v>
      </c>
      <c r="P57">
        <v>5.2439266031589922</v>
      </c>
      <c r="Q57">
        <f t="shared" si="7"/>
        <v>0.97445027148940611</v>
      </c>
      <c r="R57">
        <f t="shared" si="8"/>
        <v>0.8600663639341628</v>
      </c>
      <c r="S57">
        <f t="shared" si="9"/>
        <v>-0.1120249508785517</v>
      </c>
      <c r="U57">
        <v>5.5445488602680841</v>
      </c>
      <c r="V57">
        <f t="shared" si="10"/>
        <v>0.97302507465650512</v>
      </c>
      <c r="W57">
        <f t="shared" si="11"/>
        <v>0.8270636824674843</v>
      </c>
      <c r="X57">
        <f t="shared" si="12"/>
        <v>-0.10756874475094061</v>
      </c>
      <c r="Z57">
        <v>5.552419754611547</v>
      </c>
      <c r="AA57">
        <f t="shared" si="13"/>
        <v>0.97298781614324936</v>
      </c>
      <c r="AB57">
        <f t="shared" si="14"/>
        <v>0.82621746965121268</v>
      </c>
      <c r="AC57">
        <f t="shared" si="15"/>
        <v>-0.10745457070452974</v>
      </c>
      <c r="AE57">
        <v>5.5524249607447347</v>
      </c>
      <c r="AF57">
        <f t="shared" si="16"/>
        <v>0.97298779149988091</v>
      </c>
      <c r="AG57">
        <f t="shared" si="17"/>
        <v>0.82621691022860422</v>
      </c>
      <c r="AH57">
        <f t="shared" si="18"/>
        <v>-0.10745449522668574</v>
      </c>
    </row>
    <row r="58" spans="1:34" x14ac:dyDescent="0.3">
      <c r="A58" s="91">
        <f t="shared" si="0"/>
        <v>50460</v>
      </c>
      <c r="B58">
        <v>1.718</v>
      </c>
      <c r="C58">
        <f t="shared" si="19"/>
        <v>13.866666666666667</v>
      </c>
      <c r="D58">
        <v>2</v>
      </c>
      <c r="F58">
        <f>0</f>
        <v>0</v>
      </c>
      <c r="G58">
        <f t="shared" si="20"/>
        <v>1</v>
      </c>
      <c r="H58">
        <f t="shared" si="2"/>
        <v>1.718</v>
      </c>
      <c r="I58">
        <f t="shared" si="3"/>
        <v>-0.23822933333333335</v>
      </c>
      <c r="K58">
        <v>3.5440568302308773</v>
      </c>
      <c r="L58">
        <f t="shared" si="4"/>
        <v>0.98258825688442064</v>
      </c>
      <c r="M58">
        <f t="shared" si="5"/>
        <v>1.0555075721467595</v>
      </c>
      <c r="N58">
        <f t="shared" si="6"/>
        <v>-0.14381526923490012</v>
      </c>
      <c r="P58">
        <v>5.2439266031589922</v>
      </c>
      <c r="Q58">
        <f t="shared" si="7"/>
        <v>0.97445027148940611</v>
      </c>
      <c r="R58">
        <f t="shared" si="8"/>
        <v>0.83809190183455129</v>
      </c>
      <c r="S58">
        <f t="shared" si="9"/>
        <v>-0.11324613820357084</v>
      </c>
      <c r="U58">
        <v>5.5445488602680841</v>
      </c>
      <c r="V58">
        <f t="shared" si="10"/>
        <v>0.97302507465650512</v>
      </c>
      <c r="W58">
        <f t="shared" si="11"/>
        <v>0.80475370137860802</v>
      </c>
      <c r="X58">
        <f t="shared" si="12"/>
        <v>-0.10858231354381064</v>
      </c>
      <c r="Z58">
        <v>5.552419754611547</v>
      </c>
      <c r="AA58">
        <f t="shared" si="13"/>
        <v>0.97298781614324936</v>
      </c>
      <c r="AB58">
        <f t="shared" si="14"/>
        <v>0.80389953145533488</v>
      </c>
      <c r="AC58">
        <f t="shared" si="15"/>
        <v>-0.10846291033195735</v>
      </c>
      <c r="AE58">
        <v>5.5524249607447347</v>
      </c>
      <c r="AF58">
        <f t="shared" si="16"/>
        <v>0.97298779149988091</v>
      </c>
      <c r="AG58">
        <f t="shared" si="17"/>
        <v>0.80389896678318484</v>
      </c>
      <c r="AH58">
        <f t="shared" si="18"/>
        <v>-0.10846283139874446</v>
      </c>
    </row>
    <row r="59" spans="1:34" x14ac:dyDescent="0.3">
      <c r="A59" s="91">
        <f t="shared" si="0"/>
        <v>50641</v>
      </c>
      <c r="B59">
        <v>1.718</v>
      </c>
      <c r="C59">
        <f t="shared" si="19"/>
        <v>14.366666666666667</v>
      </c>
      <c r="D59">
        <v>2</v>
      </c>
      <c r="F59">
        <f>0</f>
        <v>0</v>
      </c>
      <c r="G59">
        <f t="shared" si="20"/>
        <v>1</v>
      </c>
      <c r="H59">
        <f t="shared" si="2"/>
        <v>1.718</v>
      </c>
      <c r="I59">
        <f t="shared" si="3"/>
        <v>-0.24681933333333336</v>
      </c>
      <c r="K59">
        <v>3.5440568302308773</v>
      </c>
      <c r="L59">
        <f t="shared" si="4"/>
        <v>0.98258825688442064</v>
      </c>
      <c r="M59">
        <f t="shared" si="5"/>
        <v>1.0371293454439914</v>
      </c>
      <c r="N59">
        <f t="shared" si="6"/>
        <v>-0.14640655028940167</v>
      </c>
      <c r="P59">
        <v>5.2439266031589922</v>
      </c>
      <c r="Q59">
        <f t="shared" si="7"/>
        <v>0.97445027148940611</v>
      </c>
      <c r="R59">
        <f t="shared" si="8"/>
        <v>0.81667888127575117</v>
      </c>
      <c r="S59">
        <f t="shared" si="9"/>
        <v>-0.1143317949054905</v>
      </c>
      <c r="U59">
        <v>5.5445488602680841</v>
      </c>
      <c r="V59">
        <f t="shared" si="10"/>
        <v>0.97302507465650512</v>
      </c>
      <c r="W59">
        <f t="shared" si="11"/>
        <v>0.78304553036401892</v>
      </c>
      <c r="X59">
        <f t="shared" si="12"/>
        <v>-0.10946292842055184</v>
      </c>
      <c r="Z59">
        <v>5.552419754611547</v>
      </c>
      <c r="AA59">
        <f t="shared" si="13"/>
        <v>0.97298781614324936</v>
      </c>
      <c r="AB59">
        <f t="shared" si="14"/>
        <v>0.78218444950930766</v>
      </c>
      <c r="AC59">
        <f t="shared" si="15"/>
        <v>-0.10933836995317861</v>
      </c>
      <c r="AE59">
        <v>5.5524249607447347</v>
      </c>
      <c r="AF59">
        <f t="shared" si="16"/>
        <v>0.97298779149988091</v>
      </c>
      <c r="AG59">
        <f t="shared" si="17"/>
        <v>0.78218388027940711</v>
      </c>
      <c r="AH59">
        <f t="shared" si="18"/>
        <v>-0.10933828761358766</v>
      </c>
    </row>
    <row r="60" spans="1:34" x14ac:dyDescent="0.3">
      <c r="A60" s="91">
        <f t="shared" si="0"/>
        <v>50825</v>
      </c>
      <c r="B60">
        <v>1.718</v>
      </c>
      <c r="C60">
        <f t="shared" si="19"/>
        <v>14.866666666666667</v>
      </c>
      <c r="D60">
        <v>2</v>
      </c>
      <c r="F60">
        <f>0</f>
        <v>0</v>
      </c>
      <c r="G60">
        <f t="shared" si="20"/>
        <v>1</v>
      </c>
      <c r="H60">
        <f t="shared" si="2"/>
        <v>1.718</v>
      </c>
      <c r="I60">
        <f t="shared" si="3"/>
        <v>-0.25540933333333338</v>
      </c>
      <c r="K60">
        <v>3.5440568302308773</v>
      </c>
      <c r="L60">
        <f t="shared" si="4"/>
        <v>0.98258825688442064</v>
      </c>
      <c r="M60">
        <f t="shared" si="5"/>
        <v>1.0190711157034917</v>
      </c>
      <c r="N60">
        <f t="shared" si="6"/>
        <v>-0.14886399360142621</v>
      </c>
      <c r="P60">
        <v>5.2439266031589922</v>
      </c>
      <c r="Q60">
        <f t="shared" si="7"/>
        <v>0.97445027148940611</v>
      </c>
      <c r="R60">
        <f t="shared" si="8"/>
        <v>0.79581295757882009</v>
      </c>
      <c r="S60">
        <f t="shared" si="9"/>
        <v>-0.11528804934836365</v>
      </c>
      <c r="U60">
        <v>5.5445488602680841</v>
      </c>
      <c r="V60">
        <f t="shared" si="10"/>
        <v>0.97302507465650512</v>
      </c>
      <c r="W60">
        <f t="shared" si="11"/>
        <v>0.76192293564189217</v>
      </c>
      <c r="X60">
        <f t="shared" si="12"/>
        <v>-0.11021702470520442</v>
      </c>
      <c r="Z60">
        <v>5.552419754611547</v>
      </c>
      <c r="AA60">
        <f t="shared" si="13"/>
        <v>0.97298781614324936</v>
      </c>
      <c r="AB60">
        <f t="shared" si="14"/>
        <v>0.76105593934927096</v>
      </c>
      <c r="AC60">
        <f t="shared" si="15"/>
        <v>-0.1100873925833574</v>
      </c>
      <c r="AE60">
        <v>5.5524249607447347</v>
      </c>
      <c r="AF60">
        <f t="shared" si="16"/>
        <v>0.97298779149988091</v>
      </c>
      <c r="AG60">
        <f t="shared" si="17"/>
        <v>0.76105536621986769</v>
      </c>
      <c r="AH60">
        <f t="shared" si="18"/>
        <v>-0.11008730689146046</v>
      </c>
    </row>
    <row r="61" spans="1:34" x14ac:dyDescent="0.3">
      <c r="A61" s="91">
        <f t="shared" si="0"/>
        <v>51006</v>
      </c>
      <c r="B61">
        <v>1.718</v>
      </c>
      <c r="C61">
        <f t="shared" si="19"/>
        <v>15.366666666666667</v>
      </c>
      <c r="D61">
        <v>2</v>
      </c>
      <c r="F61">
        <f>0</f>
        <v>0</v>
      </c>
      <c r="G61">
        <f t="shared" si="20"/>
        <v>1</v>
      </c>
      <c r="H61">
        <f t="shared" si="2"/>
        <v>1.718</v>
      </c>
      <c r="I61">
        <f t="shared" si="3"/>
        <v>-0.26399933333333336</v>
      </c>
      <c r="K61">
        <v>3.5440568302308773</v>
      </c>
      <c r="L61">
        <f t="shared" si="4"/>
        <v>0.98258825688442064</v>
      </c>
      <c r="M61">
        <f t="shared" si="5"/>
        <v>1.0013273112203558</v>
      </c>
      <c r="N61">
        <f t="shared" si="6"/>
        <v>-0.15119147427219282</v>
      </c>
      <c r="P61">
        <v>5.2439266031589922</v>
      </c>
      <c r="Q61">
        <f t="shared" si="7"/>
        <v>0.97445027148940611</v>
      </c>
      <c r="R61">
        <f t="shared" si="8"/>
        <v>0.77548015256746849</v>
      </c>
      <c r="S61">
        <f t="shared" si="9"/>
        <v>-0.11612080521301708</v>
      </c>
      <c r="U61">
        <v>5.5445488602680841</v>
      </c>
      <c r="V61">
        <f t="shared" si="10"/>
        <v>0.97302507465650512</v>
      </c>
      <c r="W61">
        <f t="shared" si="11"/>
        <v>0.74137012133545566</v>
      </c>
      <c r="X61">
        <f t="shared" si="12"/>
        <v>-0.11085078728050207</v>
      </c>
      <c r="Z61">
        <v>5.552419754611547</v>
      </c>
      <c r="AA61">
        <f t="shared" si="13"/>
        <v>0.97298781614324936</v>
      </c>
      <c r="AB61">
        <f t="shared" si="14"/>
        <v>0.74049815639029637</v>
      </c>
      <c r="AC61">
        <f t="shared" si="15"/>
        <v>-0.11071617011480694</v>
      </c>
      <c r="AE61">
        <v>5.5524249607447347</v>
      </c>
      <c r="AF61">
        <f t="shared" si="16"/>
        <v>0.97298779149988091</v>
      </c>
      <c r="AG61">
        <f t="shared" si="17"/>
        <v>0.74049757998740207</v>
      </c>
      <c r="AH61">
        <f t="shared" si="18"/>
        <v>-0.11071608112930646</v>
      </c>
    </row>
    <row r="62" spans="1:34" x14ac:dyDescent="0.3">
      <c r="A62" s="91">
        <f t="shared" si="0"/>
        <v>51190</v>
      </c>
      <c r="B62">
        <v>1.718</v>
      </c>
      <c r="C62">
        <f t="shared" si="19"/>
        <v>15.866666666666667</v>
      </c>
      <c r="D62">
        <v>2</v>
      </c>
      <c r="F62">
        <f>0</f>
        <v>0</v>
      </c>
      <c r="G62">
        <f t="shared" si="20"/>
        <v>1</v>
      </c>
      <c r="H62">
        <f t="shared" si="2"/>
        <v>1.718</v>
      </c>
      <c r="I62">
        <f t="shared" si="3"/>
        <v>-0.27258933333333335</v>
      </c>
      <c r="K62">
        <v>3.5440568302308773</v>
      </c>
      <c r="L62">
        <f t="shared" si="4"/>
        <v>0.98258825688442064</v>
      </c>
      <c r="M62">
        <f t="shared" si="5"/>
        <v>0.98389245730277308</v>
      </c>
      <c r="N62">
        <f t="shared" si="6"/>
        <v>-0.15339277303381399</v>
      </c>
      <c r="P62">
        <v>5.2439266031589922</v>
      </c>
      <c r="Q62">
        <f t="shared" si="7"/>
        <v>0.97445027148940611</v>
      </c>
      <c r="R62">
        <f t="shared" si="8"/>
        <v>0.75566684520401584</v>
      </c>
      <c r="S62">
        <f t="shared" si="9"/>
        <v>-0.11683574897771595</v>
      </c>
      <c r="U62">
        <v>5.5445488602680841</v>
      </c>
      <c r="V62">
        <f t="shared" si="10"/>
        <v>0.97302507465650512</v>
      </c>
      <c r="W62">
        <f t="shared" si="11"/>
        <v>0.72137171766053398</v>
      </c>
      <c r="X62">
        <f t="shared" si="12"/>
        <v>-0.11137015941650155</v>
      </c>
      <c r="Z62">
        <v>5.552419754611547</v>
      </c>
      <c r="AA62">
        <f t="shared" si="13"/>
        <v>0.97298781614324936</v>
      </c>
      <c r="AB62">
        <f t="shared" si="14"/>
        <v>0.72049568404429676</v>
      </c>
      <c r="AC62">
        <f t="shared" si="15"/>
        <v>-0.11123065218254499</v>
      </c>
      <c r="AE62">
        <v>5.5524249607447347</v>
      </c>
      <c r="AF62">
        <f t="shared" si="16"/>
        <v>0.97298779149988091</v>
      </c>
      <c r="AG62">
        <f t="shared" si="17"/>
        <v>0.72049510496294877</v>
      </c>
      <c r="AH62">
        <f t="shared" si="18"/>
        <v>-0.11123055996634741</v>
      </c>
    </row>
    <row r="63" spans="1:34" x14ac:dyDescent="0.3">
      <c r="A63" s="91">
        <f t="shared" si="0"/>
        <v>51372</v>
      </c>
      <c r="B63">
        <v>1.718</v>
      </c>
      <c r="C63">
        <f t="shared" si="19"/>
        <v>16.366666666666667</v>
      </c>
      <c r="D63">
        <v>2</v>
      </c>
      <c r="F63">
        <f>0</f>
        <v>0</v>
      </c>
      <c r="G63">
        <f t="shared" si="20"/>
        <v>1</v>
      </c>
      <c r="H63">
        <f t="shared" si="2"/>
        <v>1.718</v>
      </c>
      <c r="I63">
        <f t="shared" si="3"/>
        <v>-0.28117933333333334</v>
      </c>
      <c r="K63">
        <v>3.5440568302308773</v>
      </c>
      <c r="L63">
        <f t="shared" si="4"/>
        <v>0.98258825688442064</v>
      </c>
      <c r="M63">
        <f t="shared" si="5"/>
        <v>0.96676117458286093</v>
      </c>
      <c r="N63">
        <f t="shared" si="6"/>
        <v>-0.15547157836074738</v>
      </c>
      <c r="P63">
        <v>5.2439266031589922</v>
      </c>
      <c r="Q63">
        <f t="shared" si="7"/>
        <v>0.97445027148940611</v>
      </c>
      <c r="R63">
        <f t="shared" si="8"/>
        <v>0.73635976246459622</v>
      </c>
      <c r="S63">
        <f t="shared" si="9"/>
        <v>-0.1174383571632409</v>
      </c>
      <c r="U63">
        <v>5.5445488602680841</v>
      </c>
      <c r="V63">
        <f t="shared" si="10"/>
        <v>0.97302507465650512</v>
      </c>
      <c r="W63">
        <f t="shared" si="11"/>
        <v>0.70191276943173242</v>
      </c>
      <c r="X63">
        <f t="shared" si="12"/>
        <v>-0.11178085130514162</v>
      </c>
      <c r="Z63">
        <v>5.552419754611547</v>
      </c>
      <c r="AA63">
        <f t="shared" si="13"/>
        <v>0.97298781614324936</v>
      </c>
      <c r="AB63">
        <f t="shared" si="14"/>
        <v>0.70103352215889703</v>
      </c>
      <c r="AC63">
        <f t="shared" si="15"/>
        <v>-0.1116365547341268</v>
      </c>
      <c r="AE63">
        <v>5.5524249607447347</v>
      </c>
      <c r="AF63">
        <f t="shared" si="16"/>
        <v>0.97298779149988091</v>
      </c>
      <c r="AG63">
        <f t="shared" si="17"/>
        <v>0.70103294096437441</v>
      </c>
      <c r="AH63">
        <f t="shared" si="18"/>
        <v>-0.11163645935393941</v>
      </c>
    </row>
    <row r="64" spans="1:34" x14ac:dyDescent="0.3">
      <c r="A64" s="91">
        <f t="shared" si="0"/>
        <v>51556</v>
      </c>
      <c r="B64">
        <v>1.718</v>
      </c>
      <c r="C64">
        <f t="shared" si="19"/>
        <v>16.866666666666667</v>
      </c>
      <c r="D64">
        <v>2</v>
      </c>
      <c r="F64">
        <f>0</f>
        <v>0</v>
      </c>
      <c r="G64">
        <f t="shared" si="20"/>
        <v>1</v>
      </c>
      <c r="H64">
        <f t="shared" si="2"/>
        <v>1.718</v>
      </c>
      <c r="I64">
        <f t="shared" si="3"/>
        <v>-0.28976933333333338</v>
      </c>
      <c r="K64">
        <v>3.5440568302308773</v>
      </c>
      <c r="L64">
        <f t="shared" si="4"/>
        <v>0.98258825688442064</v>
      </c>
      <c r="M64">
        <f t="shared" si="5"/>
        <v>0.94992817735690838</v>
      </c>
      <c r="N64">
        <f t="shared" si="6"/>
        <v>-0.15743148853632893</v>
      </c>
      <c r="P64">
        <v>5.2439266031589922</v>
      </c>
      <c r="Q64">
        <f t="shared" si="7"/>
        <v>0.97445027148940611</v>
      </c>
      <c r="R64">
        <f t="shared" si="8"/>
        <v>0.71754597044750035</v>
      </c>
      <c r="S64">
        <f t="shared" si="9"/>
        <v>-0.11793390334953342</v>
      </c>
      <c r="U64">
        <v>5.5445488602680841</v>
      </c>
      <c r="V64">
        <f t="shared" si="10"/>
        <v>0.97302507465650512</v>
      </c>
      <c r="W64">
        <f t="shared" si="11"/>
        <v>0.68297872487866562</v>
      </c>
      <c r="X64">
        <f t="shared" si="12"/>
        <v>-0.11208834831017246</v>
      </c>
      <c r="Z64">
        <v>5.552419754611547</v>
      </c>
      <c r="AA64">
        <f t="shared" si="13"/>
        <v>0.97298781614324936</v>
      </c>
      <c r="AB64">
        <f t="shared" si="14"/>
        <v>0.68209707576859535</v>
      </c>
      <c r="AC64">
        <f t="shared" si="15"/>
        <v>-0.11193936831326325</v>
      </c>
      <c r="AE64">
        <v>5.5524249607447347</v>
      </c>
      <c r="AF64">
        <f t="shared" si="16"/>
        <v>0.97298779149988091</v>
      </c>
      <c r="AG64">
        <f t="shared" si="17"/>
        <v>0.68209649299759301</v>
      </c>
      <c r="AH64">
        <f t="shared" si="18"/>
        <v>-0.11193926983921342</v>
      </c>
    </row>
    <row r="65" spans="1:34" x14ac:dyDescent="0.3">
      <c r="A65" s="91">
        <f t="shared" si="0"/>
        <v>51737</v>
      </c>
      <c r="B65">
        <v>1.718</v>
      </c>
      <c r="C65">
        <f t="shared" si="19"/>
        <v>17.366666666666667</v>
      </c>
      <c r="D65">
        <v>2</v>
      </c>
      <c r="F65">
        <f>0</f>
        <v>0</v>
      </c>
      <c r="G65">
        <f t="shared" si="20"/>
        <v>1</v>
      </c>
      <c r="H65">
        <f t="shared" si="2"/>
        <v>1.718</v>
      </c>
      <c r="I65">
        <f t="shared" si="3"/>
        <v>-0.29835933333333337</v>
      </c>
      <c r="K65">
        <v>3.5440568302308773</v>
      </c>
      <c r="L65">
        <f t="shared" si="4"/>
        <v>0.98258825688442064</v>
      </c>
      <c r="M65">
        <f t="shared" si="5"/>
        <v>0.93338827195451934</v>
      </c>
      <c r="N65">
        <f t="shared" si="6"/>
        <v>-0.15927601367531186</v>
      </c>
      <c r="P65">
        <v>5.2439266031589922</v>
      </c>
      <c r="Q65">
        <f t="shared" si="7"/>
        <v>0.97445027148940611</v>
      </c>
      <c r="R65">
        <f t="shared" si="8"/>
        <v>0.69921286570869612</v>
      </c>
      <c r="S65">
        <f t="shared" si="9"/>
        <v>-0.11832746497085185</v>
      </c>
      <c r="U65">
        <v>5.5445488602680841</v>
      </c>
      <c r="V65">
        <f t="shared" si="10"/>
        <v>0.97302507465650512</v>
      </c>
      <c r="W65">
        <f t="shared" si="11"/>
        <v>0.66455542476386842</v>
      </c>
      <c r="X65">
        <f t="shared" si="12"/>
        <v>-0.11229791894160117</v>
      </c>
      <c r="Z65">
        <v>5.552419754611547</v>
      </c>
      <c r="AA65">
        <f t="shared" si="13"/>
        <v>0.97298781614324936</v>
      </c>
      <c r="AB65">
        <f t="shared" si="14"/>
        <v>0.66367214414978204</v>
      </c>
      <c r="AC65">
        <f t="shared" si="15"/>
        <v>-0.11214436606643387</v>
      </c>
      <c r="AE65">
        <v>5.5524249607447347</v>
      </c>
      <c r="AF65">
        <f t="shared" si="16"/>
        <v>0.97298779149988091</v>
      </c>
      <c r="AG65">
        <f t="shared" si="17"/>
        <v>0.66367156031154206</v>
      </c>
      <c r="AH65">
        <f t="shared" si="18"/>
        <v>-0.11214426457170955</v>
      </c>
    </row>
    <row r="66" spans="1:34" x14ac:dyDescent="0.3">
      <c r="A66" s="91">
        <f t="shared" si="0"/>
        <v>51921</v>
      </c>
      <c r="B66">
        <v>1.718</v>
      </c>
      <c r="C66">
        <f t="shared" si="19"/>
        <v>17.866666666666667</v>
      </c>
      <c r="D66">
        <v>2</v>
      </c>
      <c r="F66">
        <f>0</f>
        <v>0</v>
      </c>
      <c r="G66">
        <f t="shared" si="20"/>
        <v>1</v>
      </c>
      <c r="H66">
        <f t="shared" si="2"/>
        <v>1.718</v>
      </c>
      <c r="I66">
        <f t="shared" si="3"/>
        <v>-0.30694933333333335</v>
      </c>
      <c r="K66">
        <v>3.5440568302308773</v>
      </c>
      <c r="L66">
        <f t="shared" si="4"/>
        <v>0.98258825688442064</v>
      </c>
      <c r="M66">
        <f t="shared" si="5"/>
        <v>0.91713635513615266</v>
      </c>
      <c r="N66">
        <f t="shared" si="6"/>
        <v>-0.16100857770331661</v>
      </c>
      <c r="P66">
        <v>5.2439266031589922</v>
      </c>
      <c r="Q66">
        <f t="shared" si="7"/>
        <v>0.97445027148940611</v>
      </c>
      <c r="R66">
        <f t="shared" si="8"/>
        <v>0.68134816681872457</v>
      </c>
      <c r="S66">
        <f t="shared" si="9"/>
        <v>-0.11862392989617634</v>
      </c>
      <c r="U66">
        <v>5.5445488602680841</v>
      </c>
      <c r="V66">
        <f t="shared" si="10"/>
        <v>0.97302507465650512</v>
      </c>
      <c r="W66">
        <f t="shared" si="11"/>
        <v>0.64662909179424843</v>
      </c>
      <c r="X66">
        <f t="shared" si="12"/>
        <v>-0.11241462256351245</v>
      </c>
      <c r="Z66">
        <v>5.552419754611547</v>
      </c>
      <c r="AA66">
        <f t="shared" si="13"/>
        <v>0.97298781614324936</v>
      </c>
      <c r="AB66">
        <f t="shared" si="14"/>
        <v>0.64574491017140423</v>
      </c>
      <c r="AC66">
        <f t="shared" si="15"/>
        <v>-0.11225661148141508</v>
      </c>
      <c r="AE66">
        <v>5.5524249607447347</v>
      </c>
      <c r="AF66">
        <f t="shared" si="16"/>
        <v>0.97298779149988091</v>
      </c>
      <c r="AG66">
        <f t="shared" si="17"/>
        <v>0.64574432574880736</v>
      </c>
      <c r="AH66">
        <f t="shared" si="18"/>
        <v>-0.11225650704192558</v>
      </c>
    </row>
    <row r="67" spans="1:34" x14ac:dyDescent="0.3">
      <c r="A67" s="91">
        <f>EDATE(A66,3)</f>
        <v>52010</v>
      </c>
      <c r="B67">
        <f>(A67-A66)*C15/360</f>
        <v>1.7162166666666665</v>
      </c>
      <c r="C67">
        <f>(A67-B2)/360</f>
        <v>18.377777777777776</v>
      </c>
      <c r="D67">
        <v>4</v>
      </c>
      <c r="F67">
        <f>0</f>
        <v>0</v>
      </c>
      <c r="G67">
        <f t="shared" si="20"/>
        <v>1</v>
      </c>
      <c r="H67">
        <f t="shared" si="2"/>
        <v>1.7162166666666665</v>
      </c>
      <c r="I67">
        <f t="shared" si="3"/>
        <v>-0.31540248518518516</v>
      </c>
      <c r="K67">
        <v>3.5440568302308773</v>
      </c>
      <c r="L67">
        <f t="shared" si="4"/>
        <v>0.99121767061056776</v>
      </c>
      <c r="M67">
        <f t="shared" si="5"/>
        <v>0.89733306604251906</v>
      </c>
      <c r="N67">
        <f t="shared" si="6"/>
        <v>-0.16346158394615226</v>
      </c>
      <c r="P67">
        <v>5.2439266031589922</v>
      </c>
      <c r="Q67">
        <f t="shared" si="7"/>
        <v>0.98705982678848581</v>
      </c>
      <c r="R67">
        <f t="shared" si="8"/>
        <v>0.6588018201731346</v>
      </c>
      <c r="S67">
        <f t="shared" si="9"/>
        <v>-0.11950642717558746</v>
      </c>
      <c r="U67">
        <v>5.5445488602680841</v>
      </c>
      <c r="V67">
        <f t="shared" si="10"/>
        <v>0.98632813860807567</v>
      </c>
      <c r="W67">
        <f t="shared" si="11"/>
        <v>0.62385015450396897</v>
      </c>
      <c r="X67">
        <f t="shared" si="12"/>
        <v>-0.11308231895437536</v>
      </c>
      <c r="Z67">
        <v>5.552419754611547</v>
      </c>
      <c r="AA67">
        <f t="shared" si="13"/>
        <v>0.98630899611455614</v>
      </c>
      <c r="AB67">
        <f t="shared" si="14"/>
        <v>0.6229607387744307</v>
      </c>
      <c r="AC67">
        <f t="shared" si="15"/>
        <v>-0.11291890728605697</v>
      </c>
      <c r="AE67">
        <v>5.5524249607447347</v>
      </c>
      <c r="AF67">
        <f t="shared" si="16"/>
        <v>0.98630898345316953</v>
      </c>
      <c r="AG67">
        <f t="shared" si="17"/>
        <v>0.62296015090383605</v>
      </c>
      <c r="AH67">
        <f t="shared" si="18"/>
        <v>-0.11291879927809355</v>
      </c>
    </row>
    <row r="68" spans="1:34" x14ac:dyDescent="0.3">
      <c r="A68" s="91">
        <f t="shared" ref="A68:A70" si="21">EDATE(A67,3)</f>
        <v>52102</v>
      </c>
      <c r="B68">
        <f>(A68-A67)*C15/360</f>
        <v>1.7740666666666667</v>
      </c>
      <c r="C68">
        <f>(A68-B2)/360</f>
        <v>18.633333333333333</v>
      </c>
      <c r="D68">
        <v>4</v>
      </c>
      <c r="F68">
        <f>0</f>
        <v>0</v>
      </c>
      <c r="G68">
        <f t="shared" si="20"/>
        <v>1</v>
      </c>
      <c r="H68">
        <f t="shared" si="2"/>
        <v>1.7740666666666667</v>
      </c>
      <c r="I68">
        <f t="shared" si="3"/>
        <v>-0.33056775555555556</v>
      </c>
      <c r="K68">
        <v>3.5440568302308773</v>
      </c>
      <c r="L68">
        <f t="shared" si="4"/>
        <v>0.99121767061056776</v>
      </c>
      <c r="M68">
        <f t="shared" si="5"/>
        <v>0.91925371847256243</v>
      </c>
      <c r="N68">
        <f t="shared" si="6"/>
        <v>-0.16978330533472735</v>
      </c>
      <c r="P68">
        <v>5.2439266031589922</v>
      </c>
      <c r="Q68">
        <f t="shared" si="7"/>
        <v>0.98705982678848581</v>
      </c>
      <c r="R68">
        <f t="shared" si="8"/>
        <v>0.67200172381868439</v>
      </c>
      <c r="S68">
        <f t="shared" si="9"/>
        <v>-0.12359600031958178</v>
      </c>
      <c r="U68">
        <v>5.5445488602680841</v>
      </c>
      <c r="V68">
        <f t="shared" si="10"/>
        <v>0.98632813860807567</v>
      </c>
      <c r="W68">
        <f t="shared" si="11"/>
        <v>0.63586756639174669</v>
      </c>
      <c r="X68">
        <f t="shared" si="12"/>
        <v>-0.11686343563222464</v>
      </c>
      <c r="Z68">
        <v>5.552419754611547</v>
      </c>
      <c r="AA68">
        <f t="shared" si="13"/>
        <v>0.98630899611455614</v>
      </c>
      <c r="AB68">
        <f t="shared" si="14"/>
        <v>0.63494842051623379</v>
      </c>
      <c r="AC68">
        <f t="shared" si="15"/>
        <v>-0.11669224487538477</v>
      </c>
      <c r="AE68">
        <v>5.5524249607447347</v>
      </c>
      <c r="AF68">
        <f t="shared" si="16"/>
        <v>0.98630898345316953</v>
      </c>
      <c r="AG68">
        <f t="shared" si="17"/>
        <v>0.63494781300115444</v>
      </c>
      <c r="AH68">
        <f t="shared" si="18"/>
        <v>-0.11669213172690761</v>
      </c>
    </row>
    <row r="69" spans="1:34" x14ac:dyDescent="0.3">
      <c r="A69" s="91">
        <f t="shared" si="21"/>
        <v>52194</v>
      </c>
      <c r="B69">
        <f>(A69-A68)*C15/360</f>
        <v>1.7740666666666667</v>
      </c>
      <c r="C69">
        <f>(A69-B2)/360</f>
        <v>18.888888888888889</v>
      </c>
      <c r="D69">
        <v>4</v>
      </c>
      <c r="F69">
        <f>0</f>
        <v>0</v>
      </c>
      <c r="G69">
        <f t="shared" si="20"/>
        <v>1</v>
      </c>
      <c r="H69">
        <f>B69*POWER(G69,C69*D69)</f>
        <v>1.7740666666666667</v>
      </c>
      <c r="I69">
        <f t="shared" si="3"/>
        <v>-0.3351014814814815</v>
      </c>
      <c r="K69">
        <v>3.5440568302308773</v>
      </c>
      <c r="L69">
        <f t="shared" si="4"/>
        <v>0.99121767061056776</v>
      </c>
      <c r="M69">
        <f t="shared" si="5"/>
        <v>0.91100193294067688</v>
      </c>
      <c r="N69">
        <f t="shared" si="6"/>
        <v>-0.17056689595722338</v>
      </c>
      <c r="P69">
        <v>5.2439266031589922</v>
      </c>
      <c r="Q69">
        <f t="shared" si="7"/>
        <v>0.98705982678848581</v>
      </c>
      <c r="R69">
        <f t="shared" si="8"/>
        <v>0.66311394818969926</v>
      </c>
      <c r="S69">
        <f t="shared" si="9"/>
        <v>-0.12363403733666234</v>
      </c>
      <c r="U69">
        <v>5.5445488602680841</v>
      </c>
      <c r="V69">
        <f t="shared" si="10"/>
        <v>0.98632813860807567</v>
      </c>
      <c r="W69">
        <f t="shared" si="11"/>
        <v>0.62698224045048356</v>
      </c>
      <c r="X69">
        <f t="shared" si="12"/>
        <v>-0.11681082049761543</v>
      </c>
      <c r="Z69">
        <v>5.552419754611547</v>
      </c>
      <c r="AA69">
        <f t="shared" si="13"/>
        <v>0.98630899611455614</v>
      </c>
      <c r="AB69">
        <f t="shared" si="14"/>
        <v>0.62606351751098577</v>
      </c>
      <c r="AC69">
        <f t="shared" si="15"/>
        <v>-0.11663739278692822</v>
      </c>
      <c r="AE69">
        <v>5.5524249607447347</v>
      </c>
      <c r="AF69">
        <f t="shared" si="16"/>
        <v>0.98630898345316953</v>
      </c>
      <c r="AG69">
        <f t="shared" si="17"/>
        <v>0.62606291028147754</v>
      </c>
      <c r="AH69">
        <f t="shared" si="18"/>
        <v>-0.11663727816107521</v>
      </c>
    </row>
    <row r="70" spans="1:34" x14ac:dyDescent="0.3">
      <c r="A70" s="91">
        <f t="shared" si="21"/>
        <v>52286</v>
      </c>
      <c r="B70">
        <f>B7+(A70-A69)*C15/360</f>
        <v>101.77406666666667</v>
      </c>
      <c r="C70">
        <f>(A70-B2)/360</f>
        <v>19.144444444444446</v>
      </c>
      <c r="D70">
        <v>4</v>
      </c>
      <c r="F70">
        <f>0</f>
        <v>0</v>
      </c>
      <c r="G70">
        <f t="shared" si="20"/>
        <v>1</v>
      </c>
      <c r="H70">
        <f t="shared" si="2"/>
        <v>101.77406666666667</v>
      </c>
      <c r="I70">
        <f t="shared" si="3"/>
        <v>-19.484079651851854</v>
      </c>
      <c r="K70">
        <v>3.5440568302308773</v>
      </c>
      <c r="L70">
        <f t="shared" si="4"/>
        <v>0.99121767061056776</v>
      </c>
      <c r="M70">
        <f t="shared" si="5"/>
        <v>51.792919697929904</v>
      </c>
      <c r="N70">
        <f t="shared" si="6"/>
        <v>-9.8283858427852469</v>
      </c>
      <c r="P70">
        <v>5.2439266031589922</v>
      </c>
      <c r="Q70">
        <f t="shared" si="7"/>
        <v>0.98705982678848581</v>
      </c>
      <c r="R70">
        <f t="shared" si="8"/>
        <v>37.538173003993478</v>
      </c>
      <c r="S70">
        <f t="shared" si="9"/>
        <v>-7.0934804491186698</v>
      </c>
      <c r="U70">
        <v>5.5445488602680841</v>
      </c>
      <c r="V70">
        <f t="shared" si="10"/>
        <v>0.98632813860807567</v>
      </c>
      <c r="W70">
        <f t="shared" si="11"/>
        <v>35.465901020534375</v>
      </c>
      <c r="X70">
        <f t="shared" si="12"/>
        <v>-6.6969212005730032</v>
      </c>
      <c r="Z70">
        <v>5.552419754611547</v>
      </c>
      <c r="AA70">
        <f t="shared" si="13"/>
        <v>0.98630899611455614</v>
      </c>
      <c r="AB70">
        <f t="shared" si="14"/>
        <v>35.41322992304309</v>
      </c>
      <c r="AC70">
        <f t="shared" si="15"/>
        <v>-6.6868456932916818</v>
      </c>
      <c r="AE70">
        <v>5.5524249607447347</v>
      </c>
      <c r="AF70">
        <f t="shared" si="16"/>
        <v>0.98630898345316953</v>
      </c>
      <c r="AG70">
        <f t="shared" si="17"/>
        <v>35.413195110450836</v>
      </c>
      <c r="AH70">
        <f t="shared" si="18"/>
        <v>-6.6868390340205313</v>
      </c>
    </row>
    <row r="71" spans="1:34" x14ac:dyDescent="0.3">
      <c r="A71" s="91"/>
      <c r="G71" t="s">
        <v>52</v>
      </c>
      <c r="H71">
        <f>SUM(H31:H70)</f>
        <v>168.88641666666672</v>
      </c>
      <c r="I71">
        <f>SUM(I31:I70)</f>
        <v>-26.103627374074076</v>
      </c>
      <c r="L71" t="s">
        <v>52</v>
      </c>
      <c r="M71">
        <f>SUM(M31:M70)</f>
        <v>100.1704357284848</v>
      </c>
      <c r="N71">
        <f>SUM(N31:N70)</f>
        <v>-13.999165306478659</v>
      </c>
      <c r="Q71" t="s">
        <v>52</v>
      </c>
      <c r="R71">
        <f>SUM(R31:R70)</f>
        <v>79.523121512586386</v>
      </c>
      <c r="S71">
        <f>SUM(S31:S70)</f>
        <v>-10.476415702200351</v>
      </c>
      <c r="V71" t="s">
        <v>52</v>
      </c>
      <c r="W71">
        <f>SUM(W31:W70)</f>
        <v>76.452068782929388</v>
      </c>
      <c r="X71">
        <f>SUM(X31:X70)</f>
        <v>-9.9596058250625195</v>
      </c>
      <c r="AA71" t="s">
        <v>52</v>
      </c>
      <c r="AB71">
        <f>SUM(AB31:AB70)</f>
        <v>76.373729560326339</v>
      </c>
      <c r="AC71">
        <f>SUM(AC31:AC70)</f>
        <v>-9.946450980511564</v>
      </c>
      <c r="AF71" t="s">
        <v>52</v>
      </c>
      <c r="AG71">
        <f>SUM(AG31:AG70)</f>
        <v>76.373677777800168</v>
      </c>
      <c r="AH71">
        <f>SUM(AH31:AH70)</f>
        <v>-9.9464422855875032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6336-A1F3-4457-8A26-7CAEC9A12214}">
  <dimension ref="A1:AC51"/>
  <sheetViews>
    <sheetView workbookViewId="0">
      <selection activeCell="B17" sqref="B17"/>
    </sheetView>
  </sheetViews>
  <sheetFormatPr defaultRowHeight="14.4" x14ac:dyDescent="0.3"/>
  <cols>
    <col min="1" max="1" width="30.6640625" bestFit="1" customWidth="1"/>
    <col min="2" max="2" width="11.6640625" bestFit="1" customWidth="1"/>
    <col min="3" max="3" width="11.88671875" bestFit="1" customWidth="1"/>
    <col min="4" max="4" width="17.33203125" bestFit="1" customWidth="1"/>
  </cols>
  <sheetData>
    <row r="1" spans="1:4" x14ac:dyDescent="0.3">
      <c r="A1" s="61" t="s">
        <v>110</v>
      </c>
      <c r="B1" s="91">
        <v>44782</v>
      </c>
      <c r="C1" s="63"/>
      <c r="D1" s="64"/>
    </row>
    <row r="2" spans="1:4" x14ac:dyDescent="0.3">
      <c r="A2" s="61" t="s">
        <v>111</v>
      </c>
      <c r="B2" s="91">
        <v>45413</v>
      </c>
      <c r="C2" s="65"/>
      <c r="D2" s="65"/>
    </row>
    <row r="3" spans="1:4" x14ac:dyDescent="0.3">
      <c r="A3" s="61" t="s">
        <v>113</v>
      </c>
      <c r="B3" s="91">
        <v>48892</v>
      </c>
      <c r="C3" s="65"/>
      <c r="D3" s="65"/>
    </row>
    <row r="4" spans="1:4" x14ac:dyDescent="0.3">
      <c r="A4" s="61" t="s">
        <v>114</v>
      </c>
      <c r="B4" s="91">
        <v>44874</v>
      </c>
      <c r="C4" s="65"/>
      <c r="D4" s="65"/>
    </row>
    <row r="5" spans="1:4" x14ac:dyDescent="0.3">
      <c r="A5" s="61" t="s">
        <v>115</v>
      </c>
      <c r="B5" s="91">
        <v>48800</v>
      </c>
      <c r="C5" s="65"/>
      <c r="D5" s="65"/>
    </row>
    <row r="6" spans="1:4" x14ac:dyDescent="0.3">
      <c r="A6" s="61" t="s">
        <v>116</v>
      </c>
      <c r="B6" s="18">
        <v>98</v>
      </c>
      <c r="C6" s="65"/>
      <c r="D6" s="65"/>
    </row>
    <row r="7" spans="1:4" x14ac:dyDescent="0.3">
      <c r="A7" s="61" t="s">
        <v>4</v>
      </c>
      <c r="B7" s="65">
        <v>100</v>
      </c>
      <c r="C7" s="65"/>
      <c r="D7" s="65"/>
    </row>
    <row r="8" spans="1:4" x14ac:dyDescent="0.3">
      <c r="A8" s="65"/>
      <c r="B8" s="61" t="s">
        <v>117</v>
      </c>
      <c r="C8" s="61" t="s">
        <v>118</v>
      </c>
    </row>
    <row r="9" spans="1:4" x14ac:dyDescent="0.3">
      <c r="A9" s="61" t="s">
        <v>119</v>
      </c>
      <c r="B9" s="65" t="s">
        <v>223</v>
      </c>
      <c r="C9" s="65" t="s">
        <v>120</v>
      </c>
      <c r="D9" s="65"/>
    </row>
    <row r="10" spans="1:4" x14ac:dyDescent="0.3">
      <c r="A10" s="61" t="s">
        <v>121</v>
      </c>
      <c r="B10" s="65">
        <v>2</v>
      </c>
      <c r="C10" s="65">
        <v>4</v>
      </c>
      <c r="D10" s="65"/>
    </row>
    <row r="11" spans="1:4" x14ac:dyDescent="0.3">
      <c r="A11" s="61" t="s">
        <v>122</v>
      </c>
      <c r="B11" s="62">
        <v>44782</v>
      </c>
      <c r="C11" s="62">
        <v>48527</v>
      </c>
      <c r="D11" s="65"/>
    </row>
    <row r="12" spans="1:4" x14ac:dyDescent="0.3">
      <c r="A12" s="61" t="s">
        <v>123</v>
      </c>
      <c r="B12" s="62">
        <v>48526</v>
      </c>
      <c r="C12" s="62">
        <v>48891</v>
      </c>
      <c r="D12" s="65"/>
    </row>
    <row r="13" spans="1:4" x14ac:dyDescent="0.3">
      <c r="A13" s="61" t="s">
        <v>192</v>
      </c>
      <c r="B13" s="62"/>
      <c r="C13">
        <v>5.32</v>
      </c>
      <c r="D13" s="65"/>
    </row>
    <row r="14" spans="1:4" x14ac:dyDescent="0.3">
      <c r="A14" s="61" t="s">
        <v>193</v>
      </c>
      <c r="B14" s="62"/>
      <c r="C14">
        <v>2.8650000000000002</v>
      </c>
      <c r="D14" s="65"/>
    </row>
    <row r="15" spans="1:4" x14ac:dyDescent="0.3">
      <c r="A15" s="61" t="s">
        <v>124</v>
      </c>
      <c r="B15">
        <v>5.4909999999999997</v>
      </c>
      <c r="C15">
        <f>C13+C14</f>
        <v>8.1850000000000005</v>
      </c>
      <c r="D15" s="65"/>
    </row>
    <row r="17" spans="1:29" x14ac:dyDescent="0.3">
      <c r="A17" s="61" t="s">
        <v>222</v>
      </c>
      <c r="B17" s="18">
        <f>(DATEDIF(A28,B2,"md")+DATEDIF(A28,B2,"ym")*30+DATEDIF(A28,B2,"y")*360)</f>
        <v>172</v>
      </c>
      <c r="C17" s="18"/>
    </row>
    <row r="18" spans="1:29" x14ac:dyDescent="0.3">
      <c r="A18" s="61" t="s">
        <v>140</v>
      </c>
      <c r="B18" s="18">
        <f>B17/360</f>
        <v>0.4777777777777778</v>
      </c>
      <c r="C18" s="18"/>
    </row>
    <row r="19" spans="1:29" x14ac:dyDescent="0.3">
      <c r="A19" s="61" t="s">
        <v>125</v>
      </c>
      <c r="B19" s="18">
        <f>B18*B15</f>
        <v>2.6234777777777776</v>
      </c>
      <c r="C19" s="18"/>
    </row>
    <row r="20" spans="1:29" x14ac:dyDescent="0.3">
      <c r="A20" s="61" t="s">
        <v>126</v>
      </c>
      <c r="B20" s="18">
        <f>B19+B6</f>
        <v>100.62347777777778</v>
      </c>
    </row>
    <row r="21" spans="1:29" x14ac:dyDescent="0.3">
      <c r="A21" s="61" t="s">
        <v>128</v>
      </c>
      <c r="B21" s="18">
        <f>AA24</f>
        <v>5.8949064966123652</v>
      </c>
    </row>
    <row r="22" spans="1:29" x14ac:dyDescent="0.3">
      <c r="A22" s="61" t="s">
        <v>130</v>
      </c>
      <c r="B22" s="65"/>
    </row>
    <row r="23" spans="1:29" x14ac:dyDescent="0.3">
      <c r="A23" s="18"/>
    </row>
    <row r="24" spans="1:29" x14ac:dyDescent="0.3">
      <c r="A24" s="61" t="s">
        <v>90</v>
      </c>
      <c r="F24" t="s">
        <v>131</v>
      </c>
      <c r="G24">
        <f>0</f>
        <v>0</v>
      </c>
      <c r="K24" t="s">
        <v>53</v>
      </c>
      <c r="L24">
        <f>G24+(B20-H51)/I51</f>
        <v>4.5509331389539067</v>
      </c>
      <c r="P24" t="s">
        <v>55</v>
      </c>
      <c r="Q24">
        <f>L24+(B20-M51)/N51</f>
        <v>5.8165995322743278</v>
      </c>
      <c r="U24" t="s">
        <v>57</v>
      </c>
      <c r="V24">
        <f>Q24+(B20-R51)/S51</f>
        <v>5.894631917311008</v>
      </c>
      <c r="Z24" s="13" t="s">
        <v>59</v>
      </c>
      <c r="AA24" s="13">
        <f>V24+(B20-W51)/X51</f>
        <v>5.8949064966123652</v>
      </c>
    </row>
    <row r="25" spans="1:29" x14ac:dyDescent="0.3">
      <c r="A25" s="61" t="s">
        <v>132</v>
      </c>
      <c r="B25" s="66" t="s">
        <v>133</v>
      </c>
      <c r="C25" s="66" t="s">
        <v>134</v>
      </c>
      <c r="D25" s="66" t="s">
        <v>135</v>
      </c>
      <c r="F25" s="70" t="s">
        <v>136</v>
      </c>
      <c r="G25" s="70" t="s">
        <v>48</v>
      </c>
      <c r="H25" s="70" t="s">
        <v>49</v>
      </c>
      <c r="I25" s="70" t="s">
        <v>50</v>
      </c>
      <c r="K25" s="70" t="s">
        <v>136</v>
      </c>
      <c r="L25" s="70" t="s">
        <v>48</v>
      </c>
      <c r="M25" s="70" t="s">
        <v>49</v>
      </c>
      <c r="N25" s="70" t="s">
        <v>50</v>
      </c>
      <c r="P25" s="70" t="s">
        <v>136</v>
      </c>
      <c r="Q25" s="70" t="s">
        <v>48</v>
      </c>
      <c r="R25" s="70" t="s">
        <v>49</v>
      </c>
      <c r="S25" s="70" t="s">
        <v>50</v>
      </c>
      <c r="U25" s="70" t="s">
        <v>136</v>
      </c>
      <c r="V25" s="70" t="s">
        <v>48</v>
      </c>
      <c r="W25" s="70" t="s">
        <v>49</v>
      </c>
      <c r="X25" s="70" t="s">
        <v>50</v>
      </c>
      <c r="Z25" s="70" t="s">
        <v>136</v>
      </c>
      <c r="AA25" s="70" t="s">
        <v>48</v>
      </c>
      <c r="AB25" s="70" t="s">
        <v>49</v>
      </c>
      <c r="AC25" s="70" t="s">
        <v>50</v>
      </c>
    </row>
    <row r="26" spans="1:29" x14ac:dyDescent="0.3">
      <c r="A26" s="91">
        <f>B4</f>
        <v>44874</v>
      </c>
    </row>
    <row r="27" spans="1:29" x14ac:dyDescent="0.3">
      <c r="A27" s="91">
        <f>EDATE(A26,6)</f>
        <v>45055</v>
      </c>
    </row>
    <row r="28" spans="1:29" x14ac:dyDescent="0.3">
      <c r="A28" s="91">
        <f t="shared" ref="A28:A46" si="0">EDATE(A27,6)</f>
        <v>45239</v>
      </c>
    </row>
    <row r="29" spans="1:29" x14ac:dyDescent="0.3">
      <c r="A29" s="91">
        <f t="shared" si="0"/>
        <v>45421</v>
      </c>
      <c r="B29">
        <v>2.7454999999999998</v>
      </c>
      <c r="C29">
        <f>(DATEDIF(B2,A29,"md")+DATEDIF(B2,A29,"ym")*30+DATEDIF(B2,A29,"y")*360)/360</f>
        <v>2.2222222222222223E-2</v>
      </c>
      <c r="D29">
        <v>2</v>
      </c>
      <c r="F29">
        <f>0</f>
        <v>0</v>
      </c>
      <c r="G29">
        <f>1/(1+F29/(100*D29))</f>
        <v>1</v>
      </c>
      <c r="H29">
        <f t="shared" ref="H29:H30" si="1">B29*POWER(G29,C29*D29)</f>
        <v>2.7454999999999998</v>
      </c>
      <c r="I29">
        <f t="shared" ref="I29:I30" si="2">-1*0.01*H29*G29*C29</f>
        <v>-6.1011111111111118E-4</v>
      </c>
      <c r="K29">
        <v>4.5509331389539067</v>
      </c>
      <c r="L29">
        <f t="shared" ref="L29:L48" si="3">1/(1+K29/(100*D29))</f>
        <v>0.9777515894495461</v>
      </c>
      <c r="M29">
        <f>B29*POWER(L29,C29*D29)</f>
        <v>2.7427559162097515</v>
      </c>
      <c r="N29">
        <f>-1*0.01*M29*L29*C29</f>
        <v>-5.9594087923249572E-4</v>
      </c>
      <c r="P29">
        <v>5.8165995322743278</v>
      </c>
      <c r="Q29">
        <f t="shared" ref="Q29:Q30" si="4">1/(1+P29/(100*D29))</f>
        <v>0.97173891928302791</v>
      </c>
      <c r="R29">
        <f t="shared" ref="R29:R30" si="5">B29*POWER(Q29,C29*D29)</f>
        <v>2.7420040808622619</v>
      </c>
      <c r="S29">
        <f t="shared" ref="S29:S30" si="6">-1*0.01*R29*Q29*C29</f>
        <v>-5.921137960459437E-4</v>
      </c>
      <c r="U29">
        <v>5.894631917311008</v>
      </c>
      <c r="V29">
        <f t="shared" ref="V29:V30" si="7">1/(1+U29/(100*D29))</f>
        <v>0.97137063816370739</v>
      </c>
      <c r="W29">
        <f t="shared" ref="W29:W30" si="8">B29*POWER(V29,C29*D29)</f>
        <v>2.7419578859562597</v>
      </c>
      <c r="X29">
        <f t="shared" ref="X29:X30" si="9">-1*0.01*W29*V29*C29</f>
        <v>-5.9187941811096492E-4</v>
      </c>
      <c r="Z29">
        <v>5.8949064966123652</v>
      </c>
      <c r="AA29">
        <f t="shared" ref="AA29:AA30" si="10">1/(1+Z29/(100*D29))</f>
        <v>0.97136934275394826</v>
      </c>
      <c r="AB29">
        <f t="shared" ref="AB29:AB30" si="11">B29*POWER(AA29,C29*D29)</f>
        <v>2.7419577234385355</v>
      </c>
      <c r="AC29">
        <f t="shared" ref="AC29:AC30" si="12">-1*0.01*AB29*AA29*C29</f>
        <v>-5.9187859370568954E-4</v>
      </c>
    </row>
    <row r="30" spans="1:29" x14ac:dyDescent="0.3">
      <c r="A30" s="91">
        <f t="shared" si="0"/>
        <v>45605</v>
      </c>
      <c r="B30">
        <v>2.7454999999999998</v>
      </c>
      <c r="C30">
        <f>C29+DATEDIF(A29,A30,"ym")/12</f>
        <v>0.52222222222222225</v>
      </c>
      <c r="D30">
        <v>2</v>
      </c>
      <c r="F30">
        <f>0</f>
        <v>0</v>
      </c>
      <c r="G30">
        <f t="shared" ref="G30:G48" si="13">1/(1+F30/(100*D30))</f>
        <v>1</v>
      </c>
      <c r="H30">
        <f t="shared" si="1"/>
        <v>2.7454999999999998</v>
      </c>
      <c r="I30">
        <f t="shared" si="2"/>
        <v>-1.4337611111111112E-2</v>
      </c>
      <c r="K30">
        <v>4.5509331389539067</v>
      </c>
      <c r="L30">
        <f t="shared" si="3"/>
        <v>0.9777515894495461</v>
      </c>
      <c r="M30">
        <f t="shared" ref="M30:M49" si="14">B30*POWER(L30,C30*D30)</f>
        <v>2.6817339565462301</v>
      </c>
      <c r="N30">
        <f t="shared" ref="N30:N50" si="15">-1*0.01*M30*L30*C30</f>
        <v>-1.3693030334357016E-2</v>
      </c>
      <c r="P30">
        <v>5.8165995322743278</v>
      </c>
      <c r="Q30">
        <f t="shared" si="4"/>
        <v>0.97173891928302791</v>
      </c>
      <c r="R30">
        <f t="shared" si="5"/>
        <v>2.664512082206747</v>
      </c>
      <c r="S30">
        <f t="shared" si="6"/>
        <v>-1.3521430476163032E-2</v>
      </c>
      <c r="U30">
        <v>5.894631917311008</v>
      </c>
      <c r="V30">
        <f t="shared" si="7"/>
        <v>0.97137063816370739</v>
      </c>
      <c r="W30">
        <f t="shared" si="8"/>
        <v>2.6634573814993416</v>
      </c>
      <c r="X30">
        <f t="shared" si="9"/>
        <v>-1.3510955770030676E-2</v>
      </c>
      <c r="Z30">
        <v>5.8949064966123652</v>
      </c>
      <c r="AA30">
        <f t="shared" si="10"/>
        <v>0.97136934275394826</v>
      </c>
      <c r="AB30">
        <f t="shared" si="11"/>
        <v>2.6634536716756023</v>
      </c>
      <c r="AC30">
        <f t="shared" si="12"/>
        <v>-1.3510918933113627E-2</v>
      </c>
    </row>
    <row r="31" spans="1:29" x14ac:dyDescent="0.3">
      <c r="A31" s="91">
        <f t="shared" si="0"/>
        <v>45786</v>
      </c>
      <c r="B31">
        <v>2.7454999999999998</v>
      </c>
      <c r="C31">
        <f t="shared" ref="C31:C46" si="16">C30+DATEDIF(A30,A31,"ym")/12</f>
        <v>1.0222222222222221</v>
      </c>
      <c r="D31">
        <v>2</v>
      </c>
      <c r="F31">
        <f>0</f>
        <v>0</v>
      </c>
      <c r="G31">
        <f t="shared" si="13"/>
        <v>1</v>
      </c>
      <c r="H31">
        <f>B31*POWER(G31,C31*D31)</f>
        <v>2.7454999999999998</v>
      </c>
      <c r="I31">
        <f>-1*0.01*H31*G31*C31</f>
        <v>-2.806511111111111E-2</v>
      </c>
      <c r="K31">
        <v>4.5509331389539067</v>
      </c>
      <c r="L31">
        <f t="shared" si="3"/>
        <v>0.9777515894495461</v>
      </c>
      <c r="M31">
        <f t="shared" si="14"/>
        <v>2.6220696384938966</v>
      </c>
      <c r="N31">
        <f t="shared" si="15"/>
        <v>-2.6207045957222442E-2</v>
      </c>
      <c r="P31">
        <v>5.8165995322743278</v>
      </c>
      <c r="Q31">
        <f>1/(1+P31/(100*D31))</f>
        <v>0.97173891928302791</v>
      </c>
      <c r="R31">
        <f>B31*POWER(Q31,C31*D31)</f>
        <v>2.5892100911801545</v>
      </c>
      <c r="S31">
        <f>-1*0.01*R31*Q31*C31</f>
        <v>-2.5719481317067826E-2</v>
      </c>
      <c r="U31">
        <v>5.894631917311008</v>
      </c>
      <c r="V31">
        <f>1/(1+U31/(100*D31))</f>
        <v>0.97137063816370739</v>
      </c>
      <c r="W31">
        <f>B31*POWER(V31,C31*D31)</f>
        <v>2.5872042963888524</v>
      </c>
      <c r="X31">
        <f>-1*0.01*W31*V31*C31</f>
        <v>-2.5689817170751944E-2</v>
      </c>
      <c r="Z31">
        <v>5.8949064966123652</v>
      </c>
      <c r="AA31">
        <f>1/(1+Z31/(100*D31))</f>
        <v>0.97136934275394826</v>
      </c>
      <c r="AB31">
        <f>B31*POWER(AA31,C31*D31)</f>
        <v>2.5871972425111203</v>
      </c>
      <c r="AC31">
        <f>-1*0.01*AB31*AA31*C31</f>
        <v>-2.568971286922473E-2</v>
      </c>
    </row>
    <row r="32" spans="1:29" x14ac:dyDescent="0.3">
      <c r="A32" s="91">
        <f t="shared" si="0"/>
        <v>45970</v>
      </c>
      <c r="B32">
        <v>2.7454999999999998</v>
      </c>
      <c r="C32">
        <f t="shared" si="16"/>
        <v>1.5222222222222221</v>
      </c>
      <c r="D32">
        <v>2</v>
      </c>
      <c r="F32">
        <f>0</f>
        <v>0</v>
      </c>
      <c r="G32">
        <f t="shared" si="13"/>
        <v>1</v>
      </c>
      <c r="H32">
        <f t="shared" ref="H32:H50" si="17">B32*POWER(G32,C32*D32)</f>
        <v>2.7454999999999998</v>
      </c>
      <c r="I32">
        <f t="shared" ref="I32:I50" si="18">-1*0.01*H32*G32*C32</f>
        <v>-4.1792611111111107E-2</v>
      </c>
      <c r="K32">
        <v>4.5509331389539067</v>
      </c>
      <c r="L32">
        <f t="shared" si="3"/>
        <v>0.9777515894495461</v>
      </c>
      <c r="M32">
        <f t="shared" si="14"/>
        <v>2.563732756684804</v>
      </c>
      <c r="N32">
        <f t="shared" si="15"/>
        <v>-3.8157449728313711E-2</v>
      </c>
      <c r="P32">
        <v>5.8165995322743278</v>
      </c>
      <c r="Q32">
        <f t="shared" ref="Q32:Q50" si="19">1/(1+P32/(100*D32))</f>
        <v>0.97173891928302791</v>
      </c>
      <c r="R32">
        <f t="shared" ref="R32:R50" si="20">B32*POWER(Q32,C32*D32)</f>
        <v>2.5160362158001139</v>
      </c>
      <c r="S32">
        <f t="shared" ref="S32:S50" si="21">-1*0.01*R32*Q32*C32</f>
        <v>-3.7217272545660332E-2</v>
      </c>
      <c r="U32">
        <v>5.894631917311008</v>
      </c>
      <c r="V32">
        <f t="shared" ref="V32:V50" si="22">1/(1+U32/(100*D32))</f>
        <v>0.97137063816370739</v>
      </c>
      <c r="W32">
        <f t="shared" ref="W32:W50" si="23">B32*POWER(V32,C32*D32)</f>
        <v>2.5131342884431254</v>
      </c>
      <c r="X32">
        <f t="shared" ref="X32:X50" si="24">-1*0.01*W32*V32*C32</f>
        <v>-3.7160258387242753E-2</v>
      </c>
      <c r="Z32">
        <v>5.8949064966123652</v>
      </c>
      <c r="AA32">
        <f t="shared" ref="AA32:AA50" si="25">1/(1+Z32/(100*D32))</f>
        <v>0.97136934275394826</v>
      </c>
      <c r="AB32">
        <f t="shared" ref="AB32:AB50" si="26">B32*POWER(AA32,C32*D32)</f>
        <v>2.513124085032854</v>
      </c>
      <c r="AC32">
        <f t="shared" ref="AC32:AC50" si="27">-1*0.01*AB32*AA32*C32</f>
        <v>-3.716005795900388E-2</v>
      </c>
    </row>
    <row r="33" spans="1:29" x14ac:dyDescent="0.3">
      <c r="A33" s="91">
        <f t="shared" si="0"/>
        <v>46151</v>
      </c>
      <c r="B33">
        <v>2.7454999999999998</v>
      </c>
      <c r="C33">
        <f t="shared" si="16"/>
        <v>2.0222222222222221</v>
      </c>
      <c r="D33">
        <v>2</v>
      </c>
      <c r="F33">
        <f>0</f>
        <v>0</v>
      </c>
      <c r="G33">
        <f>1/(1+F33/(100*D33))</f>
        <v>1</v>
      </c>
      <c r="H33">
        <f t="shared" si="17"/>
        <v>2.7454999999999998</v>
      </c>
      <c r="I33">
        <f t="shared" si="18"/>
        <v>-5.552011111111111E-2</v>
      </c>
      <c r="K33">
        <v>4.5509331389539067</v>
      </c>
      <c r="L33">
        <f t="shared" si="3"/>
        <v>0.9777515894495461</v>
      </c>
      <c r="M33">
        <f t="shared" si="14"/>
        <v>2.5066937777724339</v>
      </c>
      <c r="N33">
        <f t="shared" si="15"/>
        <v>-4.9563126248601312E-2</v>
      </c>
      <c r="P33">
        <v>5.8165995322743278</v>
      </c>
      <c r="Q33">
        <f t="shared" si="19"/>
        <v>0.97173891928302791</v>
      </c>
      <c r="R33">
        <f t="shared" si="20"/>
        <v>2.444930313218562</v>
      </c>
      <c r="S33">
        <f t="shared" si="21"/>
        <v>-4.8044641903628477E-2</v>
      </c>
      <c r="U33">
        <v>5.894631917311008</v>
      </c>
      <c r="V33">
        <f t="shared" si="22"/>
        <v>0.97137063816370739</v>
      </c>
      <c r="W33">
        <f t="shared" si="23"/>
        <v>2.4411848575560935</v>
      </c>
      <c r="X33">
        <f t="shared" si="24"/>
        <v>-4.7952860368743466E-2</v>
      </c>
      <c r="Z33">
        <v>5.8949064966123652</v>
      </c>
      <c r="AA33">
        <f t="shared" si="25"/>
        <v>0.97136934275394826</v>
      </c>
      <c r="AB33">
        <f t="shared" si="26"/>
        <v>2.4411716907374812</v>
      </c>
      <c r="AC33">
        <f t="shared" si="27"/>
        <v>-4.7952537780242284E-2</v>
      </c>
    </row>
    <row r="34" spans="1:29" x14ac:dyDescent="0.3">
      <c r="A34" s="91">
        <f t="shared" si="0"/>
        <v>46335</v>
      </c>
      <c r="B34">
        <v>2.7454999999999998</v>
      </c>
      <c r="C34">
        <f t="shared" si="16"/>
        <v>2.5222222222222221</v>
      </c>
      <c r="D34">
        <v>2</v>
      </c>
      <c r="F34">
        <f>0</f>
        <v>0</v>
      </c>
      <c r="G34">
        <f t="shared" si="13"/>
        <v>1</v>
      </c>
      <c r="H34">
        <f t="shared" si="17"/>
        <v>2.7454999999999998</v>
      </c>
      <c r="I34">
        <f t="shared" si="18"/>
        <v>-6.9247611111111107E-2</v>
      </c>
      <c r="K34">
        <v>4.5509331389539067</v>
      </c>
      <c r="L34">
        <f t="shared" si="3"/>
        <v>0.9777515894495461</v>
      </c>
      <c r="M34">
        <f t="shared" si="14"/>
        <v>2.4509238254802841</v>
      </c>
      <c r="N34">
        <f t="shared" si="15"/>
        <v>-6.0442398797573987E-2</v>
      </c>
      <c r="P34">
        <v>5.8165995322743278</v>
      </c>
      <c r="Q34">
        <f t="shared" si="19"/>
        <v>0.97173891928302791</v>
      </c>
      <c r="R34">
        <f t="shared" si="20"/>
        <v>2.3758339402893203</v>
      </c>
      <c r="S34">
        <f t="shared" si="21"/>
        <v>-5.8230299928435425E-2</v>
      </c>
      <c r="U34">
        <v>5.894631917311008</v>
      </c>
      <c r="V34">
        <f t="shared" si="22"/>
        <v>0.97137063816370739</v>
      </c>
      <c r="W34">
        <f t="shared" si="23"/>
        <v>2.3712952929598412</v>
      </c>
      <c r="X34">
        <f t="shared" si="24"/>
        <v>-5.8097033688146463E-2</v>
      </c>
      <c r="Z34">
        <v>5.8949064966123652</v>
      </c>
      <c r="AA34">
        <f t="shared" si="25"/>
        <v>0.97136934275394826</v>
      </c>
      <c r="AB34">
        <f t="shared" si="26"/>
        <v>2.3712793407812116</v>
      </c>
      <c r="AC34">
        <f t="shared" si="27"/>
        <v>-5.8096565380681121E-2</v>
      </c>
    </row>
    <row r="35" spans="1:29" x14ac:dyDescent="0.3">
      <c r="A35" s="91">
        <f t="shared" si="0"/>
        <v>46516</v>
      </c>
      <c r="B35">
        <v>2.7454999999999998</v>
      </c>
      <c r="C35">
        <f t="shared" si="16"/>
        <v>3.0222222222222221</v>
      </c>
      <c r="D35">
        <v>2</v>
      </c>
      <c r="F35">
        <f>0</f>
        <v>0</v>
      </c>
      <c r="G35">
        <f t="shared" si="13"/>
        <v>1</v>
      </c>
      <c r="H35">
        <f t="shared" si="17"/>
        <v>2.7454999999999998</v>
      </c>
      <c r="I35">
        <f t="shared" si="18"/>
        <v>-8.2975111111111111E-2</v>
      </c>
      <c r="K35">
        <v>4.5509331389539067</v>
      </c>
      <c r="L35">
        <f t="shared" si="3"/>
        <v>0.9777515894495461</v>
      </c>
      <c r="M35">
        <f t="shared" si="14"/>
        <v>2.3963946659831099</v>
      </c>
      <c r="N35">
        <f t="shared" si="15"/>
        <v>-7.0813044962538305E-2</v>
      </c>
      <c r="P35">
        <v>5.8165995322743278</v>
      </c>
      <c r="Q35">
        <f t="shared" si="19"/>
        <v>0.97173891928302791</v>
      </c>
      <c r="R35">
        <f t="shared" si="20"/>
        <v>2.3086903055326817</v>
      </c>
      <c r="S35">
        <f t="shared" si="21"/>
        <v>-6.7801869834272069E-2</v>
      </c>
      <c r="U35">
        <v>5.894631917311008</v>
      </c>
      <c r="V35">
        <f t="shared" si="22"/>
        <v>0.97137063816370739</v>
      </c>
      <c r="W35">
        <f t="shared" si="23"/>
        <v>2.3034066219969964</v>
      </c>
      <c r="X35">
        <f t="shared" si="24"/>
        <v>-6.7621060490871895E-2</v>
      </c>
      <c r="Z35">
        <v>5.8949064966123652</v>
      </c>
      <c r="AA35">
        <f t="shared" si="25"/>
        <v>0.97136934275394826</v>
      </c>
      <c r="AB35">
        <f t="shared" si="26"/>
        <v>2.3033880547406613</v>
      </c>
      <c r="AC35">
        <f t="shared" si="27"/>
        <v>-6.7620425234297662E-2</v>
      </c>
    </row>
    <row r="36" spans="1:29" x14ac:dyDescent="0.3">
      <c r="A36" s="91">
        <f t="shared" si="0"/>
        <v>46700</v>
      </c>
      <c r="B36">
        <v>2.7454999999999998</v>
      </c>
      <c r="C36">
        <f t="shared" si="16"/>
        <v>3.5222222222222221</v>
      </c>
      <c r="D36">
        <v>2</v>
      </c>
      <c r="F36">
        <f>0</f>
        <v>0</v>
      </c>
      <c r="G36">
        <f t="shared" si="13"/>
        <v>1</v>
      </c>
      <c r="H36">
        <f t="shared" si="17"/>
        <v>2.7454999999999998</v>
      </c>
      <c r="I36">
        <f t="shared" si="18"/>
        <v>-9.6702611111111114E-2</v>
      </c>
      <c r="K36">
        <v>4.5509331389539067</v>
      </c>
      <c r="L36">
        <f t="shared" si="3"/>
        <v>0.9777515894495461</v>
      </c>
      <c r="M36">
        <f t="shared" si="14"/>
        <v>2.3430786936134003</v>
      </c>
      <c r="N36">
        <f t="shared" si="15"/>
        <v>-8.069231185031335E-2</v>
      </c>
      <c r="P36">
        <v>5.8165995322743278</v>
      </c>
      <c r="Q36">
        <f t="shared" si="19"/>
        <v>0.97173891928302791</v>
      </c>
      <c r="R36">
        <f t="shared" si="20"/>
        <v>2.2434442224575317</v>
      </c>
      <c r="S36">
        <f t="shared" si="21"/>
        <v>-7.6785926039137253E-2</v>
      </c>
      <c r="U36">
        <v>5.894631917311008</v>
      </c>
      <c r="V36">
        <f t="shared" si="22"/>
        <v>0.97137063816370739</v>
      </c>
      <c r="W36">
        <f t="shared" si="23"/>
        <v>2.2374615603597321</v>
      </c>
      <c r="X36">
        <f t="shared" si="24"/>
        <v>-7.6552135001091884E-2</v>
      </c>
      <c r="Z36">
        <v>5.8949064966123652</v>
      </c>
      <c r="AA36">
        <f t="shared" si="25"/>
        <v>0.97136934275394826</v>
      </c>
      <c r="AB36">
        <f t="shared" si="26"/>
        <v>2.2374405408407316</v>
      </c>
      <c r="AC36">
        <f t="shared" si="27"/>
        <v>-7.6551313754619724E-2</v>
      </c>
    </row>
    <row r="37" spans="1:29" x14ac:dyDescent="0.3">
      <c r="A37" s="91">
        <f t="shared" si="0"/>
        <v>46882</v>
      </c>
      <c r="B37">
        <v>2.7454999999999998</v>
      </c>
      <c r="C37">
        <f t="shared" si="16"/>
        <v>4.0222222222222221</v>
      </c>
      <c r="D37">
        <v>2</v>
      </c>
      <c r="F37">
        <f>0</f>
        <v>0</v>
      </c>
      <c r="G37">
        <f t="shared" si="13"/>
        <v>1</v>
      </c>
      <c r="H37">
        <f t="shared" si="17"/>
        <v>2.7454999999999998</v>
      </c>
      <c r="I37">
        <f t="shared" si="18"/>
        <v>-0.1104301111111111</v>
      </c>
      <c r="K37">
        <v>4.5509331389539067</v>
      </c>
      <c r="L37">
        <f t="shared" si="3"/>
        <v>0.9777515894495461</v>
      </c>
      <c r="M37">
        <f t="shared" si="14"/>
        <v>2.2909489168858679</v>
      </c>
      <c r="N37">
        <f t="shared" si="15"/>
        <v>-9.0096930892166693E-2</v>
      </c>
      <c r="P37">
        <v>5.8165995322743278</v>
      </c>
      <c r="Q37">
        <f t="shared" si="19"/>
        <v>0.97173891928302791</v>
      </c>
      <c r="R37">
        <f t="shared" si="20"/>
        <v>2.1800420642026346</v>
      </c>
      <c r="S37">
        <f t="shared" si="21"/>
        <v>-8.5208031382716778E-2</v>
      </c>
      <c r="U37">
        <v>5.894631917311008</v>
      </c>
      <c r="V37">
        <f t="shared" si="22"/>
        <v>0.97137063816370739</v>
      </c>
      <c r="W37">
        <f t="shared" si="23"/>
        <v>2.1734044637533976</v>
      </c>
      <c r="X37">
        <f t="shared" si="24"/>
        <v>-8.4916402633524846E-2</v>
      </c>
      <c r="Z37">
        <v>5.8949064966123652</v>
      </c>
      <c r="AA37">
        <f t="shared" si="25"/>
        <v>0.97136934275394826</v>
      </c>
      <c r="AB37">
        <f t="shared" si="26"/>
        <v>2.1733811476075</v>
      </c>
      <c r="AC37">
        <f t="shared" si="27"/>
        <v>-8.4915378413302836E-2</v>
      </c>
    </row>
    <row r="38" spans="1:29" x14ac:dyDescent="0.3">
      <c r="A38" s="91">
        <f t="shared" si="0"/>
        <v>47066</v>
      </c>
      <c r="B38">
        <v>2.7454999999999998</v>
      </c>
      <c r="C38">
        <f t="shared" si="16"/>
        <v>4.5222222222222221</v>
      </c>
      <c r="D38">
        <v>2</v>
      </c>
      <c r="F38">
        <f>0</f>
        <v>0</v>
      </c>
      <c r="G38">
        <f t="shared" si="13"/>
        <v>1</v>
      </c>
      <c r="H38">
        <f t="shared" si="17"/>
        <v>2.7454999999999998</v>
      </c>
      <c r="I38">
        <f t="shared" si="18"/>
        <v>-0.12415761111111111</v>
      </c>
      <c r="K38">
        <v>4.5509331389539067</v>
      </c>
      <c r="L38">
        <f t="shared" si="3"/>
        <v>0.9777515894495461</v>
      </c>
      <c r="M38">
        <f t="shared" si="14"/>
        <v>2.2399789448328735</v>
      </c>
      <c r="N38">
        <f t="shared" si="15"/>
        <v>-9.9043132252561186E-2</v>
      </c>
      <c r="P38">
        <v>5.8165995322743278</v>
      </c>
      <c r="Q38">
        <f t="shared" si="19"/>
        <v>0.97173891928302791</v>
      </c>
      <c r="R38">
        <f t="shared" si="20"/>
        <v>2.1184317194598097</v>
      </c>
      <c r="S38">
        <f t="shared" si="21"/>
        <v>-9.3092773078289337E-2</v>
      </c>
      <c r="U38">
        <v>5.894631917311008</v>
      </c>
      <c r="V38">
        <f t="shared" si="22"/>
        <v>0.97137063816370739</v>
      </c>
      <c r="W38">
        <f t="shared" si="23"/>
        <v>2.1111812809439878</v>
      </c>
      <c r="X38">
        <f t="shared" si="24"/>
        <v>-9.2738997757442529E-2</v>
      </c>
      <c r="Z38">
        <v>5.8949064966123652</v>
      </c>
      <c r="AA38">
        <f t="shared" si="25"/>
        <v>0.97136934275394826</v>
      </c>
      <c r="AB38">
        <f t="shared" si="26"/>
        <v>2.1111558169053191</v>
      </c>
      <c r="AC38">
        <f t="shared" si="27"/>
        <v>-9.2737755510625255E-2</v>
      </c>
    </row>
    <row r="39" spans="1:29" x14ac:dyDescent="0.3">
      <c r="A39" s="91">
        <f t="shared" si="0"/>
        <v>47247</v>
      </c>
      <c r="B39">
        <v>2.7454999999999998</v>
      </c>
      <c r="C39">
        <f t="shared" si="16"/>
        <v>5.0222222222222221</v>
      </c>
      <c r="D39">
        <v>2</v>
      </c>
      <c r="F39">
        <f>0</f>
        <v>0</v>
      </c>
      <c r="G39">
        <f t="shared" si="13"/>
        <v>1</v>
      </c>
      <c r="H39">
        <f t="shared" si="17"/>
        <v>2.7454999999999998</v>
      </c>
      <c r="I39">
        <f t="shared" si="18"/>
        <v>-0.1378851111111111</v>
      </c>
      <c r="K39">
        <v>4.5509331389539067</v>
      </c>
      <c r="L39">
        <f t="shared" si="3"/>
        <v>0.9777515894495461</v>
      </c>
      <c r="M39">
        <f t="shared" si="14"/>
        <v>2.1901429736438591</v>
      </c>
      <c r="N39">
        <f t="shared" si="15"/>
        <v>-0.10754665885201349</v>
      </c>
      <c r="P39">
        <v>5.8165995322743278</v>
      </c>
      <c r="Q39">
        <f t="shared" si="19"/>
        <v>0.97173891928302791</v>
      </c>
      <c r="R39">
        <f t="shared" si="20"/>
        <v>2.0585625496427622</v>
      </c>
      <c r="S39">
        <f t="shared" si="21"/>
        <v>-0.10046379744048892</v>
      </c>
      <c r="U39">
        <v>5.894631917311008</v>
      </c>
      <c r="V39">
        <f t="shared" si="22"/>
        <v>0.97137063816370739</v>
      </c>
      <c r="W39">
        <f t="shared" si="23"/>
        <v>2.0507395081498347</v>
      </c>
      <c r="X39">
        <f t="shared" si="24"/>
        <v>-0.10004408015800474</v>
      </c>
      <c r="Z39">
        <v>5.8949064966123652</v>
      </c>
      <c r="AA39">
        <f t="shared" si="25"/>
        <v>0.97136934275394826</v>
      </c>
      <c r="AB39">
        <f t="shared" si="26"/>
        <v>2.0507120383184945</v>
      </c>
      <c r="AC39">
        <f t="shared" si="27"/>
        <v>-0.10004260664302764</v>
      </c>
    </row>
    <row r="40" spans="1:29" x14ac:dyDescent="0.3">
      <c r="A40" s="91">
        <f t="shared" si="0"/>
        <v>47431</v>
      </c>
      <c r="B40">
        <v>2.7454999999999998</v>
      </c>
      <c r="C40">
        <f t="shared" si="16"/>
        <v>5.5222222222222221</v>
      </c>
      <c r="D40">
        <v>2</v>
      </c>
      <c r="F40">
        <f>0</f>
        <v>0</v>
      </c>
      <c r="G40">
        <f t="shared" si="13"/>
        <v>1</v>
      </c>
      <c r="H40">
        <f t="shared" si="17"/>
        <v>2.7454999999999998</v>
      </c>
      <c r="I40">
        <f t="shared" si="18"/>
        <v>-0.1516126111111111</v>
      </c>
      <c r="K40">
        <v>4.5509331389539067</v>
      </c>
      <c r="L40">
        <f t="shared" si="3"/>
        <v>0.9777515894495461</v>
      </c>
      <c r="M40">
        <f t="shared" si="14"/>
        <v>2.1414157736020383</v>
      </c>
      <c r="N40">
        <f t="shared" si="15"/>
        <v>-0.11562278001410288</v>
      </c>
      <c r="P40">
        <v>5.8165995322743278</v>
      </c>
      <c r="Q40">
        <f t="shared" si="19"/>
        <v>0.97173891928302791</v>
      </c>
      <c r="R40">
        <f t="shared" si="20"/>
        <v>2.0003853472663722</v>
      </c>
      <c r="S40">
        <f t="shared" si="21"/>
        <v>-0.10734384342940087</v>
      </c>
      <c r="U40">
        <v>5.894631917311008</v>
      </c>
      <c r="V40">
        <f t="shared" si="22"/>
        <v>0.97137063816370739</v>
      </c>
      <c r="W40">
        <f t="shared" si="23"/>
        <v>1.9920281447390324</v>
      </c>
      <c r="X40">
        <f t="shared" si="24"/>
        <v>-0.10685487023855826</v>
      </c>
      <c r="Z40">
        <v>5.8949064966123652</v>
      </c>
      <c r="AA40">
        <f t="shared" si="25"/>
        <v>0.97136934275394826</v>
      </c>
      <c r="AB40">
        <f t="shared" si="26"/>
        <v>1.9919988048390453</v>
      </c>
      <c r="AC40">
        <f t="shared" si="27"/>
        <v>-0.10685315391134528</v>
      </c>
    </row>
    <row r="41" spans="1:29" x14ac:dyDescent="0.3">
      <c r="A41" s="91">
        <f t="shared" si="0"/>
        <v>47612</v>
      </c>
      <c r="B41">
        <v>2.7454999999999998</v>
      </c>
      <c r="C41">
        <f t="shared" si="16"/>
        <v>6.0222222222222221</v>
      </c>
      <c r="D41">
        <v>2</v>
      </c>
      <c r="F41">
        <f>0</f>
        <v>0</v>
      </c>
      <c r="G41">
        <f t="shared" si="13"/>
        <v>1</v>
      </c>
      <c r="H41">
        <f t="shared" si="17"/>
        <v>2.7454999999999998</v>
      </c>
      <c r="I41">
        <f t="shared" si="18"/>
        <v>-0.1653401111111111</v>
      </c>
      <c r="K41">
        <v>4.5509331389539067</v>
      </c>
      <c r="L41">
        <f t="shared" si="3"/>
        <v>0.9777515894495461</v>
      </c>
      <c r="M41">
        <f t="shared" si="14"/>
        <v>2.0937726763117226</v>
      </c>
      <c r="N41">
        <f t="shared" si="15"/>
        <v>-0.12328630474641342</v>
      </c>
      <c r="P41">
        <v>5.8165995322743278</v>
      </c>
      <c r="Q41">
        <f t="shared" si="19"/>
        <v>0.97173891928302791</v>
      </c>
      <c r="R41">
        <f t="shared" si="20"/>
        <v>1.943852295502229</v>
      </c>
      <c r="S41">
        <f t="shared" si="21"/>
        <v>-0.11375477505015841</v>
      </c>
      <c r="U41">
        <v>5.894631917311008</v>
      </c>
      <c r="V41">
        <f t="shared" si="22"/>
        <v>0.97137063816370739</v>
      </c>
      <c r="W41">
        <f t="shared" si="23"/>
        <v>1.93499765019522</v>
      </c>
      <c r="X41">
        <f t="shared" si="24"/>
        <v>-0.11319368300610551</v>
      </c>
      <c r="Z41">
        <v>5.8949064966123652</v>
      </c>
      <c r="AA41">
        <f t="shared" si="25"/>
        <v>0.97136934275394826</v>
      </c>
      <c r="AB41">
        <f t="shared" si="26"/>
        <v>1.9349665698231542</v>
      </c>
      <c r="AC41">
        <f t="shared" si="27"/>
        <v>-0.11319171391194985</v>
      </c>
    </row>
    <row r="42" spans="1:29" x14ac:dyDescent="0.3">
      <c r="A42" s="91">
        <f t="shared" si="0"/>
        <v>47796</v>
      </c>
      <c r="B42">
        <v>2.7454999999999998</v>
      </c>
      <c r="C42">
        <f t="shared" si="16"/>
        <v>6.5222222222222221</v>
      </c>
      <c r="D42">
        <v>2</v>
      </c>
      <c r="F42">
        <f>0</f>
        <v>0</v>
      </c>
      <c r="G42">
        <f t="shared" si="13"/>
        <v>1</v>
      </c>
      <c r="H42">
        <f t="shared" si="17"/>
        <v>2.7454999999999998</v>
      </c>
      <c r="I42">
        <f t="shared" si="18"/>
        <v>-0.17906761111111111</v>
      </c>
      <c r="K42">
        <v>4.5509331389539067</v>
      </c>
      <c r="L42">
        <f t="shared" si="3"/>
        <v>0.9777515894495461</v>
      </c>
      <c r="M42">
        <f t="shared" si="14"/>
        <v>2.0471895622098168</v>
      </c>
      <c r="N42">
        <f t="shared" si="15"/>
        <v>-0.13055159466494268</v>
      </c>
      <c r="P42">
        <v>5.8165995322743278</v>
      </c>
      <c r="Q42">
        <f t="shared" si="19"/>
        <v>0.97173891928302791</v>
      </c>
      <c r="R42">
        <f t="shared" si="20"/>
        <v>1.8889169288771688</v>
      </c>
      <c r="S42">
        <f t="shared" si="21"/>
        <v>-0.11971761264593743</v>
      </c>
      <c r="U42">
        <v>5.894631917311008</v>
      </c>
      <c r="V42">
        <f t="shared" si="22"/>
        <v>0.97137063816370739</v>
      </c>
      <c r="W42">
        <f t="shared" si="23"/>
        <v>1.8795999023154053</v>
      </c>
      <c r="X42">
        <f t="shared" si="24"/>
        <v>-0.11908196088076389</v>
      </c>
      <c r="Z42">
        <v>5.8949064966123652</v>
      </c>
      <c r="AA42">
        <f t="shared" si="25"/>
        <v>0.97136934275394826</v>
      </c>
      <c r="AB42">
        <f t="shared" si="26"/>
        <v>1.879567205179979</v>
      </c>
      <c r="AC42">
        <f t="shared" si="27"/>
        <v>-0.11907973055163143</v>
      </c>
    </row>
    <row r="43" spans="1:29" x14ac:dyDescent="0.3">
      <c r="A43" s="91">
        <f t="shared" si="0"/>
        <v>47977</v>
      </c>
      <c r="B43">
        <v>2.7454999999999998</v>
      </c>
      <c r="C43">
        <f t="shared" si="16"/>
        <v>7.0222222222222221</v>
      </c>
      <c r="D43">
        <v>2</v>
      </c>
      <c r="F43">
        <f>0</f>
        <v>0</v>
      </c>
      <c r="G43">
        <f t="shared" si="13"/>
        <v>1</v>
      </c>
      <c r="H43">
        <f t="shared" si="17"/>
        <v>2.7454999999999998</v>
      </c>
      <c r="I43">
        <f t="shared" si="18"/>
        <v>-0.19279511111111111</v>
      </c>
      <c r="K43">
        <v>4.5509331389539067</v>
      </c>
      <c r="L43">
        <f t="shared" si="3"/>
        <v>0.9777515894495461</v>
      </c>
      <c r="M43">
        <f t="shared" si="14"/>
        <v>2.0016428483551687</v>
      </c>
      <c r="N43">
        <f t="shared" si="15"/>
        <v>-0.13743257657126851</v>
      </c>
      <c r="P43">
        <v>5.8165995322743278</v>
      </c>
      <c r="Q43">
        <f t="shared" si="19"/>
        <v>0.97173891928302791</v>
      </c>
      <c r="R43">
        <f t="shared" si="20"/>
        <v>1.8355340950825163</v>
      </c>
      <c r="S43">
        <f t="shared" si="21"/>
        <v>-0.12525256312102059</v>
      </c>
      <c r="U43">
        <v>5.894631917311008</v>
      </c>
      <c r="V43">
        <f t="shared" si="22"/>
        <v>0.97137063816370739</v>
      </c>
      <c r="W43">
        <f t="shared" si="23"/>
        <v>1.8257881566045573</v>
      </c>
      <c r="X43">
        <f t="shared" si="24"/>
        <v>-0.12454030536869679</v>
      </c>
      <c r="Z43">
        <v>5.8949064966123652</v>
      </c>
      <c r="AA43">
        <f t="shared" si="25"/>
        <v>0.97136934275394826</v>
      </c>
      <c r="AB43">
        <f t="shared" si="26"/>
        <v>1.8257539607575517</v>
      </c>
      <c r="AC43">
        <f t="shared" si="27"/>
        <v>-0.12453780672571289</v>
      </c>
    </row>
    <row r="44" spans="1:29" x14ac:dyDescent="0.3">
      <c r="A44" s="91">
        <f t="shared" si="0"/>
        <v>48161</v>
      </c>
      <c r="B44">
        <v>2.7454999999999998</v>
      </c>
      <c r="C44">
        <f t="shared" si="16"/>
        <v>7.5222222222222221</v>
      </c>
      <c r="D44">
        <v>2</v>
      </c>
      <c r="F44">
        <f>0</f>
        <v>0</v>
      </c>
      <c r="G44">
        <f t="shared" si="13"/>
        <v>1</v>
      </c>
      <c r="H44">
        <f t="shared" si="17"/>
        <v>2.7454999999999998</v>
      </c>
      <c r="I44">
        <f t="shared" si="18"/>
        <v>-0.20652261111111112</v>
      </c>
      <c r="K44">
        <v>4.5509331389539067</v>
      </c>
      <c r="L44">
        <f t="shared" si="3"/>
        <v>0.9777515894495461</v>
      </c>
      <c r="M44">
        <f t="shared" si="14"/>
        <v>1.9571094764895831</v>
      </c>
      <c r="N44">
        <f t="shared" si="15"/>
        <v>-0.14394275469152654</v>
      </c>
      <c r="P44">
        <v>5.8165995322743278</v>
      </c>
      <c r="Q44">
        <f t="shared" si="19"/>
        <v>0.97173891928302791</v>
      </c>
      <c r="R44">
        <f t="shared" si="20"/>
        <v>1.7836599178626349</v>
      </c>
      <c r="S44">
        <f t="shared" si="21"/>
        <v>-0.13037904912941123</v>
      </c>
      <c r="U44">
        <v>5.894631917311008</v>
      </c>
      <c r="V44">
        <f t="shared" si="22"/>
        <v>0.97137063816370739</v>
      </c>
      <c r="W44">
        <f t="shared" si="23"/>
        <v>1.7735170068327077</v>
      </c>
      <c r="X44">
        <f t="shared" si="24"/>
        <v>-0.12958850763670041</v>
      </c>
      <c r="Z44">
        <v>5.8949064966123652</v>
      </c>
      <c r="AA44">
        <f t="shared" si="25"/>
        <v>0.97136934275394826</v>
      </c>
      <c r="AB44">
        <f t="shared" si="26"/>
        <v>1.7734814248914808</v>
      </c>
      <c r="AC44">
        <f t="shared" si="27"/>
        <v>-0.12958573489758982</v>
      </c>
    </row>
    <row r="45" spans="1:29" x14ac:dyDescent="0.3">
      <c r="A45" s="91">
        <f t="shared" si="0"/>
        <v>48343</v>
      </c>
      <c r="B45">
        <v>2.7454999999999998</v>
      </c>
      <c r="C45">
        <f t="shared" si="16"/>
        <v>8.0222222222222221</v>
      </c>
      <c r="D45">
        <v>2</v>
      </c>
      <c r="F45">
        <f>0</f>
        <v>0</v>
      </c>
      <c r="G45">
        <f t="shared" si="13"/>
        <v>1</v>
      </c>
      <c r="H45">
        <f t="shared" si="17"/>
        <v>2.7454999999999998</v>
      </c>
      <c r="I45">
        <f t="shared" si="18"/>
        <v>-0.22025011111111112</v>
      </c>
      <c r="K45">
        <v>4.5509331389539067</v>
      </c>
      <c r="L45">
        <f t="shared" si="3"/>
        <v>0.9777515894495461</v>
      </c>
      <c r="M45">
        <f t="shared" si="14"/>
        <v>1.9135669013644589</v>
      </c>
      <c r="N45">
        <f t="shared" si="15"/>
        <v>-0.1500952225860219</v>
      </c>
      <c r="P45">
        <v>5.8165995322743278</v>
      </c>
      <c r="Q45">
        <f t="shared" si="19"/>
        <v>0.97173891928302791</v>
      </c>
      <c r="R45">
        <f t="shared" si="20"/>
        <v>1.7332517609522911</v>
      </c>
      <c r="S45">
        <f t="shared" si="21"/>
        <v>-0.13511573726332879</v>
      </c>
      <c r="U45">
        <v>5.894631917311008</v>
      </c>
      <c r="V45">
        <f t="shared" si="22"/>
        <v>0.97137063816370739</v>
      </c>
      <c r="W45">
        <f t="shared" si="23"/>
        <v>1.7227423467212755</v>
      </c>
      <c r="X45">
        <f t="shared" si="24"/>
        <v>-0.13424557802537559</v>
      </c>
      <c r="Z45">
        <v>5.8949064966123652</v>
      </c>
      <c r="AA45">
        <f t="shared" si="25"/>
        <v>0.97136934275394826</v>
      </c>
      <c r="AB45">
        <f t="shared" si="26"/>
        <v>1.7227054860831732</v>
      </c>
      <c r="AC45">
        <f t="shared" si="27"/>
        <v>-0.13424252661663535</v>
      </c>
    </row>
    <row r="46" spans="1:29" x14ac:dyDescent="0.3">
      <c r="A46" s="91">
        <f t="shared" si="0"/>
        <v>48527</v>
      </c>
      <c r="B46">
        <v>2.7454999999999998</v>
      </c>
      <c r="C46">
        <f t="shared" si="16"/>
        <v>8.5222222222222221</v>
      </c>
      <c r="D46">
        <v>2</v>
      </c>
      <c r="F46">
        <f>0</f>
        <v>0</v>
      </c>
      <c r="G46">
        <f t="shared" si="13"/>
        <v>1</v>
      </c>
      <c r="H46">
        <f t="shared" si="17"/>
        <v>2.7454999999999998</v>
      </c>
      <c r="I46">
        <f t="shared" si="18"/>
        <v>-0.23397761111111112</v>
      </c>
      <c r="K46">
        <v>4.5509331389539067</v>
      </c>
      <c r="L46">
        <f t="shared" si="3"/>
        <v>0.9777515894495461</v>
      </c>
      <c r="M46">
        <f t="shared" si="14"/>
        <v>1.8709930793271423</v>
      </c>
      <c r="N46">
        <f t="shared" si="15"/>
        <v>-0.15590267473807234</v>
      </c>
      <c r="P46">
        <v>5.8165995322743278</v>
      </c>
      <c r="Q46">
        <f t="shared" si="19"/>
        <v>0.97173891928302791</v>
      </c>
      <c r="R46">
        <f t="shared" si="20"/>
        <v>1.6842681930331844</v>
      </c>
      <c r="S46">
        <f t="shared" si="21"/>
        <v>-0.13948056527480088</v>
      </c>
      <c r="U46">
        <v>5.894631917311008</v>
      </c>
      <c r="V46">
        <f t="shared" si="22"/>
        <v>0.97137063816370739</v>
      </c>
      <c r="W46">
        <f t="shared" si="23"/>
        <v>1.6734213327262881</v>
      </c>
      <c r="X46">
        <f t="shared" si="24"/>
        <v>-0.13852977453660031</v>
      </c>
      <c r="Z46">
        <v>5.8949064966123652</v>
      </c>
      <c r="AA46">
        <f t="shared" si="25"/>
        <v>0.97136934275394826</v>
      </c>
      <c r="AB46">
        <f t="shared" si="26"/>
        <v>1.6733832957752328</v>
      </c>
      <c r="AC46">
        <f t="shared" si="27"/>
        <v>-0.1385264410101936</v>
      </c>
    </row>
    <row r="47" spans="1:29" x14ac:dyDescent="0.3">
      <c r="A47" s="91">
        <f>EDATE(A46,3)</f>
        <v>48619</v>
      </c>
      <c r="B47">
        <f>(A47-A46)*C15/360</f>
        <v>2.0917222222222227</v>
      </c>
      <c r="C47">
        <f>(A47-B2)/360</f>
        <v>8.905555555555555</v>
      </c>
      <c r="D47">
        <v>4</v>
      </c>
      <c r="F47">
        <f>0</f>
        <v>0</v>
      </c>
      <c r="G47">
        <f t="shared" si="13"/>
        <v>1</v>
      </c>
      <c r="H47">
        <f t="shared" si="17"/>
        <v>2.0917222222222227</v>
      </c>
      <c r="I47">
        <f t="shared" si="18"/>
        <v>-0.18627948456790125</v>
      </c>
      <c r="K47">
        <v>4.5509331389539067</v>
      </c>
      <c r="L47">
        <f t="shared" si="3"/>
        <v>0.98875065469842638</v>
      </c>
      <c r="M47">
        <f t="shared" si="14"/>
        <v>1.3979265096793032</v>
      </c>
      <c r="N47">
        <f t="shared" si="15"/>
        <v>-0.12309265582889513</v>
      </c>
      <c r="P47">
        <v>5.8165995322743278</v>
      </c>
      <c r="Q47">
        <f t="shared" si="19"/>
        <v>0.98566692555460211</v>
      </c>
      <c r="R47">
        <f t="shared" si="20"/>
        <v>1.2507175014591463</v>
      </c>
      <c r="S47">
        <f t="shared" si="21"/>
        <v>-0.1097868762035619</v>
      </c>
      <c r="U47">
        <v>5.894631917311008</v>
      </c>
      <c r="V47">
        <f t="shared" si="22"/>
        <v>0.98547743317159253</v>
      </c>
      <c r="W47">
        <f t="shared" si="23"/>
        <v>1.2421806607939578</v>
      </c>
      <c r="X47">
        <f t="shared" si="24"/>
        <v>-0.10901655764682219</v>
      </c>
      <c r="Z47">
        <v>5.8949064966123652</v>
      </c>
      <c r="AA47">
        <f t="shared" si="25"/>
        <v>0.98547676651699612</v>
      </c>
      <c r="AB47">
        <f t="shared" si="26"/>
        <v>1.2421507274745136</v>
      </c>
      <c r="AC47">
        <f t="shared" si="27"/>
        <v>-0.10901385688603465</v>
      </c>
    </row>
    <row r="48" spans="1:29" x14ac:dyDescent="0.3">
      <c r="A48" s="91">
        <f t="shared" ref="A48:A49" si="28">EDATE(A47,3)</f>
        <v>48708</v>
      </c>
      <c r="B48">
        <f>(A48-A47)*C15/360</f>
        <v>2.0235138888888891</v>
      </c>
      <c r="C48">
        <f>(A48-B2)/360</f>
        <v>9.1527777777777786</v>
      </c>
      <c r="D48">
        <v>4</v>
      </c>
      <c r="F48">
        <f>0</f>
        <v>0</v>
      </c>
      <c r="G48">
        <f t="shared" si="13"/>
        <v>1</v>
      </c>
      <c r="H48">
        <f t="shared" si="17"/>
        <v>2.0235138888888891</v>
      </c>
      <c r="I48">
        <f t="shared" si="18"/>
        <v>-0.18520772955246917</v>
      </c>
      <c r="K48">
        <v>4.5509331389539067</v>
      </c>
      <c r="L48">
        <f t="shared" si="3"/>
        <v>0.98875065469842638</v>
      </c>
      <c r="M48">
        <f t="shared" si="14"/>
        <v>1.3372970771548043</v>
      </c>
      <c r="N48">
        <f t="shared" si="15"/>
        <v>-0.12102291175153974</v>
      </c>
      <c r="P48">
        <v>5.8165995322743278</v>
      </c>
      <c r="Q48">
        <f t="shared" si="19"/>
        <v>0.98566692555460211</v>
      </c>
      <c r="R48">
        <f t="shared" si="20"/>
        <v>1.1927824893464958</v>
      </c>
      <c r="S48">
        <f t="shared" si="21"/>
        <v>-0.10760794974671629</v>
      </c>
      <c r="U48">
        <v>5.894631917311008</v>
      </c>
      <c r="V48">
        <f t="shared" si="22"/>
        <v>0.98547743317159253</v>
      </c>
      <c r="W48">
        <f t="shared" si="23"/>
        <v>1.1844158727845564</v>
      </c>
      <c r="X48">
        <f t="shared" si="24"/>
        <v>-0.10683260558398545</v>
      </c>
      <c r="Z48">
        <v>5.8949064966123652</v>
      </c>
      <c r="AA48">
        <f t="shared" si="25"/>
        <v>0.98547676651699612</v>
      </c>
      <c r="AB48">
        <f t="shared" si="26"/>
        <v>1.1843865391355273</v>
      </c>
      <c r="AC48">
        <f t="shared" si="27"/>
        <v>-0.1068298874628944</v>
      </c>
    </row>
    <row r="49" spans="1:29" x14ac:dyDescent="0.3">
      <c r="A49" s="91">
        <f t="shared" si="28"/>
        <v>48800</v>
      </c>
      <c r="B49">
        <f>(A49-A48)*C15/360</f>
        <v>2.0917222222222227</v>
      </c>
      <c r="C49">
        <f>(A49-B2)/360</f>
        <v>9.4083333333333332</v>
      </c>
      <c r="D49">
        <v>4</v>
      </c>
      <c r="F49">
        <f>0</f>
        <v>0</v>
      </c>
      <c r="G49">
        <f>1/(1+F49/(100*D49))</f>
        <v>1</v>
      </c>
      <c r="H49">
        <f>B49*POWER(G49,C49*D49)</f>
        <v>2.0917222222222227</v>
      </c>
      <c r="I49">
        <f t="shared" si="18"/>
        <v>-0.19679619907407411</v>
      </c>
      <c r="K49">
        <v>4.5509331389539067</v>
      </c>
      <c r="L49">
        <f>1/(1+K49/(100*D49))</f>
        <v>0.98875065469842638</v>
      </c>
      <c r="M49">
        <f t="shared" si="14"/>
        <v>1.3664801193027585</v>
      </c>
      <c r="N49">
        <f t="shared" si="15"/>
        <v>-0.12711675492645677</v>
      </c>
      <c r="P49">
        <v>5.8165995322743278</v>
      </c>
      <c r="Q49">
        <f t="shared" si="19"/>
        <v>0.98566692555460211</v>
      </c>
      <c r="R49">
        <f t="shared" si="20"/>
        <v>1.2149262906149034</v>
      </c>
      <c r="S49">
        <f t="shared" si="21"/>
        <v>-0.11266598291651361</v>
      </c>
      <c r="U49">
        <v>5.894631917311008</v>
      </c>
      <c r="V49">
        <f t="shared" si="22"/>
        <v>0.98547743317159253</v>
      </c>
      <c r="W49">
        <f t="shared" si="23"/>
        <v>1.20616726710849</v>
      </c>
      <c r="X49">
        <f t="shared" si="24"/>
        <v>-0.11183221272090339</v>
      </c>
      <c r="Z49">
        <v>5.8949064966123652</v>
      </c>
      <c r="AA49">
        <f t="shared" si="25"/>
        <v>0.98547676651699612</v>
      </c>
      <c r="AB49">
        <f t="shared" si="26"/>
        <v>1.206136560698907</v>
      </c>
      <c r="AC49">
        <f t="shared" si="27"/>
        <v>-0.11182929006447397</v>
      </c>
    </row>
    <row r="50" spans="1:29" x14ac:dyDescent="0.3">
      <c r="A50" s="91">
        <f>EDATE(A49,3)</f>
        <v>48892</v>
      </c>
      <c r="B50">
        <f>B7+(A50-A49)*C15/360</f>
        <v>102.09172222222222</v>
      </c>
      <c r="C50">
        <f>(A50-B2)/360</f>
        <v>9.6638888888888896</v>
      </c>
      <c r="D50">
        <v>4</v>
      </c>
      <c r="F50">
        <f>0</f>
        <v>0</v>
      </c>
      <c r="G50">
        <f t="shared" ref="G50" si="29">1/(1+F50/(100*D50))</f>
        <v>1</v>
      </c>
      <c r="H50">
        <f t="shared" si="17"/>
        <v>102.09172222222222</v>
      </c>
      <c r="I50">
        <f t="shared" si="18"/>
        <v>-9.8660306003086422</v>
      </c>
      <c r="K50">
        <v>4.5509331389539067</v>
      </c>
      <c r="L50">
        <f t="shared" ref="L50" si="30">1/(1+K50/(100*D50))</f>
        <v>0.98875065469842638</v>
      </c>
      <c r="M50">
        <f>B50*POWER(L50,C50*D50)</f>
        <v>65.927626224325351</v>
      </c>
      <c r="N50">
        <f t="shared" si="15"/>
        <v>-6.299501025461657</v>
      </c>
      <c r="P50">
        <v>5.8165995322743278</v>
      </c>
      <c r="Q50">
        <f t="shared" si="19"/>
        <v>0.98566692555460211</v>
      </c>
      <c r="R50">
        <f t="shared" si="20"/>
        <v>58.428845428514954</v>
      </c>
      <c r="S50">
        <f t="shared" si="21"/>
        <v>-5.5655670150311414</v>
      </c>
      <c r="U50">
        <v>5.894631917311008</v>
      </c>
      <c r="V50">
        <f t="shared" si="22"/>
        <v>0.98547743317159253</v>
      </c>
      <c r="W50">
        <f t="shared" si="23"/>
        <v>57.996202437191265</v>
      </c>
      <c r="X50">
        <f t="shared" si="24"/>
        <v>-5.5232940990922232</v>
      </c>
      <c r="Z50">
        <v>5.8949064966123652</v>
      </c>
      <c r="AA50">
        <f t="shared" si="25"/>
        <v>0.98547676651699612</v>
      </c>
      <c r="AB50">
        <f t="shared" si="26"/>
        <v>57.994685875298345</v>
      </c>
      <c r="AC50">
        <f t="shared" si="27"/>
        <v>-5.5231459323530556</v>
      </c>
    </row>
    <row r="51" spans="1:29" x14ac:dyDescent="0.3">
      <c r="G51" t="s">
        <v>52</v>
      </c>
      <c r="H51">
        <f>SUM(H29:H50)</f>
        <v>157.71768055555555</v>
      </c>
      <c r="I51">
        <f>SUM(I29:I50)</f>
        <v>-12.545603513503087</v>
      </c>
      <c r="L51" t="s">
        <v>52</v>
      </c>
      <c r="M51">
        <f>SUM(M29:M50)</f>
        <v>111.08347431426866</v>
      </c>
      <c r="N51">
        <f>SUM(N29:N50)</f>
        <v>-8.2644183267357914</v>
      </c>
      <c r="Q51" t="s">
        <v>52</v>
      </c>
      <c r="R51">
        <f>SUM(R29:R50)</f>
        <v>101.19883783336448</v>
      </c>
      <c r="S51">
        <f>SUM(S29:S50)</f>
        <v>-7.3733496075538962</v>
      </c>
      <c r="V51" t="s">
        <v>52</v>
      </c>
      <c r="W51">
        <f>SUM(W29:W50)</f>
        <v>100.62548821602022</v>
      </c>
      <c r="X51">
        <f>SUM(X29:X50)</f>
        <v>-7.3218856355806974</v>
      </c>
      <c r="AA51" t="s">
        <v>52</v>
      </c>
      <c r="AB51">
        <f>SUM(AB29:AB50)</f>
        <v>100.62347780254642</v>
      </c>
      <c r="AC51">
        <f>SUM(AC29:AC50)</f>
        <v>-7.3217052254633614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848F0AA72504E890567D9532E810F" ma:contentTypeVersion="9" ma:contentTypeDescription="Create a new document." ma:contentTypeScope="" ma:versionID="f6e1f07dc7682d0dacc6b9bf3e1a4316">
  <xsd:schema xmlns:xsd="http://www.w3.org/2001/XMLSchema" xmlns:xs="http://www.w3.org/2001/XMLSchema" xmlns:p="http://schemas.microsoft.com/office/2006/metadata/properties" xmlns:ns3="c3f3494a-19fd-4914-9911-1e65e6fb27e3" xmlns:ns4="669fc349-d8dd-4f2d-b20d-a5670dae3e3b" targetNamespace="http://schemas.microsoft.com/office/2006/metadata/properties" ma:root="true" ma:fieldsID="f2d08d815e5827e1140a1137d6d33a45" ns3:_="" ns4:_="">
    <xsd:import namespace="c3f3494a-19fd-4914-9911-1e65e6fb27e3"/>
    <xsd:import namespace="669fc349-d8dd-4f2d-b20d-a5670dae3e3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3494a-19fd-4914-9911-1e65e6fb27e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fc349-d8dd-4f2d-b20d-a5670dae3e3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f3494a-19fd-4914-9911-1e65e6fb27e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04CAC4-9B0C-401A-9A2C-24020DBD95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f3494a-19fd-4914-9911-1e65e6fb27e3"/>
    <ds:schemaRef ds:uri="669fc349-d8dd-4f2d-b20d-a5670dae3e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CA0AF8-8ADF-4408-A2FC-D519457CFDDE}">
  <ds:schemaRefs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669fc349-d8dd-4f2d-b20d-a5670dae3e3b"/>
    <ds:schemaRef ds:uri="http://purl.org/dc/terms/"/>
    <ds:schemaRef ds:uri="http://schemas.microsoft.com/office/infopath/2007/PartnerControls"/>
    <ds:schemaRef ds:uri="c3f3494a-19fd-4914-9911-1e65e6fb27e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868F977-3E58-4B2C-9230-27741173C6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YTM</vt:lpstr>
      <vt:lpstr>Yield Variation</vt:lpstr>
      <vt:lpstr>YTC, YTW</vt:lpstr>
      <vt:lpstr>YTC using formula</vt:lpstr>
      <vt:lpstr>Sample Sheet</vt:lpstr>
      <vt:lpstr>DCF</vt:lpstr>
      <vt:lpstr>cusips</vt:lpstr>
      <vt:lpstr>38141GZN7</vt:lpstr>
      <vt:lpstr>55608JBG2</vt:lpstr>
      <vt:lpstr>46647PCE4</vt:lpstr>
      <vt:lpstr>61747YFE0</vt:lpstr>
      <vt:lpstr>172967PA3</vt:lpstr>
      <vt:lpstr>06051GLS6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Aacashi Nawyndder</dc:creator>
  <cp:keywords/>
  <dc:description/>
  <cp:lastModifiedBy>Aacashi Nawyndder</cp:lastModifiedBy>
  <cp:revision/>
  <dcterms:created xsi:type="dcterms:W3CDTF">2024-06-06T09:27:08Z</dcterms:created>
  <dcterms:modified xsi:type="dcterms:W3CDTF">2024-07-15T11:45:17Z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0x010100674848F0AA72504E890567D9532E810F</vt:lpwstr>
  </property>
</Properties>
</file>