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f\Storage\a\a\axa1785\Year 3\EFE\"/>
    </mc:Choice>
  </mc:AlternateContent>
  <xr:revisionPtr revIDLastSave="0" documentId="8_{0B98B153-4B16-40AF-B2BC-3699E0B4CEE3}" xr6:coauthVersionLast="36" xr6:coauthVersionMax="36" xr10:uidLastSave="{00000000-0000-0000-0000-000000000000}"/>
  <bookViews>
    <workbookView xWindow="0" yWindow="375" windowWidth="19200" windowHeight="10185" firstSheet="5" activeTab="5" xr2:uid="{68D9249C-E37E-47C4-9F04-F9B099F5BF22}"/>
  </bookViews>
  <sheets>
    <sheet name="Room Dimensions" sheetId="1" r:id="rId1"/>
    <sheet name="Heat Data " sheetId="2" r:id="rId2"/>
    <sheet name="U values Downstairsn" sheetId="3" r:id="rId3"/>
    <sheet name="U values new" sheetId="8" r:id="rId4"/>
    <sheet name="U values Upstairs" sheetId="4" r:id="rId5"/>
    <sheet name="Uvalues and areas" sheetId="9" r:id="rId6"/>
    <sheet name="Final Data" sheetId="5" r:id="rId7"/>
    <sheet name="Ventillation" sheetId="6" r:id="rId8"/>
    <sheet name="Volumes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9" l="1"/>
  <c r="D4" i="9"/>
  <c r="D3" i="9"/>
  <c r="D2" i="9"/>
  <c r="F2" i="9"/>
  <c r="F5" i="9"/>
  <c r="F4" i="9"/>
  <c r="E5" i="9"/>
  <c r="E4" i="9"/>
  <c r="F3" i="9"/>
  <c r="E3" i="9"/>
  <c r="E2" i="9"/>
  <c r="B3" i="9"/>
  <c r="C4" i="9"/>
  <c r="C5" i="9"/>
  <c r="C3" i="9"/>
  <c r="C2" i="9"/>
  <c r="B5" i="9"/>
  <c r="B2" i="9"/>
  <c r="B4" i="9"/>
  <c r="I94" i="8"/>
  <c r="H84" i="8"/>
  <c r="F91" i="8"/>
  <c r="F84" i="8"/>
  <c r="H120" i="3"/>
  <c r="H125" i="3"/>
  <c r="H122" i="3"/>
  <c r="H121" i="3"/>
  <c r="H119" i="3"/>
  <c r="H123" i="3"/>
  <c r="H118" i="3"/>
  <c r="H117" i="3"/>
  <c r="H116" i="3"/>
  <c r="M84" i="8"/>
  <c r="K85" i="8"/>
  <c r="L85" i="8"/>
  <c r="K86" i="8"/>
  <c r="L86" i="8"/>
  <c r="K87" i="8"/>
  <c r="L87" i="8"/>
  <c r="K88" i="8"/>
  <c r="L88" i="8"/>
  <c r="L84" i="8"/>
  <c r="K84" i="8"/>
  <c r="E85" i="8"/>
  <c r="F85" i="8"/>
  <c r="E86" i="8"/>
  <c r="F86" i="8"/>
  <c r="E87" i="8"/>
  <c r="F87" i="8"/>
  <c r="E88" i="8"/>
  <c r="E89" i="8"/>
  <c r="E90" i="8"/>
  <c r="F90" i="8"/>
  <c r="E91" i="8"/>
  <c r="E92" i="8"/>
  <c r="F92" i="8"/>
  <c r="E93" i="8"/>
  <c r="E94" i="8"/>
  <c r="E84" i="8"/>
  <c r="P59" i="8"/>
  <c r="N64" i="8"/>
  <c r="N59" i="8"/>
  <c r="T65" i="8"/>
  <c r="N63" i="8" s="1"/>
  <c r="T63" i="8"/>
  <c r="F88" i="8" s="1"/>
  <c r="N61" i="8"/>
  <c r="T68" i="8"/>
  <c r="N60" i="8" s="1"/>
  <c r="N62" i="8" s="1"/>
  <c r="T73" i="8"/>
  <c r="T72" i="8"/>
  <c r="T71" i="8"/>
  <c r="T70" i="8"/>
  <c r="U69" i="8"/>
  <c r="T69" i="8"/>
  <c r="T66" i="8"/>
  <c r="T62" i="8"/>
  <c r="T61" i="8"/>
  <c r="T57" i="8"/>
  <c r="D39" i="8"/>
  <c r="D38" i="8"/>
  <c r="D40" i="8"/>
  <c r="Y21" i="8"/>
  <c r="E38" i="8"/>
  <c r="D44" i="8" s="1"/>
  <c r="Y25" i="8"/>
  <c r="Y24" i="8"/>
  <c r="Y26" i="8"/>
  <c r="C8" i="8"/>
  <c r="Z24" i="8"/>
  <c r="C7" i="8"/>
  <c r="C10" i="8"/>
  <c r="C6" i="8"/>
  <c r="E6" i="8"/>
  <c r="Y28" i="8"/>
  <c r="Y27" i="8"/>
  <c r="C9" i="8"/>
  <c r="Y20" i="8"/>
  <c r="Y18" i="8"/>
  <c r="Y17" i="8"/>
  <c r="Y16" i="8"/>
  <c r="Y12" i="8"/>
  <c r="M74" i="3"/>
  <c r="J75" i="3"/>
  <c r="J74" i="3"/>
  <c r="J76" i="3"/>
  <c r="J78" i="3"/>
  <c r="E40" i="3"/>
  <c r="E37" i="3"/>
  <c r="E35" i="3"/>
  <c r="E39" i="3"/>
  <c r="L37" i="4"/>
  <c r="F33" i="4"/>
  <c r="F37" i="4"/>
  <c r="J39" i="4" s="1"/>
  <c r="B9" i="7"/>
  <c r="B10" i="7"/>
  <c r="B11" i="7"/>
  <c r="B12" i="7"/>
  <c r="B8" i="7"/>
  <c r="B3" i="7"/>
  <c r="B4" i="7"/>
  <c r="B5" i="7"/>
  <c r="B6" i="7"/>
  <c r="B7" i="7"/>
  <c r="B2" i="7"/>
  <c r="O31" i="6"/>
  <c r="O30" i="6"/>
  <c r="O29" i="6"/>
  <c r="C3" i="5"/>
  <c r="O15" i="6"/>
  <c r="M2" i="6" s="1"/>
  <c r="H8" i="6"/>
  <c r="H7" i="6"/>
  <c r="H6" i="6"/>
  <c r="H5" i="6"/>
  <c r="H4" i="6"/>
  <c r="B9" i="6"/>
  <c r="B8" i="6"/>
  <c r="B7" i="6"/>
  <c r="B6" i="6"/>
  <c r="B5" i="6"/>
  <c r="B4" i="6"/>
  <c r="M84" i="1"/>
  <c r="U75" i="1"/>
  <c r="I50" i="1"/>
  <c r="U64" i="1"/>
  <c r="U50" i="1"/>
  <c r="U36" i="1"/>
  <c r="I6" i="1"/>
  <c r="AF207" i="4"/>
  <c r="M43" i="1"/>
  <c r="N43" i="1"/>
  <c r="O43" i="1"/>
  <c r="V196" i="4" s="1"/>
  <c r="AE211" i="4"/>
  <c r="AE210" i="4"/>
  <c r="AE209" i="4"/>
  <c r="AE207" i="4"/>
  <c r="AE204" i="4"/>
  <c r="AE203" i="4"/>
  <c r="AE201" i="4"/>
  <c r="AE200" i="4"/>
  <c r="AE199" i="4"/>
  <c r="AE195" i="4"/>
  <c r="M27" i="1"/>
  <c r="AA149" i="4"/>
  <c r="AA153" i="4"/>
  <c r="AA154" i="4"/>
  <c r="AA155" i="4"/>
  <c r="AA157" i="4"/>
  <c r="AA158" i="4"/>
  <c r="AA161" i="4"/>
  <c r="AA163" i="4"/>
  <c r="AA164" i="4"/>
  <c r="AA165" i="4"/>
  <c r="AB123" i="4"/>
  <c r="AB122" i="4"/>
  <c r="AB121" i="4"/>
  <c r="AB119" i="4"/>
  <c r="AB116" i="4"/>
  <c r="AB115" i="4"/>
  <c r="AB113" i="4"/>
  <c r="AB112" i="4"/>
  <c r="AB111" i="4"/>
  <c r="AB107" i="4"/>
  <c r="M57" i="1"/>
  <c r="N57" i="1"/>
  <c r="O57" i="1"/>
  <c r="P113" i="4" s="1"/>
  <c r="M113" i="4" s="1"/>
  <c r="Q72" i="4"/>
  <c r="N72" i="4" s="1"/>
  <c r="O71" i="1"/>
  <c r="O33" i="4" s="1"/>
  <c r="L33" i="4" s="1"/>
  <c r="Z21" i="4"/>
  <c r="Z20" i="4"/>
  <c r="Z19" i="4"/>
  <c r="Z17" i="4"/>
  <c r="Z14" i="4"/>
  <c r="Z13" i="4"/>
  <c r="Z11" i="4"/>
  <c r="Z10" i="4"/>
  <c r="Z9" i="4"/>
  <c r="Z5" i="4"/>
  <c r="C13" i="1"/>
  <c r="D13" i="1"/>
  <c r="AJ115" i="3"/>
  <c r="AJ114" i="3"/>
  <c r="AJ113" i="3"/>
  <c r="AJ111" i="3"/>
  <c r="AJ108" i="3"/>
  <c r="AJ107" i="3"/>
  <c r="AJ105" i="3"/>
  <c r="AJ104" i="3"/>
  <c r="AJ103" i="3"/>
  <c r="AJ99" i="3"/>
  <c r="C29" i="1"/>
  <c r="C28" i="1"/>
  <c r="AB72" i="3"/>
  <c r="AB71" i="3"/>
  <c r="AB70" i="3"/>
  <c r="AB68" i="3"/>
  <c r="AB65" i="3"/>
  <c r="AB64" i="3"/>
  <c r="AB62" i="3"/>
  <c r="AB61" i="3"/>
  <c r="AB60" i="3"/>
  <c r="AB56" i="3"/>
  <c r="L125" i="3"/>
  <c r="L124" i="3"/>
  <c r="Y23" i="3"/>
  <c r="Y22" i="3"/>
  <c r="Y21" i="3"/>
  <c r="Z19" i="3"/>
  <c r="Y19" i="3"/>
  <c r="Y16" i="3"/>
  <c r="Y15" i="3"/>
  <c r="Y13" i="3"/>
  <c r="Y12" i="3"/>
  <c r="Y11" i="3"/>
  <c r="Y7" i="3"/>
  <c r="T37" i="1"/>
  <c r="T36" i="1"/>
  <c r="O36" i="1" s="1"/>
  <c r="V195" i="4" s="1"/>
  <c r="E9" i="1"/>
  <c r="H24" i="1"/>
  <c r="G11" i="1"/>
  <c r="H25" i="1" s="1"/>
  <c r="Y13" i="1"/>
  <c r="G13" i="1"/>
  <c r="Y8" i="1"/>
  <c r="Y4" i="1"/>
  <c r="Y12" i="1"/>
  <c r="Y10" i="1"/>
  <c r="H29" i="1"/>
  <c r="H43" i="1" s="1"/>
  <c r="Y9" i="1"/>
  <c r="M76" i="1"/>
  <c r="O76" i="1"/>
  <c r="P20" i="2"/>
  <c r="P19" i="2"/>
  <c r="P15" i="2"/>
  <c r="P14" i="2"/>
  <c r="P5" i="2"/>
  <c r="P4" i="2"/>
  <c r="P3" i="2"/>
  <c r="M79" i="1"/>
  <c r="N78" i="1"/>
  <c r="N77" i="1"/>
  <c r="C53" i="1"/>
  <c r="D24" i="1"/>
  <c r="D25" i="1" s="1"/>
  <c r="C24" i="1"/>
  <c r="D10" i="1"/>
  <c r="C10" i="1"/>
  <c r="M9" i="1"/>
  <c r="N24" i="1"/>
  <c r="N25" i="1" s="1"/>
  <c r="M24" i="1"/>
  <c r="N41" i="1"/>
  <c r="N40" i="1" s="1"/>
  <c r="M41" i="1"/>
  <c r="M55" i="1"/>
  <c r="M54" i="1" s="1"/>
  <c r="C66" i="1"/>
  <c r="C65" i="1"/>
  <c r="C64" i="1"/>
  <c r="C63" i="1"/>
  <c r="C51" i="1"/>
  <c r="C50" i="1"/>
  <c r="C41" i="1"/>
  <c r="C54" i="1" s="1"/>
  <c r="L11" i="1"/>
  <c r="M26" i="1" s="1"/>
  <c r="M42" i="1" s="1"/>
  <c r="M56" i="1" s="1"/>
  <c r="M70" i="1" s="1"/>
  <c r="C36" i="1"/>
  <c r="C37" i="1"/>
  <c r="C38" i="1"/>
  <c r="C35" i="1"/>
  <c r="C27" i="1"/>
  <c r="D21" i="1"/>
  <c r="D20" i="1"/>
  <c r="L12" i="1"/>
  <c r="L8" i="1"/>
  <c r="L7" i="1"/>
  <c r="N21" i="1"/>
  <c r="N22" i="1"/>
  <c r="N23" i="1"/>
  <c r="N27" i="1" s="1"/>
  <c r="N20" i="1"/>
  <c r="U20" i="1" s="1"/>
  <c r="M51" i="1"/>
  <c r="M50" i="1"/>
  <c r="N67" i="1"/>
  <c r="N66" i="1"/>
  <c r="N65" i="1"/>
  <c r="M65" i="1"/>
  <c r="N64" i="1"/>
  <c r="M64" i="1"/>
  <c r="N66" i="8" l="1"/>
  <c r="P66" i="8"/>
  <c r="F89" i="8"/>
  <c r="F93" i="8" s="1"/>
  <c r="F94" i="8" s="1"/>
  <c r="D42" i="8"/>
  <c r="C14" i="8"/>
  <c r="C12" i="8"/>
  <c r="D28" i="1"/>
  <c r="J20" i="1"/>
  <c r="L9" i="1"/>
  <c r="L10" i="1" s="1"/>
  <c r="C69" i="1"/>
  <c r="P198" i="4"/>
  <c r="P196" i="4"/>
  <c r="P195" i="4"/>
  <c r="P197" i="4" s="1"/>
  <c r="S196" i="4"/>
  <c r="S195" i="4"/>
  <c r="P200" i="4"/>
  <c r="S197" i="4"/>
  <c r="S200" i="4" s="1"/>
  <c r="V197" i="4"/>
  <c r="AC68" i="3"/>
  <c r="AK111" i="3" s="1"/>
  <c r="AA17" i="4"/>
  <c r="L123" i="3"/>
  <c r="D11" i="1"/>
  <c r="E11" i="1" s="1"/>
  <c r="E10" i="1"/>
  <c r="N55" i="1"/>
  <c r="M5" i="1"/>
  <c r="T5" i="1" s="1"/>
  <c r="N50" i="1"/>
  <c r="N53" i="1"/>
  <c r="M8" i="1"/>
  <c r="M12" i="1" s="1"/>
  <c r="N12" i="1" s="1"/>
  <c r="O23" i="1"/>
  <c r="N52" i="1"/>
  <c r="M7" i="1"/>
  <c r="N7" i="1" s="1"/>
  <c r="O22" i="1"/>
  <c r="N51" i="1"/>
  <c r="M6" i="1"/>
  <c r="O27" i="1"/>
  <c r="D35" i="1"/>
  <c r="D22" i="1"/>
  <c r="D29" i="1"/>
  <c r="D36" i="1"/>
  <c r="D23" i="1"/>
  <c r="D38" i="1" s="1"/>
  <c r="C12" i="1"/>
  <c r="C42" i="1"/>
  <c r="E28" i="1"/>
  <c r="D39" i="1"/>
  <c r="C39" i="1"/>
  <c r="C40" i="1" s="1"/>
  <c r="C43" i="1"/>
  <c r="D52" i="1"/>
  <c r="E52" i="1" s="1"/>
  <c r="D67" i="1"/>
  <c r="D68" i="1" s="1"/>
  <c r="C67" i="1"/>
  <c r="C68" i="1" s="1"/>
  <c r="C70" i="1"/>
  <c r="O41" i="1"/>
  <c r="M40" i="1"/>
  <c r="O24" i="1"/>
  <c r="M25" i="1"/>
  <c r="O25" i="1" s="1"/>
  <c r="N9" i="1"/>
  <c r="M10" i="1"/>
  <c r="N10" i="1" s="1"/>
  <c r="C11" i="1"/>
  <c r="E13" i="1"/>
  <c r="AX117" i="3" s="1"/>
  <c r="E24" i="1"/>
  <c r="C25" i="1"/>
  <c r="O77" i="1"/>
  <c r="N79" i="1"/>
  <c r="O78" i="1"/>
  <c r="E29" i="1"/>
  <c r="G9" i="1"/>
  <c r="Q8" i="1" s="1"/>
  <c r="S8" i="1" s="1"/>
  <c r="N8" i="1" s="1"/>
  <c r="G7" i="1"/>
  <c r="G6" i="1"/>
  <c r="R25" i="1"/>
  <c r="H40" i="1"/>
  <c r="H53" i="1" s="1"/>
  <c r="R24" i="1"/>
  <c r="H39" i="1"/>
  <c r="H52" i="1" s="1"/>
  <c r="H28" i="1"/>
  <c r="H23" i="1"/>
  <c r="I23" i="1" s="1"/>
  <c r="E23" i="1" s="1"/>
  <c r="G8" i="1"/>
  <c r="H8" i="1" s="1"/>
  <c r="E8" i="1" s="1"/>
  <c r="Q6" i="1"/>
  <c r="S6" i="1" s="1"/>
  <c r="H20" i="1"/>
  <c r="O79" i="1"/>
  <c r="E67" i="1"/>
  <c r="E25" i="1"/>
  <c r="O37" i="1"/>
  <c r="D26" i="1"/>
  <c r="D41" i="1" s="1"/>
  <c r="H126" i="3" l="1"/>
  <c r="D63" i="1"/>
  <c r="J63" i="1" s="1"/>
  <c r="J35" i="1"/>
  <c r="O40" i="1"/>
  <c r="M197" i="4"/>
  <c r="M196" i="4"/>
  <c r="M200" i="4"/>
  <c r="R201" i="4" s="1"/>
  <c r="C2" i="5" s="1"/>
  <c r="R154" i="4"/>
  <c r="L32" i="4"/>
  <c r="AC119" i="4"/>
  <c r="N71" i="4"/>
  <c r="AV117" i="3"/>
  <c r="AV116" i="3"/>
  <c r="AK88" i="3"/>
  <c r="AJ81" i="3" s="1"/>
  <c r="AM81" i="3" s="1"/>
  <c r="I20" i="1"/>
  <c r="R20" i="1"/>
  <c r="T20" i="1" s="1"/>
  <c r="O20" i="1" s="1"/>
  <c r="R153" i="4" s="1"/>
  <c r="Q5" i="1"/>
  <c r="S5" i="1" s="1"/>
  <c r="N5" i="1" s="1"/>
  <c r="P112" i="4" s="1"/>
  <c r="H6" i="1"/>
  <c r="E6" i="1" s="1"/>
  <c r="AX116" i="3" s="1"/>
  <c r="AS117" i="3" s="1"/>
  <c r="H21" i="1"/>
  <c r="H7" i="1"/>
  <c r="E7" i="1" s="1"/>
  <c r="E68" i="1"/>
  <c r="D53" i="1"/>
  <c r="E53" i="1" s="1"/>
  <c r="E39" i="1"/>
  <c r="D40" i="1"/>
  <c r="E40" i="1" s="1"/>
  <c r="D50" i="1"/>
  <c r="D66" i="1"/>
  <c r="D64" i="1"/>
  <c r="D43" i="1"/>
  <c r="E43" i="1" s="1"/>
  <c r="D37" i="1"/>
  <c r="N54" i="1"/>
  <c r="O54" i="1" s="1"/>
  <c r="O55" i="1"/>
  <c r="R23" i="1"/>
  <c r="T23" i="1" s="1"/>
  <c r="H38" i="1"/>
  <c r="I38" i="1" s="1"/>
  <c r="E38" i="1" s="1"/>
  <c r="H22" i="1"/>
  <c r="I22" i="1" s="1"/>
  <c r="E22" i="1" s="1"/>
  <c r="Q7" i="1"/>
  <c r="S7" i="1" s="1"/>
  <c r="H35" i="1"/>
  <c r="R50" i="1"/>
  <c r="D54" i="1"/>
  <c r="E54" i="1" s="1"/>
  <c r="E41" i="1"/>
  <c r="E26" i="1"/>
  <c r="AK90" i="3" s="1"/>
  <c r="M11" i="1"/>
  <c r="D27" i="1"/>
  <c r="C12" i="5" l="1"/>
  <c r="E50" i="1"/>
  <c r="AG80" i="3"/>
  <c r="AG81" i="3" s="1"/>
  <c r="AK91" i="3"/>
  <c r="E36" i="3"/>
  <c r="E55" i="1"/>
  <c r="R64" i="1"/>
  <c r="T64" i="1" s="1"/>
  <c r="T50" i="1"/>
  <c r="O50" i="1" s="1"/>
  <c r="Q71" i="4" s="1"/>
  <c r="J112" i="4"/>
  <c r="J114" i="4" s="1"/>
  <c r="J113" i="4"/>
  <c r="J115" i="4"/>
  <c r="P114" i="4"/>
  <c r="E20" i="1"/>
  <c r="AK92" i="3" s="1"/>
  <c r="AQ81" i="3" s="1"/>
  <c r="L34" i="4"/>
  <c r="L156" i="4"/>
  <c r="L154" i="4"/>
  <c r="O154" i="4"/>
  <c r="O153" i="4"/>
  <c r="M112" i="4"/>
  <c r="AB161" i="4"/>
  <c r="L153" i="4"/>
  <c r="L155" i="4" s="1"/>
  <c r="R155" i="4"/>
  <c r="N73" i="4"/>
  <c r="N76" i="4" s="1"/>
  <c r="M114" i="4"/>
  <c r="M117" i="4" s="1"/>
  <c r="AX118" i="3"/>
  <c r="AS116" i="3"/>
  <c r="AS119" i="3"/>
  <c r="AV121" i="3"/>
  <c r="AV118" i="3"/>
  <c r="AQ80" i="3"/>
  <c r="AQ83" i="3"/>
  <c r="AK89" i="3"/>
  <c r="AK87" i="3" s="1"/>
  <c r="AA81" i="3" s="1"/>
  <c r="AJ80" i="3"/>
  <c r="AA80" i="3"/>
  <c r="AA82" i="3" s="1"/>
  <c r="H63" i="1"/>
  <c r="I63" i="1" s="1"/>
  <c r="I35" i="1"/>
  <c r="I21" i="1"/>
  <c r="R21" i="1"/>
  <c r="H36" i="1"/>
  <c r="R53" i="1"/>
  <c r="T53" i="1" s="1"/>
  <c r="O53" i="1" s="1"/>
  <c r="R38" i="1"/>
  <c r="D65" i="1"/>
  <c r="D51" i="1"/>
  <c r="H66" i="1"/>
  <c r="I66" i="1" s="1"/>
  <c r="E66" i="1" s="1"/>
  <c r="H50" i="1"/>
  <c r="R22" i="1"/>
  <c r="H37" i="1"/>
  <c r="I37" i="1" s="1"/>
  <c r="E37" i="1" s="1"/>
  <c r="D69" i="1"/>
  <c r="E69" i="1" s="1"/>
  <c r="K42" i="3" s="1"/>
  <c r="E27" i="1"/>
  <c r="D12" i="1"/>
  <c r="E12" i="1" s="1"/>
  <c r="D42" i="1"/>
  <c r="E42" i="1" s="1"/>
  <c r="N26" i="1"/>
  <c r="N11" i="1"/>
  <c r="N6" i="1" s="1"/>
  <c r="K37" i="3" l="1"/>
  <c r="K39" i="3"/>
  <c r="K36" i="3"/>
  <c r="K38" i="3" s="1"/>
  <c r="K35" i="3"/>
  <c r="K41" i="3" s="1"/>
  <c r="R52" i="1"/>
  <c r="T52" i="1" s="1"/>
  <c r="T22" i="1"/>
  <c r="E51" i="1"/>
  <c r="R39" i="1"/>
  <c r="T39" i="1" s="1"/>
  <c r="O39" i="1" s="1"/>
  <c r="T38" i="1"/>
  <c r="O38" i="1" s="1"/>
  <c r="R51" i="1"/>
  <c r="T21" i="1"/>
  <c r="G114" i="4"/>
  <c r="G113" i="4"/>
  <c r="G117" i="4" s="1"/>
  <c r="J117" i="4"/>
  <c r="K71" i="4"/>
  <c r="K72" i="4"/>
  <c r="K74" i="4"/>
  <c r="Q73" i="4"/>
  <c r="E41" i="3"/>
  <c r="E38" i="3"/>
  <c r="AD81" i="3"/>
  <c r="AD80" i="3"/>
  <c r="AD82" i="3" s="1"/>
  <c r="AD83" i="3" s="1"/>
  <c r="I154" i="4"/>
  <c r="I155" i="4"/>
  <c r="O155" i="4"/>
  <c r="O158" i="4" s="1"/>
  <c r="L158" i="4"/>
  <c r="AS118" i="3"/>
  <c r="AS121" i="3" s="1"/>
  <c r="AP118" i="3"/>
  <c r="AP117" i="3"/>
  <c r="AP121" i="3" s="1"/>
  <c r="AT123" i="3" s="1"/>
  <c r="C11" i="5" s="1"/>
  <c r="AJ82" i="3"/>
  <c r="AM80" i="3"/>
  <c r="AQ82" i="3"/>
  <c r="AQ84" i="3" s="1"/>
  <c r="H64" i="1"/>
  <c r="I64" i="1" s="1"/>
  <c r="E64" i="1" s="1"/>
  <c r="I36" i="1"/>
  <c r="E36" i="1" s="1"/>
  <c r="E21" i="1"/>
  <c r="E35" i="1"/>
  <c r="R77" i="1"/>
  <c r="R66" i="1"/>
  <c r="T66" i="1" s="1"/>
  <c r="O66" i="1" s="1"/>
  <c r="O32" i="4" s="1"/>
  <c r="D70" i="1"/>
  <c r="E70" i="1" s="1"/>
  <c r="R76" i="1"/>
  <c r="R67" i="1"/>
  <c r="T67" i="1" s="1"/>
  <c r="O67" i="1" s="1"/>
  <c r="H65" i="1"/>
  <c r="I65" i="1" s="1"/>
  <c r="E65" i="1" s="1"/>
  <c r="H51" i="1"/>
  <c r="N42" i="1"/>
  <c r="O26" i="1"/>
  <c r="P74" i="3" l="1"/>
  <c r="E63" i="1"/>
  <c r="I35" i="4"/>
  <c r="I33" i="4"/>
  <c r="I32" i="4"/>
  <c r="I34" i="4" s="1"/>
  <c r="I37" i="4" s="1"/>
  <c r="O34" i="4"/>
  <c r="AM82" i="3"/>
  <c r="AJ83" i="3"/>
  <c r="H35" i="3"/>
  <c r="P36" i="3" s="1"/>
  <c r="C7" i="5" s="1"/>
  <c r="H72" i="4"/>
  <c r="H73" i="4"/>
  <c r="K73" i="4"/>
  <c r="K76" i="4"/>
  <c r="K119" i="4"/>
  <c r="C4" i="5" s="1"/>
  <c r="O21" i="1"/>
  <c r="R65" i="1"/>
  <c r="T65" i="1" s="1"/>
  <c r="O65" i="1" s="1"/>
  <c r="T51" i="1"/>
  <c r="I158" i="4"/>
  <c r="N159" i="4" s="1"/>
  <c r="AM83" i="3"/>
  <c r="AS80" i="3" s="1"/>
  <c r="C10" i="5" s="1"/>
  <c r="N56" i="1"/>
  <c r="O42" i="1"/>
  <c r="H76" i="4" l="1"/>
  <c r="L78" i="4" s="1"/>
  <c r="C5" i="5" s="1"/>
  <c r="F34" i="4"/>
  <c r="AU44" i="3"/>
  <c r="P75" i="3"/>
  <c r="P76" i="3"/>
  <c r="N70" i="1"/>
  <c r="O70" i="1" s="1"/>
  <c r="O64" i="1" s="1"/>
  <c r="O56" i="1"/>
  <c r="O52" i="1" l="1"/>
  <c r="O51" i="1"/>
  <c r="G75" i="3"/>
  <c r="G74" i="3"/>
  <c r="G78" i="3" s="1"/>
  <c r="M76" i="3"/>
  <c r="M75" i="3"/>
  <c r="M77" i="3"/>
  <c r="AL43" i="3"/>
  <c r="AU42" i="3"/>
  <c r="AU43" i="3"/>
  <c r="C6" i="5"/>
  <c r="AL42" i="3"/>
  <c r="AR42" i="3" l="1"/>
  <c r="AR43" i="3"/>
  <c r="AR45" i="3"/>
  <c r="AO43" i="3"/>
  <c r="AO42" i="3"/>
  <c r="M78" i="3"/>
  <c r="J81" i="3"/>
  <c r="C8" i="5" s="1"/>
  <c r="AL46" i="3"/>
  <c r="AO44" i="3" l="1"/>
  <c r="AO46" i="3"/>
  <c r="AR44" i="3"/>
  <c r="AR46" i="3"/>
  <c r="AO49" i="3" l="1"/>
  <c r="C9" i="5" s="1"/>
  <c r="C13" i="5" s="1"/>
</calcChain>
</file>

<file path=xl/sharedStrings.xml><?xml version="1.0" encoding="utf-8"?>
<sst xmlns="http://schemas.openxmlformats.org/spreadsheetml/2006/main" count="848" uniqueCount="240">
  <si>
    <t>Upstairs</t>
  </si>
  <si>
    <t>Haroons Room</t>
  </si>
  <si>
    <t>Type</t>
  </si>
  <si>
    <t>d</t>
  </si>
  <si>
    <t>Bathroom</t>
  </si>
  <si>
    <t>W</t>
  </si>
  <si>
    <t>H</t>
  </si>
  <si>
    <t>A</t>
  </si>
  <si>
    <t>k</t>
  </si>
  <si>
    <t>U</t>
  </si>
  <si>
    <t xml:space="preserve">Outer L </t>
  </si>
  <si>
    <t xml:space="preserve">V </t>
  </si>
  <si>
    <t>Cavity</t>
  </si>
  <si>
    <t>A (m^2)</t>
  </si>
  <si>
    <t>Outer L</t>
  </si>
  <si>
    <t>V m^3</t>
  </si>
  <si>
    <t xml:space="preserve">Wall 1 </t>
  </si>
  <si>
    <t>Poor</t>
  </si>
  <si>
    <t>Wall2</t>
  </si>
  <si>
    <t xml:space="preserve">Wall 3 </t>
  </si>
  <si>
    <t>Party</t>
  </si>
  <si>
    <t>Wall 4</t>
  </si>
  <si>
    <t>PVC</t>
  </si>
  <si>
    <t>Floor</t>
  </si>
  <si>
    <t xml:space="preserve">Paint </t>
  </si>
  <si>
    <t>Ceiling</t>
  </si>
  <si>
    <t>Insulation</t>
  </si>
  <si>
    <t xml:space="preserve">Door </t>
  </si>
  <si>
    <t>Drywall</t>
  </si>
  <si>
    <t xml:space="preserve">Window </t>
  </si>
  <si>
    <t>Plaster</t>
  </si>
  <si>
    <t>Wood door</t>
  </si>
  <si>
    <t>PVC Door</t>
  </si>
  <si>
    <t>Brick</t>
  </si>
  <si>
    <t xml:space="preserve">Kitchen </t>
  </si>
  <si>
    <t>Moms Room</t>
  </si>
  <si>
    <t>K</t>
  </si>
  <si>
    <t>Door 1</t>
  </si>
  <si>
    <t>Door2</t>
  </si>
  <si>
    <t>Window</t>
  </si>
  <si>
    <t xml:space="preserve">Living Room </t>
  </si>
  <si>
    <t>Aadams Room</t>
  </si>
  <si>
    <t>Wall 3</t>
  </si>
  <si>
    <t>Door1</t>
  </si>
  <si>
    <t>Door 2</t>
  </si>
  <si>
    <t xml:space="preserve">Window 1 </t>
  </si>
  <si>
    <t xml:space="preserve">  </t>
  </si>
  <si>
    <t xml:space="preserve">Corridor </t>
  </si>
  <si>
    <t>Umars Room</t>
  </si>
  <si>
    <t xml:space="preserve">Door 1 </t>
  </si>
  <si>
    <t>Wall DOor</t>
  </si>
  <si>
    <t>Front Room</t>
  </si>
  <si>
    <t>PVC Poor</t>
  </si>
  <si>
    <t>PVC Party</t>
  </si>
  <si>
    <t>PVC CAVITY</t>
  </si>
  <si>
    <t>PVC cavity</t>
  </si>
  <si>
    <t xml:space="preserve">window </t>
  </si>
  <si>
    <t xml:space="preserve">Conductivity Data </t>
  </si>
  <si>
    <t>Activity  Met</t>
  </si>
  <si>
    <t>Metabolic rates [W/m2]</t>
  </si>
  <si>
    <t>Met</t>
  </si>
  <si>
    <t>Individual Heat Transfer Coefficient</t>
  </si>
  <si>
    <t>Surface Material</t>
  </si>
  <si>
    <t>Emissivity</t>
  </si>
  <si>
    <t xml:space="preserve">Concrete </t>
  </si>
  <si>
    <t xml:space="preserve">Reclining </t>
  </si>
  <si>
    <t xml:space="preserve">Vertical </t>
  </si>
  <si>
    <t>Horizontal surfaces</t>
  </si>
  <si>
    <t xml:space="preserve">Aluminum Heavily Oxidized </t>
  </si>
  <si>
    <t xml:space="preserve">Brick </t>
  </si>
  <si>
    <t xml:space="preserve">Seated relaxed </t>
  </si>
  <si>
    <t>Indoor</t>
  </si>
  <si>
    <t>Outdoor</t>
  </si>
  <si>
    <t>Aluminum Highly Polished</t>
  </si>
  <si>
    <t xml:space="preserve">Glass </t>
  </si>
  <si>
    <t>Standing relaxed</t>
  </si>
  <si>
    <t xml:space="preserve">Aluminum paint </t>
  </si>
  <si>
    <t>Wood (oak)</t>
  </si>
  <si>
    <t>Car driving</t>
  </si>
  <si>
    <t xml:space="preserve">Asphalt </t>
  </si>
  <si>
    <t xml:space="preserve">Plaster board </t>
  </si>
  <si>
    <t xml:space="preserve">Standing </t>
  </si>
  <si>
    <t xml:space="preserve">Black Body Matt </t>
  </si>
  <si>
    <t xml:space="preserve">Urethane foam </t>
  </si>
  <si>
    <t>light activity (shopping, laboratory, light industry)</t>
  </si>
  <si>
    <t xml:space="preserve">Black lacquer on iron </t>
  </si>
  <si>
    <t xml:space="preserve">Washing dishes standing </t>
  </si>
  <si>
    <t>Brass Polished</t>
  </si>
  <si>
    <t>Building industry</t>
  </si>
  <si>
    <t xml:space="preserve">Brick, red rough </t>
  </si>
  <si>
    <t>loading a wheelbarrow with stones and mortar</t>
  </si>
  <si>
    <t xml:space="preserve">Walking on the level, 2 km/h </t>
  </si>
  <si>
    <t xml:space="preserve">Concrete, rough </t>
  </si>
  <si>
    <t xml:space="preserve">Walking on the level, 5 km/h 200 </t>
  </si>
  <si>
    <t xml:space="preserve">Cotton Cloth </t>
  </si>
  <si>
    <t xml:space="preserve">Sports -Running, 15 km/h </t>
  </si>
  <si>
    <t xml:space="preserve">Copper Polished </t>
  </si>
  <si>
    <t xml:space="preserve">Glass smooth </t>
  </si>
  <si>
    <t xml:space="preserve">Gypsum </t>
  </si>
  <si>
    <t xml:space="preserve">Ice </t>
  </si>
  <si>
    <t xml:space="preserve">Marble White </t>
  </si>
  <si>
    <t xml:space="preserve">Oil paints, all colors </t>
  </si>
  <si>
    <t xml:space="preserve">Water </t>
  </si>
  <si>
    <t xml:space="preserve">Wood, Pine </t>
  </si>
  <si>
    <t xml:space="preserve">Downstairs </t>
  </si>
  <si>
    <t>Living Room</t>
  </si>
  <si>
    <t xml:space="preserve">Hallway </t>
  </si>
  <si>
    <t>Lit U value</t>
  </si>
  <si>
    <t>Glass</t>
  </si>
  <si>
    <t>Gap</t>
  </si>
  <si>
    <t>Slate</t>
  </si>
  <si>
    <t>Board</t>
  </si>
  <si>
    <t>Beams</t>
  </si>
  <si>
    <t xml:space="preserve">Door + Wall </t>
  </si>
  <si>
    <t>R1</t>
  </si>
  <si>
    <t>U_door</t>
  </si>
  <si>
    <t>R8</t>
  </si>
  <si>
    <t>U_total</t>
  </si>
  <si>
    <t>R2</t>
  </si>
  <si>
    <t>R9</t>
  </si>
  <si>
    <t>R3</t>
  </si>
  <si>
    <t>R10</t>
  </si>
  <si>
    <t>R4</t>
  </si>
  <si>
    <t>R11</t>
  </si>
  <si>
    <t>R5</t>
  </si>
  <si>
    <t>R12</t>
  </si>
  <si>
    <t>R6</t>
  </si>
  <si>
    <t>R7</t>
  </si>
  <si>
    <t>U_glass</t>
  </si>
  <si>
    <t>inner and outer</t>
  </si>
  <si>
    <t>Wall</t>
  </si>
  <si>
    <t>Glass Area</t>
  </si>
  <si>
    <t>Wall Area</t>
  </si>
  <si>
    <t>Total Area</t>
  </si>
  <si>
    <t xml:space="preserve">R total </t>
  </si>
  <si>
    <t>Rtotal</t>
  </si>
  <si>
    <t>Kitchen</t>
  </si>
  <si>
    <t>Convectional</t>
  </si>
  <si>
    <t>Conductional Door Glass</t>
  </si>
  <si>
    <t>Conductional Door</t>
  </si>
  <si>
    <t>Conductional Window 1</t>
  </si>
  <si>
    <t>Conductional Window 2</t>
  </si>
  <si>
    <t>Conductional Wall</t>
  </si>
  <si>
    <t>Utotal</t>
  </si>
  <si>
    <t>R16</t>
  </si>
  <si>
    <t>Rcd2</t>
  </si>
  <si>
    <t>R13</t>
  </si>
  <si>
    <t>Rcv</t>
  </si>
  <si>
    <t>R14</t>
  </si>
  <si>
    <t>Rcd1</t>
  </si>
  <si>
    <t>Rcd3</t>
  </si>
  <si>
    <t>Rcd4</t>
  </si>
  <si>
    <t>R15</t>
  </si>
  <si>
    <t>RCD5</t>
  </si>
  <si>
    <t>ROOF</t>
  </si>
  <si>
    <t>Window 1 Area</t>
  </si>
  <si>
    <t>Window 2 Area</t>
  </si>
  <si>
    <t>Door Area</t>
  </si>
  <si>
    <t>Door Glass Area</t>
  </si>
  <si>
    <t>Window Area</t>
  </si>
  <si>
    <t>R</t>
  </si>
  <si>
    <t>Roof area</t>
  </si>
  <si>
    <t>15.85 *,4.5 , 3.15</t>
  </si>
  <si>
    <t xml:space="preserve">Beams </t>
  </si>
  <si>
    <t xml:space="preserve">U </t>
  </si>
  <si>
    <t>Beam VOL</t>
  </si>
  <si>
    <t xml:space="preserve">R </t>
  </si>
  <si>
    <t xml:space="preserve">ROOM VOL </t>
  </si>
  <si>
    <t>sPACING</t>
  </si>
  <si>
    <t>R1_summer</t>
  </si>
  <si>
    <t>R1_winter</t>
  </si>
  <si>
    <t>H_INSIDE</t>
  </si>
  <si>
    <t>SUMMER_h_OUTSIDE</t>
  </si>
  <si>
    <t>WINTER h OUT</t>
  </si>
  <si>
    <t>S_u_WINDOW</t>
  </si>
  <si>
    <t>w_u_WINDOQ</t>
  </si>
  <si>
    <t>Door</t>
  </si>
  <si>
    <t>R-conv</t>
  </si>
  <si>
    <t>R_cond</t>
  </si>
  <si>
    <t>R_conv</t>
  </si>
  <si>
    <t>u_DOOR_SUMMER</t>
  </si>
  <si>
    <t>u_DOOR_wINTER</t>
  </si>
  <si>
    <t>R_co_summer</t>
  </si>
  <si>
    <t>R_co_winter</t>
  </si>
  <si>
    <t>R_brick</t>
  </si>
  <si>
    <t>R_insulation</t>
  </si>
  <si>
    <t>R_plaster</t>
  </si>
  <si>
    <t>R_ci</t>
  </si>
  <si>
    <t>U_winter_wall</t>
  </si>
  <si>
    <t>Total Wall Area</t>
  </si>
  <si>
    <t>Roof</t>
  </si>
  <si>
    <t>U_winter</t>
  </si>
  <si>
    <t>UA</t>
  </si>
  <si>
    <t>Umar Room</t>
  </si>
  <si>
    <t>Haroon Room</t>
  </si>
  <si>
    <t>Mom Room</t>
  </si>
  <si>
    <t>Aadam Room</t>
  </si>
  <si>
    <t xml:space="preserve">Component </t>
  </si>
  <si>
    <t>U_s(W m^-2 K^-1)</t>
  </si>
  <si>
    <t>U_w(W m^-2 K^-1)</t>
  </si>
  <si>
    <t xml:space="preserve">Total Area (m^2) </t>
  </si>
  <si>
    <t>UA_summer</t>
  </si>
  <si>
    <t>UA_winter</t>
  </si>
  <si>
    <t>Section</t>
  </si>
  <si>
    <t>Room</t>
  </si>
  <si>
    <t>Attic</t>
  </si>
  <si>
    <t>Aadam</t>
  </si>
  <si>
    <t>Mom</t>
  </si>
  <si>
    <t>Haroon</t>
  </si>
  <si>
    <t>Umar</t>
  </si>
  <si>
    <t>Upstairs bathroom</t>
  </si>
  <si>
    <t>Downstairs</t>
  </si>
  <si>
    <t>Hallway</t>
  </si>
  <si>
    <t>Frontroom</t>
  </si>
  <si>
    <t xml:space="preserve">Living room </t>
  </si>
  <si>
    <t>Downstairs bathroom</t>
  </si>
  <si>
    <t>-</t>
  </si>
  <si>
    <t>House</t>
  </si>
  <si>
    <t>All</t>
  </si>
  <si>
    <t>Cp [(kW h)/(kg K)]</t>
  </si>
  <si>
    <t>Volume (m^3)</t>
  </si>
  <si>
    <t>Density</t>
  </si>
  <si>
    <t>[K]</t>
  </si>
  <si>
    <t>[(kW h)/(kg K)]</t>
  </si>
  <si>
    <t>Toilet</t>
  </si>
  <si>
    <t>T</t>
  </si>
  <si>
    <t>density</t>
  </si>
  <si>
    <t>Average</t>
  </si>
  <si>
    <t>Upstairs Room</t>
  </si>
  <si>
    <t>Upstairs  Bathroom</t>
  </si>
  <si>
    <t>Upstairs  Umar</t>
  </si>
  <si>
    <t>Upstairs  Hallway</t>
  </si>
  <si>
    <t>Upstairs Haroon</t>
  </si>
  <si>
    <t>Upstairs  Mom</t>
  </si>
  <si>
    <t>Upstairs  Attic</t>
  </si>
  <si>
    <t>Downstairs  Hallway</t>
  </si>
  <si>
    <t>Downstairs  Front Room</t>
  </si>
  <si>
    <t xml:space="preserve">Downstairs  Living Room </t>
  </si>
  <si>
    <t>Downstairs  Kitchen</t>
  </si>
  <si>
    <t>Downstairs  Toilet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</si>
</sst>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5"/>
      <color rgb="FF040C28"/>
      <name val="Google Sans"/>
      <charset val="1"/>
    </font>
    <font>
      <sz val="48"/>
      <color rgb="FF000000"/>
      <name val="Calibri"/>
      <family val="2"/>
      <scheme val="minor"/>
    </font>
    <font>
      <sz val="72"/>
      <color rgb="FF000000"/>
      <name val="Calibri"/>
      <family val="2"/>
      <scheme val="minor"/>
    </font>
    <font>
      <sz val="28"/>
      <color rgb="FF000000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sz val="8.8000000000000007"/>
      <color rgb="FF000000"/>
      <name val="Arial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rgb="FFC0C0C0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/>
      <bottom style="thick">
        <color rgb="FFC0C0C0"/>
      </bottom>
      <diagonal/>
    </border>
    <border>
      <left style="medium">
        <color rgb="FFCCCCCC"/>
      </left>
      <right/>
      <top style="thick">
        <color rgb="FFC0C0C0"/>
      </top>
      <bottom/>
      <diagonal/>
    </border>
    <border>
      <left style="medium">
        <color rgb="FFCCCCCC"/>
      </left>
      <right/>
      <top/>
      <bottom style="thick">
        <color rgb="FFC0C0C0"/>
      </bottom>
      <diagonal/>
    </border>
    <border>
      <left style="thick">
        <color rgb="FFC0C0C0"/>
      </left>
      <right style="thin">
        <color rgb="FFCCCCCC"/>
      </right>
      <top style="thick">
        <color rgb="FFC0C0C0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C0C0C0"/>
      </left>
      <right style="thin">
        <color rgb="FFCCCCCC"/>
      </right>
      <top style="thin">
        <color rgb="FFCCCCCC"/>
      </top>
      <bottom style="thick">
        <color rgb="FFC0C0C0"/>
      </bottom>
      <diagonal/>
    </border>
    <border>
      <left style="thin">
        <color rgb="FFCCCCCC"/>
      </left>
      <right/>
      <top style="thick">
        <color rgb="FFC0C0C0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ck">
        <color rgb="FFC0C0C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2" xfId="0" applyFont="1" applyBorder="1"/>
    <xf numFmtId="0" fontId="4" fillId="0" borderId="3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4" xfId="0" applyFont="1" applyBorder="1"/>
    <xf numFmtId="0" fontId="4" fillId="0" borderId="5" xfId="0" applyFont="1" applyBorder="1"/>
    <xf numFmtId="0" fontId="6" fillId="0" borderId="1" xfId="0" applyFont="1" applyBorder="1"/>
    <xf numFmtId="0" fontId="6" fillId="0" borderId="0" xfId="0" applyFont="1"/>
    <xf numFmtId="0" fontId="4" fillId="0" borderId="0" xfId="0" applyFont="1"/>
    <xf numFmtId="0" fontId="6" fillId="0" borderId="6" xfId="0" applyFont="1" applyBorder="1"/>
    <xf numFmtId="0" fontId="4" fillId="0" borderId="7" xfId="0" applyFont="1" applyBorder="1"/>
    <xf numFmtId="2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7" fillId="0" borderId="0" xfId="1"/>
    <xf numFmtId="0" fontId="8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/>
    <xf numFmtId="0" fontId="3" fillId="0" borderId="1" xfId="0" applyFont="1" applyBorder="1" applyAlignment="1">
      <alignment horizontal="center"/>
    </xf>
    <xf numFmtId="0" fontId="14" fillId="0" borderId="9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4" borderId="9" xfId="0" applyFont="1" applyFill="1" applyBorder="1" applyAlignment="1">
      <alignment wrapText="1"/>
    </xf>
    <xf numFmtId="0" fontId="14" fillId="4" borderId="10" xfId="0" applyFont="1" applyFill="1" applyBorder="1" applyAlignment="1">
      <alignment wrapText="1"/>
    </xf>
    <xf numFmtId="0" fontId="16" fillId="0" borderId="15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6" fillId="5" borderId="17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6" fillId="5" borderId="20" xfId="0" applyFont="1" applyFill="1" applyBorder="1" applyAlignment="1">
      <alignment wrapText="1"/>
    </xf>
    <xf numFmtId="0" fontId="17" fillId="0" borderId="0" xfId="0" applyFon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15" fillId="4" borderId="11" xfId="0" applyFont="1" applyFill="1" applyBorder="1" applyAlignment="1">
      <alignment wrapText="1"/>
    </xf>
    <xf numFmtId="0" fontId="15" fillId="4" borderId="12" xfId="0" applyFont="1" applyFill="1" applyBorder="1" applyAlignment="1">
      <alignment wrapText="1"/>
    </xf>
    <xf numFmtId="0" fontId="15" fillId="4" borderId="13" xfId="0" applyFont="1" applyFill="1" applyBorder="1" applyAlignment="1">
      <alignment wrapText="1"/>
    </xf>
    <xf numFmtId="0" fontId="15" fillId="4" borderId="1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8</xdr:row>
      <xdr:rowOff>66675</xdr:rowOff>
    </xdr:from>
    <xdr:to>
      <xdr:col>16</xdr:col>
      <xdr:colOff>295275</xdr:colOff>
      <xdr:row>29</xdr:row>
      <xdr:rowOff>161925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D0A5C0-CDAC-6752-B402-99EC43DC117D}"/>
            </a:ext>
            <a:ext uri="{147F2762-F138-4A5C-976F-8EAC2B608ADB}">
              <a16:predDERef xmlns:a16="http://schemas.microsoft.com/office/drawing/2014/main" pred="{F43A2BFF-9428-0272-AE12-DD1453296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1619250"/>
          <a:ext cx="9744075" cy="4162425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419100</xdr:colOff>
      <xdr:row>90</xdr:row>
      <xdr:rowOff>9525</xdr:rowOff>
    </xdr:from>
    <xdr:to>
      <xdr:col>21</xdr:col>
      <xdr:colOff>447675</xdr:colOff>
      <xdr:row>114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59718F-3ED9-2243-55A9-479B49BB3D3E}"/>
            </a:ext>
            <a:ext uri="{147F2762-F138-4A5C-976F-8EAC2B608ADB}">
              <a16:predDERef xmlns:a16="http://schemas.microsoft.com/office/drawing/2014/main" pred="{D6D0A5C0-CDAC-6752-B402-99EC43DC1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" y="17354550"/>
          <a:ext cx="13468350" cy="4733925"/>
        </a:xfrm>
        <a:prstGeom prst="rect">
          <a:avLst/>
        </a:prstGeom>
      </xdr:spPr>
    </xdr:pic>
    <xdr:clientData/>
  </xdr:twoCellAnchor>
  <xdr:twoCellAnchor editAs="oneCell">
    <xdr:from>
      <xdr:col>55</xdr:col>
      <xdr:colOff>19050</xdr:colOff>
      <xdr:row>53</xdr:row>
      <xdr:rowOff>180975</xdr:rowOff>
    </xdr:from>
    <xdr:to>
      <xdr:col>67</xdr:col>
      <xdr:colOff>419100</xdr:colOff>
      <xdr:row>77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4CCCA5-21BF-9A87-D958-E50BA48C448D}"/>
            </a:ext>
            <a:ext uri="{147F2762-F138-4A5C-976F-8EAC2B608ADB}">
              <a16:predDERef xmlns:a16="http://schemas.microsoft.com/office/drawing/2014/main" pred="{CA59718F-3ED9-2243-55A9-479B49BB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42450" y="11210925"/>
          <a:ext cx="7715250" cy="4495800"/>
        </a:xfrm>
        <a:prstGeom prst="rect">
          <a:avLst/>
        </a:prstGeom>
      </xdr:spPr>
    </xdr:pic>
    <xdr:clientData/>
  </xdr:twoCellAnchor>
  <xdr:twoCellAnchor editAs="oneCell">
    <xdr:from>
      <xdr:col>36</xdr:col>
      <xdr:colOff>485775</xdr:colOff>
      <xdr:row>88</xdr:row>
      <xdr:rowOff>95250</xdr:rowOff>
    </xdr:from>
    <xdr:to>
      <xdr:col>54</xdr:col>
      <xdr:colOff>85725</xdr:colOff>
      <xdr:row>112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8AC3E2-6497-183A-F6A4-E22CE83FE0EC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69600" y="17878425"/>
          <a:ext cx="10829925" cy="469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13</xdr:row>
      <xdr:rowOff>85725</xdr:rowOff>
    </xdr:from>
    <xdr:to>
      <xdr:col>22</xdr:col>
      <xdr:colOff>561975</xdr:colOff>
      <xdr:row>32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95919-AC06-4DCA-9682-77A0379C341D}"/>
            </a:ext>
            <a:ext uri="{147F2762-F138-4A5C-976F-8EAC2B608ADB}">
              <a16:predDERef xmlns:a16="http://schemas.microsoft.com/office/drawing/2014/main" pred="{6E4CCCA5-21BF-9A87-D958-E50BA48C4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7775" y="2590800"/>
          <a:ext cx="8543925" cy="3695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124</xdr:row>
      <xdr:rowOff>123825</xdr:rowOff>
    </xdr:from>
    <xdr:to>
      <xdr:col>20</xdr:col>
      <xdr:colOff>247650</xdr:colOff>
      <xdr:row>149</xdr:row>
      <xdr:rowOff>28575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D42E9F77-838D-4B3A-9976-7665EC52DD29}"/>
            </a:ext>
            <a:ext uri="{147F2762-F138-4A5C-976F-8EAC2B608ADB}">
              <a16:predDERef xmlns:a16="http://schemas.microsoft.com/office/drawing/2014/main" pred="{B2225AEF-04DC-4E4C-A0E2-C82F4A0B8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8325" y="24317325"/>
          <a:ext cx="10829925" cy="469582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166</xdr:row>
      <xdr:rowOff>114300</xdr:rowOff>
    </xdr:from>
    <xdr:to>
      <xdr:col>22</xdr:col>
      <xdr:colOff>9525</xdr:colOff>
      <xdr:row>191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B29772-D1AF-49F4-ACA6-05B52F107D7F}"/>
            </a:ext>
            <a:ext uri="{147F2762-F138-4A5C-976F-8EAC2B608ADB}">
              <a16:predDERef xmlns:a16="http://schemas.microsoft.com/office/drawing/2014/main" pred="{D42E9F77-838D-4B3A-9976-7665EC52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32394525"/>
          <a:ext cx="10829925" cy="4695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</xdr:colOff>
      <xdr:row>2</xdr:row>
      <xdr:rowOff>114300</xdr:rowOff>
    </xdr:from>
    <xdr:to>
      <xdr:col>24</xdr:col>
      <xdr:colOff>361950</xdr:colOff>
      <xdr:row>17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C0F62-9924-2960-D154-6A40B66A9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495300"/>
          <a:ext cx="4572000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ciencedirect.com/science/article/pii/S037877881100202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pen.edu/openlearn/nature-environment/energy-buildings/content-section-2.2.6" TargetMode="External"/><Relationship Id="rId2" Type="http://schemas.openxmlformats.org/officeDocument/2006/relationships/hyperlink" Target="https://www.aivc.org/sites/default/files/airbase_11099.pdf" TargetMode="External"/><Relationship Id="rId1" Type="http://schemas.openxmlformats.org/officeDocument/2006/relationships/hyperlink" Target="https://www.aivc.org/sites/default/files/airbase_11099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open.edu/openlearn/nature-environment/energy-buildings/content-section-2.2.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871E-AAFA-4DE5-91EC-ECCFF8ACD379}">
  <dimension ref="B1:Y91"/>
  <sheetViews>
    <sheetView topLeftCell="A20" workbookViewId="0">
      <selection activeCell="E5" sqref="E5:E12"/>
    </sheetView>
  </sheetViews>
  <sheetFormatPr defaultRowHeight="15"/>
  <cols>
    <col min="1" max="1" width="12.42578125" customWidth="1"/>
    <col min="3" max="3" width="15.28515625" customWidth="1"/>
    <col min="4" max="5" width="13.5703125" customWidth="1"/>
    <col min="6" max="6" width="12" customWidth="1"/>
    <col min="7" max="7" width="10" customWidth="1"/>
    <col min="10" max="10" width="12.5703125" customWidth="1"/>
    <col min="11" max="11" width="9.42578125" customWidth="1"/>
    <col min="12" max="12" width="11.7109375" customWidth="1"/>
    <col min="13" max="13" width="11.42578125" customWidth="1"/>
    <col min="14" max="14" width="12.5703125" customWidth="1"/>
    <col min="15" max="15" width="9.85546875" customWidth="1"/>
    <col min="16" max="16" width="11.28515625" bestFit="1" customWidth="1"/>
    <col min="17" max="17" width="7.140625" customWidth="1"/>
    <col min="21" max="21" width="10.85546875" bestFit="1" customWidth="1"/>
  </cols>
  <sheetData>
    <row r="1" spans="2:25">
      <c r="B1" s="1"/>
      <c r="C1" s="41"/>
      <c r="D1" s="41"/>
      <c r="E1" s="41"/>
      <c r="F1" s="41"/>
      <c r="G1" s="41"/>
      <c r="H1" s="1"/>
      <c r="I1" s="1"/>
      <c r="J1" s="1"/>
      <c r="K1" s="1"/>
      <c r="L1" s="41" t="s">
        <v>0</v>
      </c>
      <c r="M1" s="41"/>
      <c r="N1" s="41"/>
      <c r="O1" s="41"/>
      <c r="P1" s="41"/>
      <c r="Q1" s="41"/>
      <c r="R1" s="1"/>
      <c r="S1" s="1"/>
    </row>
    <row r="2" spans="2:25">
      <c r="B2" s="2"/>
      <c r="C2" s="41"/>
      <c r="D2" s="41"/>
      <c r="E2" s="41"/>
      <c r="F2" s="41"/>
      <c r="G2" s="41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0" t="s">
        <v>1</v>
      </c>
      <c r="N3" s="40"/>
      <c r="O3" s="40"/>
      <c r="P3" s="40"/>
      <c r="Q3" s="40"/>
      <c r="R3" s="1"/>
      <c r="S3" s="1"/>
      <c r="X3" t="s">
        <v>2</v>
      </c>
      <c r="Y3" t="s">
        <v>3</v>
      </c>
    </row>
    <row r="4" spans="2:25">
      <c r="B4" s="1"/>
      <c r="C4" s="1"/>
      <c r="D4" s="40" t="s">
        <v>4</v>
      </c>
      <c r="E4" s="40"/>
      <c r="F4" s="1"/>
      <c r="G4" s="1"/>
      <c r="H4" s="1"/>
      <c r="I4" s="1"/>
      <c r="J4" s="1"/>
      <c r="K4" s="1"/>
      <c r="L4" s="1" t="s">
        <v>5</v>
      </c>
      <c r="M4" s="1" t="s">
        <v>6</v>
      </c>
      <c r="N4" s="1" t="s">
        <v>7</v>
      </c>
      <c r="P4" s="1" t="s">
        <v>8</v>
      </c>
      <c r="Q4" s="1" t="s">
        <v>3</v>
      </c>
      <c r="R4" s="1" t="s">
        <v>9</v>
      </c>
      <c r="S4" t="s">
        <v>10</v>
      </c>
      <c r="T4" t="s">
        <v>11</v>
      </c>
      <c r="X4" t="s">
        <v>12</v>
      </c>
      <c r="Y4">
        <f>0.27</f>
        <v>0.27</v>
      </c>
    </row>
    <row r="5" spans="2:25">
      <c r="B5" s="1"/>
      <c r="C5" s="1" t="s">
        <v>5</v>
      </c>
      <c r="D5" s="1" t="s">
        <v>6</v>
      </c>
      <c r="E5" s="1" t="s">
        <v>13</v>
      </c>
      <c r="F5" s="1" t="s">
        <v>2</v>
      </c>
      <c r="G5" s="1" t="s">
        <v>3</v>
      </c>
      <c r="H5" s="1" t="s">
        <v>14</v>
      </c>
      <c r="I5" t="s">
        <v>15</v>
      </c>
      <c r="J5" s="1"/>
      <c r="K5" s="18" t="s">
        <v>16</v>
      </c>
      <c r="L5" s="18">
        <v>2.75</v>
      </c>
      <c r="M5" s="18">
        <f>N20</f>
        <v>2.5750000000000002</v>
      </c>
      <c r="N5" s="18">
        <f>S5*M5 - N12</f>
        <v>9.5944500000000001</v>
      </c>
      <c r="O5" s="19" t="s">
        <v>12</v>
      </c>
      <c r="P5" s="18"/>
      <c r="Q5" s="18">
        <f>G6</f>
        <v>0.57050000000000001</v>
      </c>
      <c r="R5" s="18"/>
      <c r="S5">
        <f>L5+ 2 * Q5</f>
        <v>3.891</v>
      </c>
      <c r="T5">
        <f>L5*M5*L7</f>
        <v>23.155687500000006</v>
      </c>
      <c r="X5" s="1" t="s">
        <v>17</v>
      </c>
      <c r="Y5">
        <v>0.22500000000000001</v>
      </c>
    </row>
    <row r="6" spans="2:25">
      <c r="B6" s="18" t="s">
        <v>16</v>
      </c>
      <c r="C6" s="18">
        <v>2</v>
      </c>
      <c r="D6" s="18">
        <v>2.625</v>
      </c>
      <c r="E6" s="18">
        <f>D6*H6 -E13</f>
        <v>7.0007929687499999</v>
      </c>
      <c r="F6" s="19" t="s">
        <v>12</v>
      </c>
      <c r="G6" s="18">
        <f>Y4+Y9 + Y10 +Y12</f>
        <v>0.57050000000000001</v>
      </c>
      <c r="H6" s="18">
        <f>C6+2*G6</f>
        <v>3.141</v>
      </c>
      <c r="I6">
        <f>C6*D6*C8</f>
        <v>12.928125</v>
      </c>
      <c r="J6" s="1"/>
      <c r="K6" s="1" t="s">
        <v>18</v>
      </c>
      <c r="L6" s="1">
        <v>2.75</v>
      </c>
      <c r="M6" s="1">
        <f>N21</f>
        <v>2.5750000000000002</v>
      </c>
      <c r="N6" s="1">
        <f>S6*M6 - N11</f>
        <v>7.8077250000000005</v>
      </c>
      <c r="O6" s="1" t="s">
        <v>17</v>
      </c>
      <c r="P6" s="1"/>
      <c r="Q6" s="1">
        <f>G7</f>
        <v>0.42649999999999999</v>
      </c>
      <c r="R6" s="1"/>
      <c r="S6">
        <f t="shared" ref="S6:S8" si="0">L6+ 2 * Q6</f>
        <v>3.6029999999999998</v>
      </c>
      <c r="X6" s="1" t="s">
        <v>17</v>
      </c>
      <c r="Y6">
        <v>0.22500000000000001</v>
      </c>
    </row>
    <row r="7" spans="2:25">
      <c r="B7" s="1" t="s">
        <v>18</v>
      </c>
      <c r="C7" s="1">
        <v>2</v>
      </c>
      <c r="D7" s="1">
        <v>2.625</v>
      </c>
      <c r="E7" s="1">
        <f>D7*H7 -E14</f>
        <v>7.4891249999999996</v>
      </c>
      <c r="F7" s="1" t="s">
        <v>17</v>
      </c>
      <c r="G7" s="1">
        <f>Y6+Y9*3 +Y12</f>
        <v>0.42649999999999999</v>
      </c>
      <c r="H7" s="1">
        <f t="shared" ref="H7:H8" si="1">C7+2*G7</f>
        <v>2.8529999999999998</v>
      </c>
      <c r="J7" s="1"/>
      <c r="K7" s="1" t="s">
        <v>19</v>
      </c>
      <c r="L7" s="1">
        <f>4.0875*0.8</f>
        <v>3.2700000000000005</v>
      </c>
      <c r="M7" s="1">
        <f>N22</f>
        <v>2.5750000000000002</v>
      </c>
      <c r="N7" s="1">
        <f t="shared" ref="N7:N10" si="2">L7*M7</f>
        <v>8.4202500000000011</v>
      </c>
      <c r="O7" s="1" t="s">
        <v>17</v>
      </c>
      <c r="P7" s="1"/>
      <c r="Q7" s="1">
        <f>G8</f>
        <v>0.42649999999999999</v>
      </c>
      <c r="R7" s="1"/>
      <c r="S7">
        <f t="shared" si="0"/>
        <v>4.1230000000000002</v>
      </c>
      <c r="X7" s="1" t="s">
        <v>20</v>
      </c>
      <c r="Y7">
        <v>0.35</v>
      </c>
    </row>
    <row r="8" spans="2:25">
      <c r="B8" s="1" t="s">
        <v>19</v>
      </c>
      <c r="C8" s="1">
        <v>2.4624999999999999</v>
      </c>
      <c r="D8" s="1">
        <v>2.625</v>
      </c>
      <c r="E8" s="1">
        <f>D8*H8 -F15</f>
        <v>8.7031875000000003</v>
      </c>
      <c r="F8" s="1" t="s">
        <v>17</v>
      </c>
      <c r="G8" s="1">
        <f>G7</f>
        <v>0.42649999999999999</v>
      </c>
      <c r="H8" s="1">
        <f t="shared" si="1"/>
        <v>3.3155000000000001</v>
      </c>
      <c r="J8" s="1"/>
      <c r="K8" s="1" t="s">
        <v>21</v>
      </c>
      <c r="L8" s="1">
        <f>4.0875*0.8</f>
        <v>3.2700000000000005</v>
      </c>
      <c r="M8" s="1">
        <f>N23</f>
        <v>2.5750000000000002</v>
      </c>
      <c r="N8" s="1">
        <f>S8*M8</f>
        <v>11.260475000000001</v>
      </c>
      <c r="O8" s="1" t="s">
        <v>20</v>
      </c>
      <c r="P8" s="1"/>
      <c r="Q8" s="1">
        <f>G9</f>
        <v>0.55149999999999999</v>
      </c>
      <c r="R8" s="1"/>
      <c r="S8">
        <f t="shared" si="0"/>
        <v>4.3730000000000002</v>
      </c>
      <c r="X8" s="1" t="s">
        <v>22</v>
      </c>
      <c r="Y8">
        <f>10/1000</f>
        <v>0.01</v>
      </c>
    </row>
    <row r="9" spans="2:25">
      <c r="B9" s="1" t="s">
        <v>21</v>
      </c>
      <c r="C9" s="1">
        <v>2.4624999999999999</v>
      </c>
      <c r="D9" s="1">
        <v>2.625</v>
      </c>
      <c r="E9" s="1">
        <f>D9*H9 -F16</f>
        <v>0</v>
      </c>
      <c r="F9" s="1" t="s">
        <v>20</v>
      </c>
      <c r="G9" s="1">
        <f>Y7+Y9*3 +Y12</f>
        <v>0.55149999999999999</v>
      </c>
      <c r="H9" s="1"/>
      <c r="J9" s="1"/>
      <c r="K9" s="1" t="s">
        <v>23</v>
      </c>
      <c r="L9" s="1">
        <f>L8</f>
        <v>3.2700000000000005</v>
      </c>
      <c r="M9" s="1">
        <f>L6</f>
        <v>2.75</v>
      </c>
      <c r="N9" s="1">
        <f t="shared" si="2"/>
        <v>8.9925000000000015</v>
      </c>
      <c r="O9" s="1"/>
      <c r="P9" s="1"/>
      <c r="R9" s="1"/>
      <c r="X9" s="1" t="s">
        <v>24</v>
      </c>
      <c r="Y9">
        <f>0.5/1000</f>
        <v>5.0000000000000001E-4</v>
      </c>
    </row>
    <row r="10" spans="2:25">
      <c r="B10" s="1" t="s">
        <v>23</v>
      </c>
      <c r="C10" s="1">
        <f>C9</f>
        <v>2.4624999999999999</v>
      </c>
      <c r="D10" s="1">
        <f>C7</f>
        <v>2</v>
      </c>
      <c r="E10" s="1">
        <f>D10*H10 -F17</f>
        <v>0</v>
      </c>
      <c r="G10" s="1">
        <v>0.2</v>
      </c>
      <c r="H10" s="1"/>
      <c r="J10" s="1"/>
      <c r="K10" s="1" t="s">
        <v>25</v>
      </c>
      <c r="L10" s="1">
        <f>L9</f>
        <v>3.2700000000000005</v>
      </c>
      <c r="M10" s="1">
        <f>M9</f>
        <v>2.75</v>
      </c>
      <c r="N10" s="1">
        <f t="shared" si="2"/>
        <v>8.9925000000000015</v>
      </c>
      <c r="O10" s="1"/>
      <c r="P10" s="1"/>
      <c r="R10" s="1"/>
      <c r="X10" s="1" t="s">
        <v>26</v>
      </c>
      <c r="Y10">
        <f>100/1000</f>
        <v>0.1</v>
      </c>
    </row>
    <row r="11" spans="2:25">
      <c r="B11" s="1" t="s">
        <v>25</v>
      </c>
      <c r="C11" s="1">
        <f>C10</f>
        <v>2.4624999999999999</v>
      </c>
      <c r="D11" s="1">
        <f>D10</f>
        <v>2</v>
      </c>
      <c r="E11" s="1">
        <f>D11*H11 -F18</f>
        <v>0</v>
      </c>
      <c r="G11" s="1">
        <f>0.15</f>
        <v>0.15</v>
      </c>
      <c r="H11" s="1"/>
      <c r="J11" s="1"/>
      <c r="K11" s="1" t="s">
        <v>27</v>
      </c>
      <c r="L11" s="1">
        <f>C26</f>
        <v>0.7</v>
      </c>
      <c r="M11" s="1">
        <f>D26</f>
        <v>2.1</v>
      </c>
      <c r="N11" s="1">
        <f>L11*M11</f>
        <v>1.47</v>
      </c>
      <c r="O11" s="1"/>
      <c r="P11" s="1"/>
      <c r="Q11" s="1">
        <v>0.05</v>
      </c>
      <c r="R11" s="1"/>
      <c r="X11" s="1" t="s">
        <v>28</v>
      </c>
    </row>
    <row r="12" spans="2:25">
      <c r="B12" s="1" t="s">
        <v>27</v>
      </c>
      <c r="C12" s="1">
        <f>C27</f>
        <v>0.7</v>
      </c>
      <c r="D12" s="1">
        <f>D27</f>
        <v>2.1</v>
      </c>
      <c r="E12" s="1">
        <f>D12*C12</f>
        <v>1.47</v>
      </c>
      <c r="F12" s="1"/>
      <c r="G12" s="1">
        <v>0.05</v>
      </c>
      <c r="H12" s="1"/>
      <c r="J12" s="1"/>
      <c r="K12" s="18" t="s">
        <v>29</v>
      </c>
      <c r="L12" s="18">
        <f>L6*0.3</f>
        <v>0.82499999999999996</v>
      </c>
      <c r="M12" s="18">
        <f>M8*0.2</f>
        <v>0.51500000000000001</v>
      </c>
      <c r="N12" s="18">
        <f>L12*M12</f>
        <v>0.424875</v>
      </c>
      <c r="O12" s="18"/>
      <c r="P12" s="18"/>
      <c r="Q12" s="18"/>
      <c r="R12" s="18"/>
      <c r="X12" s="1" t="s">
        <v>30</v>
      </c>
      <c r="Y12">
        <f>0.2</f>
        <v>0.2</v>
      </c>
    </row>
    <row r="13" spans="2:25">
      <c r="B13" s="18" t="s">
        <v>29</v>
      </c>
      <c r="C13" s="18">
        <f>0.55*C9</f>
        <v>1.3543750000000001</v>
      </c>
      <c r="D13" s="18">
        <f>D9*0.35</f>
        <v>0.91874999999999996</v>
      </c>
      <c r="E13" s="18">
        <f>D13*C13</f>
        <v>1.2443320312500001</v>
      </c>
      <c r="F13" s="18"/>
      <c r="G13" s="18">
        <f>24/1000</f>
        <v>2.4E-2</v>
      </c>
      <c r="H13" s="18"/>
      <c r="J13" s="1"/>
      <c r="K13" s="1"/>
      <c r="L13" s="1"/>
      <c r="M13" s="1"/>
      <c r="N13" s="1"/>
      <c r="O13" s="1"/>
      <c r="P13" s="1"/>
      <c r="Q13" s="1"/>
      <c r="R13" s="1"/>
      <c r="S13" s="1"/>
      <c r="X13" s="1" t="s">
        <v>31</v>
      </c>
      <c r="Y13">
        <f>40/1000</f>
        <v>0.04</v>
      </c>
    </row>
    <row r="14" spans="2:25"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X14" s="1" t="s">
        <v>32</v>
      </c>
      <c r="Y14">
        <v>5.3999999999999999E-2</v>
      </c>
    </row>
    <row r="15" spans="2: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X15" t="s">
        <v>33</v>
      </c>
      <c r="Y15">
        <v>0.24</v>
      </c>
    </row>
    <row r="16" spans="2: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2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21">
      <c r="B18" s="1"/>
      <c r="C18" s="1"/>
      <c r="D18" s="40" t="s">
        <v>34</v>
      </c>
      <c r="E18" s="40"/>
      <c r="F18" s="1"/>
      <c r="H18" s="1"/>
      <c r="I18" s="1"/>
      <c r="J18" s="1"/>
      <c r="K18" s="1"/>
      <c r="L18" s="1"/>
      <c r="M18" s="40" t="s">
        <v>35</v>
      </c>
      <c r="N18" s="40"/>
      <c r="O18" s="40"/>
      <c r="P18" s="40"/>
      <c r="Q18" s="40"/>
      <c r="R18" s="1"/>
      <c r="S18" s="1"/>
    </row>
    <row r="19" spans="2:21">
      <c r="B19" s="1"/>
      <c r="C19" s="1" t="s">
        <v>5</v>
      </c>
      <c r="D19" s="1" t="s">
        <v>6</v>
      </c>
      <c r="E19" s="1" t="s">
        <v>7</v>
      </c>
      <c r="G19" s="1" t="s">
        <v>36</v>
      </c>
      <c r="H19" s="1" t="s">
        <v>3</v>
      </c>
      <c r="I19" s="1" t="s">
        <v>14</v>
      </c>
      <c r="J19" t="s">
        <v>15</v>
      </c>
      <c r="K19" s="1"/>
      <c r="L19" s="1"/>
      <c r="M19" s="1" t="s">
        <v>5</v>
      </c>
      <c r="N19" s="1" t="s">
        <v>6</v>
      </c>
      <c r="O19" s="1" t="s">
        <v>7</v>
      </c>
      <c r="Q19" s="1" t="s">
        <v>36</v>
      </c>
      <c r="R19" s="1" t="s">
        <v>3</v>
      </c>
      <c r="S19" s="1" t="s">
        <v>9</v>
      </c>
      <c r="T19" t="s">
        <v>10</v>
      </c>
      <c r="U19" t="s">
        <v>11</v>
      </c>
    </row>
    <row r="20" spans="2:21">
      <c r="B20" s="18" t="s">
        <v>16</v>
      </c>
      <c r="C20" s="18">
        <v>2.9750000000000001</v>
      </c>
      <c r="D20" s="18">
        <f>D8</f>
        <v>2.625</v>
      </c>
      <c r="E20" s="18">
        <f>I20*D20 -E28*2 -E26</f>
        <v>6.8998124999999986</v>
      </c>
      <c r="F20" s="19" t="s">
        <v>12</v>
      </c>
      <c r="G20" s="19"/>
      <c r="H20" s="18">
        <f t="shared" ref="H20:H25" si="3">G6</f>
        <v>0.57050000000000001</v>
      </c>
      <c r="I20" s="18">
        <f>2*H20+C20</f>
        <v>4.1159999999999997</v>
      </c>
      <c r="J20">
        <f>C20*D20*C24</f>
        <v>20.69484375</v>
      </c>
      <c r="K20" s="1"/>
      <c r="L20" s="18" t="s">
        <v>16</v>
      </c>
      <c r="M20" s="18">
        <v>4.75</v>
      </c>
      <c r="N20" s="18">
        <f>2.575</f>
        <v>2.5750000000000002</v>
      </c>
      <c r="O20" s="18">
        <f>T20*N20 -O27</f>
        <v>10.123934375000001</v>
      </c>
      <c r="P20" s="19" t="s">
        <v>12</v>
      </c>
      <c r="Q20" s="18"/>
      <c r="R20" s="18">
        <f t="shared" ref="R20:R25" si="4">H20</f>
        <v>0.57050000000000001</v>
      </c>
      <c r="S20" s="18"/>
      <c r="T20">
        <f>2*R20 + M20</f>
        <v>5.891</v>
      </c>
      <c r="U20">
        <f>M20*N20*M23</f>
        <v>48.925000000000004</v>
      </c>
    </row>
    <row r="21" spans="2:21">
      <c r="B21" s="1" t="s">
        <v>18</v>
      </c>
      <c r="C21" s="1">
        <v>2.9750000000000001</v>
      </c>
      <c r="D21" s="1">
        <f>D9</f>
        <v>2.625</v>
      </c>
      <c r="E21" s="1">
        <f>I21*D21 -E29*2 -E27</f>
        <v>8.3002500000000001</v>
      </c>
      <c r="F21" s="1" t="s">
        <v>17</v>
      </c>
      <c r="H21" s="1">
        <f t="shared" si="3"/>
        <v>0.42649999999999999</v>
      </c>
      <c r="I21" s="1">
        <f t="shared" ref="I21:I23" si="5">2*H21+C21</f>
        <v>3.8280000000000003</v>
      </c>
      <c r="K21" s="1"/>
      <c r="L21" s="1" t="s">
        <v>18</v>
      </c>
      <c r="M21" s="1">
        <v>4.75</v>
      </c>
      <c r="N21" s="1">
        <f t="shared" ref="N21:N23" si="6">2.575</f>
        <v>2.5750000000000002</v>
      </c>
      <c r="O21" s="1">
        <f>T21*N21 -O26</f>
        <v>12.957725</v>
      </c>
      <c r="P21" s="1" t="s">
        <v>17</v>
      </c>
      <c r="Q21" s="1"/>
      <c r="R21" s="1">
        <f t="shared" si="4"/>
        <v>0.42649999999999999</v>
      </c>
      <c r="S21" s="1"/>
      <c r="T21">
        <f t="shared" ref="T21:T23" si="7">2*R21 + M21</f>
        <v>5.6029999999999998</v>
      </c>
    </row>
    <row r="22" spans="2:21">
      <c r="B22" s="1" t="s">
        <v>19</v>
      </c>
      <c r="C22" s="1">
        <v>2.65</v>
      </c>
      <c r="D22" s="1">
        <f>D20</f>
        <v>2.625</v>
      </c>
      <c r="E22" s="1">
        <f>I22*D22 -E30*2 -E28</f>
        <v>7.9780312500000008</v>
      </c>
      <c r="F22" s="1" t="s">
        <v>17</v>
      </c>
      <c r="H22" s="1">
        <f t="shared" si="3"/>
        <v>0.42649999999999999</v>
      </c>
      <c r="I22" s="1">
        <f t="shared" si="5"/>
        <v>3.5030000000000001</v>
      </c>
      <c r="K22" s="1"/>
      <c r="L22" s="1" t="s">
        <v>19</v>
      </c>
      <c r="M22" s="1">
        <v>4</v>
      </c>
      <c r="N22" s="1">
        <f t="shared" si="6"/>
        <v>2.5750000000000002</v>
      </c>
      <c r="O22" s="1">
        <f t="shared" ref="O22:O25" si="8">M22*N22</f>
        <v>10.3</v>
      </c>
      <c r="P22" s="1" t="s">
        <v>17</v>
      </c>
      <c r="Q22" s="1"/>
      <c r="R22" s="1">
        <f t="shared" si="4"/>
        <v>0.42649999999999999</v>
      </c>
      <c r="S22" s="1"/>
      <c r="T22">
        <f t="shared" si="7"/>
        <v>4.8529999999999998</v>
      </c>
    </row>
    <row r="23" spans="2:21">
      <c r="B23" s="1" t="s">
        <v>21</v>
      </c>
      <c r="C23" s="1">
        <v>2.65</v>
      </c>
      <c r="D23" s="1">
        <f>D21</f>
        <v>2.625</v>
      </c>
      <c r="E23" s="1">
        <f>I23*D23 -F31*2 -E29</f>
        <v>9.7125000000000004</v>
      </c>
      <c r="F23" s="1" t="s">
        <v>20</v>
      </c>
      <c r="H23" s="1">
        <f t="shared" si="3"/>
        <v>0.55149999999999999</v>
      </c>
      <c r="I23" s="1">
        <f t="shared" si="5"/>
        <v>3.7530000000000001</v>
      </c>
      <c r="K23" s="1"/>
      <c r="L23" s="1" t="s">
        <v>21</v>
      </c>
      <c r="M23" s="1">
        <v>4</v>
      </c>
      <c r="N23" s="1">
        <f t="shared" si="6"/>
        <v>2.5750000000000002</v>
      </c>
      <c r="O23" s="1">
        <f t="shared" si="8"/>
        <v>10.3</v>
      </c>
      <c r="P23" s="1" t="s">
        <v>20</v>
      </c>
      <c r="Q23" s="1"/>
      <c r="R23" s="1">
        <f t="shared" si="4"/>
        <v>0.55149999999999999</v>
      </c>
      <c r="S23" s="1"/>
      <c r="T23">
        <f t="shared" si="7"/>
        <v>5.1029999999999998</v>
      </c>
    </row>
    <row r="24" spans="2:21">
      <c r="B24" s="1" t="s">
        <v>23</v>
      </c>
      <c r="C24" s="1">
        <f>C23</f>
        <v>2.65</v>
      </c>
      <c r="D24" s="1">
        <f>C21</f>
        <v>2.9750000000000001</v>
      </c>
      <c r="E24" s="1">
        <f t="shared" ref="E24:E25" si="9">C24*D24</f>
        <v>7.88375</v>
      </c>
      <c r="F24" s="1"/>
      <c r="H24" s="1">
        <f t="shared" si="3"/>
        <v>0.2</v>
      </c>
      <c r="I24" s="1"/>
      <c r="K24" s="1"/>
      <c r="L24" s="1" t="s">
        <v>23</v>
      </c>
      <c r="M24" s="1">
        <f>M23</f>
        <v>4</v>
      </c>
      <c r="N24" s="1">
        <f>M21</f>
        <v>4.75</v>
      </c>
      <c r="O24" s="1">
        <f>M24*N24</f>
        <v>19</v>
      </c>
      <c r="P24" s="1"/>
      <c r="Q24" s="1"/>
      <c r="R24" s="1">
        <f t="shared" si="4"/>
        <v>0.2</v>
      </c>
      <c r="S24" s="1"/>
    </row>
    <row r="25" spans="2:21">
      <c r="B25" s="1" t="s">
        <v>25</v>
      </c>
      <c r="C25" s="1">
        <f>C24</f>
        <v>2.65</v>
      </c>
      <c r="D25" s="1">
        <f>D24</f>
        <v>2.9750000000000001</v>
      </c>
      <c r="E25" s="1">
        <f t="shared" si="9"/>
        <v>7.88375</v>
      </c>
      <c r="F25" s="1"/>
      <c r="H25" s="1">
        <f t="shared" si="3"/>
        <v>0.15</v>
      </c>
      <c r="I25" s="1"/>
      <c r="K25" s="1"/>
      <c r="L25" s="1" t="s">
        <v>25</v>
      </c>
      <c r="M25" s="1">
        <f>M24</f>
        <v>4</v>
      </c>
      <c r="N25" s="1">
        <f>N24</f>
        <v>4.75</v>
      </c>
      <c r="O25" s="1">
        <f t="shared" si="8"/>
        <v>19</v>
      </c>
      <c r="P25" s="1"/>
      <c r="Q25" s="1"/>
      <c r="R25" s="1">
        <f t="shared" si="4"/>
        <v>0.15</v>
      </c>
      <c r="S25" s="1"/>
    </row>
    <row r="26" spans="2:21">
      <c r="B26" s="1" t="s">
        <v>37</v>
      </c>
      <c r="C26" s="1">
        <v>0.7</v>
      </c>
      <c r="D26" s="1">
        <f>D23*0.8</f>
        <v>2.1</v>
      </c>
      <c r="E26" s="1">
        <f>C26*D26</f>
        <v>1.47</v>
      </c>
      <c r="H26" s="1"/>
      <c r="I26" s="1"/>
      <c r="K26" s="1"/>
      <c r="L26" s="1" t="s">
        <v>27</v>
      </c>
      <c r="M26" s="1">
        <f>L11</f>
        <v>0.7</v>
      </c>
      <c r="N26" s="1">
        <f>M11</f>
        <v>2.1</v>
      </c>
      <c r="O26" s="1">
        <f>M26*N26</f>
        <v>1.47</v>
      </c>
      <c r="P26" s="1"/>
      <c r="Q26" s="1"/>
      <c r="R26" s="1">
        <v>0.05</v>
      </c>
      <c r="S26" s="1"/>
    </row>
    <row r="27" spans="2:21">
      <c r="B27" s="1" t="s">
        <v>38</v>
      </c>
      <c r="C27" s="1">
        <f>C26</f>
        <v>0.7</v>
      </c>
      <c r="D27" s="1">
        <f>D26</f>
        <v>2.1</v>
      </c>
      <c r="E27" s="1">
        <f>C27*D27</f>
        <v>1.47</v>
      </c>
      <c r="H27" s="1"/>
      <c r="I27" s="1"/>
      <c r="K27" s="1"/>
      <c r="L27" s="18" t="s">
        <v>39</v>
      </c>
      <c r="M27" s="18">
        <f>M20*0.55</f>
        <v>2.6125000000000003</v>
      </c>
      <c r="N27" s="18">
        <f>N23*0.75</f>
        <v>1.9312500000000001</v>
      </c>
      <c r="O27" s="18">
        <f>M27*N27</f>
        <v>5.0453906250000005</v>
      </c>
      <c r="P27" s="18"/>
      <c r="Q27" s="18"/>
      <c r="R27" s="18"/>
      <c r="S27" s="1"/>
    </row>
    <row r="28" spans="2:21">
      <c r="B28" s="18" t="s">
        <v>29</v>
      </c>
      <c r="C28" s="18">
        <f>C22*0.35</f>
        <v>0.92749999999999988</v>
      </c>
      <c r="D28" s="18">
        <f>D20*0.5</f>
        <v>1.3125</v>
      </c>
      <c r="E28" s="18">
        <f>C28*D28</f>
        <v>1.2173437499999999</v>
      </c>
      <c r="F28" s="19"/>
      <c r="G28" s="19"/>
      <c r="H28" s="18">
        <f>H29</f>
        <v>2.4E-2</v>
      </c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2:21">
      <c r="B29" s="18" t="s">
        <v>29</v>
      </c>
      <c r="C29" s="18">
        <f>C23*0.1</f>
        <v>0.26500000000000001</v>
      </c>
      <c r="D29" s="18">
        <f>D21*0.2</f>
        <v>0.52500000000000002</v>
      </c>
      <c r="E29" s="18">
        <f>C29*D29</f>
        <v>0.13912500000000003</v>
      </c>
      <c r="F29" s="18"/>
      <c r="G29" s="19"/>
      <c r="H29" s="18">
        <f>G13</f>
        <v>2.4E-2</v>
      </c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2:21"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2:2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2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1">
      <c r="B33" s="1"/>
      <c r="C33" s="1"/>
      <c r="D33" s="40" t="s">
        <v>40</v>
      </c>
      <c r="E33" s="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1">
      <c r="B34" s="1"/>
      <c r="C34" s="1" t="s">
        <v>5</v>
      </c>
      <c r="D34" s="1" t="s">
        <v>6</v>
      </c>
      <c r="E34" s="1" t="s">
        <v>7</v>
      </c>
      <c r="G34" s="1" t="s">
        <v>36</v>
      </c>
      <c r="H34" s="1" t="s">
        <v>3</v>
      </c>
      <c r="I34" s="1" t="s">
        <v>14</v>
      </c>
      <c r="J34" t="s">
        <v>15</v>
      </c>
      <c r="K34" s="1"/>
      <c r="L34" s="1"/>
      <c r="M34" s="40" t="s">
        <v>41</v>
      </c>
      <c r="N34" s="40"/>
      <c r="O34" s="40"/>
      <c r="P34" s="40"/>
      <c r="Q34" s="40"/>
      <c r="R34" s="1"/>
      <c r="S34" s="1"/>
    </row>
    <row r="35" spans="2:21">
      <c r="B35" s="18" t="s">
        <v>16</v>
      </c>
      <c r="C35" s="18">
        <f>3.9</f>
        <v>3.9</v>
      </c>
      <c r="D35" s="18">
        <f>D20</f>
        <v>2.625</v>
      </c>
      <c r="E35" s="18">
        <f>I35*D35 -E41 -E42</f>
        <v>10.292624999999999</v>
      </c>
      <c r="F35" s="19" t="s">
        <v>12</v>
      </c>
      <c r="G35" s="19"/>
      <c r="H35" s="18">
        <f t="shared" ref="H35:H40" si="10">H20</f>
        <v>0.57050000000000001</v>
      </c>
      <c r="I35" s="1">
        <f>2*H35+C35</f>
        <v>5.0410000000000004</v>
      </c>
      <c r="J35">
        <f>C35*D35*C37</f>
        <v>39.926249999999996</v>
      </c>
      <c r="K35" s="1"/>
      <c r="L35" s="1"/>
      <c r="M35" s="1" t="s">
        <v>5</v>
      </c>
      <c r="N35" s="1" t="s">
        <v>6</v>
      </c>
      <c r="O35" s="1" t="s">
        <v>7</v>
      </c>
      <c r="Q35" s="1" t="s">
        <v>36</v>
      </c>
      <c r="R35" s="1" t="s">
        <v>3</v>
      </c>
      <c r="S35" s="1" t="s">
        <v>9</v>
      </c>
      <c r="T35" t="s">
        <v>10</v>
      </c>
      <c r="U35" t="s">
        <v>11</v>
      </c>
    </row>
    <row r="36" spans="2:21">
      <c r="B36" s="1" t="s">
        <v>18</v>
      </c>
      <c r="C36" s="1">
        <f t="shared" ref="C36:C38" si="11">3.9</f>
        <v>3.9</v>
      </c>
      <c r="D36" s="1">
        <f>D21</f>
        <v>2.625</v>
      </c>
      <c r="E36" s="1">
        <f>I36*D36 -E43</f>
        <v>10.838625</v>
      </c>
      <c r="F36" s="1" t="s">
        <v>17</v>
      </c>
      <c r="H36" s="1">
        <f t="shared" si="10"/>
        <v>0.42649999999999999</v>
      </c>
      <c r="I36" s="1">
        <f t="shared" ref="I36:I37" si="12">2*H36+C36</f>
        <v>4.7530000000000001</v>
      </c>
      <c r="K36" s="1"/>
      <c r="L36" s="18" t="s">
        <v>16</v>
      </c>
      <c r="M36" s="18">
        <v>4.5</v>
      </c>
      <c r="N36" s="18">
        <v>1.6875</v>
      </c>
      <c r="O36" s="18">
        <f>T36*N36-O43</f>
        <v>6.9609375</v>
      </c>
      <c r="P36" s="19" t="s">
        <v>12</v>
      </c>
      <c r="Q36" s="18"/>
      <c r="R36" s="18">
        <v>0.41249999999999998</v>
      </c>
      <c r="S36" s="18"/>
      <c r="T36">
        <f>R36*2 + M36</f>
        <v>5.3250000000000002</v>
      </c>
      <c r="U36">
        <f>M38*N39*M37</f>
        <v>31.893749999999997</v>
      </c>
    </row>
    <row r="37" spans="2:21">
      <c r="B37" s="1" t="s">
        <v>19</v>
      </c>
      <c r="C37" s="1">
        <f t="shared" si="11"/>
        <v>3.9</v>
      </c>
      <c r="D37" s="1">
        <f>D22</f>
        <v>2.625</v>
      </c>
      <c r="E37" s="1">
        <f>I37*D37</f>
        <v>12.476625</v>
      </c>
      <c r="F37" s="1" t="s">
        <v>17</v>
      </c>
      <c r="H37" s="1">
        <f t="shared" si="10"/>
        <v>0.42649999999999999</v>
      </c>
      <c r="I37" s="1">
        <f t="shared" si="12"/>
        <v>4.7530000000000001</v>
      </c>
      <c r="K37" s="1"/>
      <c r="L37" s="1" t="s">
        <v>18</v>
      </c>
      <c r="M37" s="1">
        <v>4.5</v>
      </c>
      <c r="N37" s="1">
        <v>1.6875</v>
      </c>
      <c r="O37" s="1">
        <f>T37*N37 - O43-O44</f>
        <v>6.9609375</v>
      </c>
      <c r="P37" s="1" t="s">
        <v>28</v>
      </c>
      <c r="Q37" s="1"/>
      <c r="R37" s="1">
        <v>0.41249999999999998</v>
      </c>
      <c r="S37" s="1"/>
      <c r="T37">
        <f t="shared" ref="T37:T39" si="13">R37*2 + M37</f>
        <v>5.3250000000000002</v>
      </c>
    </row>
    <row r="38" spans="2:21">
      <c r="B38" s="1" t="s">
        <v>21</v>
      </c>
      <c r="C38" s="1">
        <f t="shared" si="11"/>
        <v>3.9</v>
      </c>
      <c r="D38" s="1">
        <f>D23</f>
        <v>2.625</v>
      </c>
      <c r="E38" s="1">
        <f>I38*D38</f>
        <v>13.132875</v>
      </c>
      <c r="F38" s="1" t="s">
        <v>20</v>
      </c>
      <c r="H38" s="1">
        <f t="shared" si="10"/>
        <v>0.55149999999999999</v>
      </c>
      <c r="I38" s="1">
        <f>2*H38+C38</f>
        <v>5.0030000000000001</v>
      </c>
      <c r="K38" s="1"/>
      <c r="L38" s="1" t="s">
        <v>42</v>
      </c>
      <c r="M38" s="1">
        <v>3.15</v>
      </c>
      <c r="N38" s="1">
        <v>2.25</v>
      </c>
      <c r="O38" s="1">
        <f>T38*N38</f>
        <v>9.5692500000000003</v>
      </c>
      <c r="P38" s="1" t="s">
        <v>20</v>
      </c>
      <c r="Q38" s="1"/>
      <c r="R38" s="1">
        <f>R23</f>
        <v>0.55149999999999999</v>
      </c>
      <c r="S38" s="1"/>
      <c r="T38">
        <f t="shared" si="13"/>
        <v>4.2530000000000001</v>
      </c>
    </row>
    <row r="39" spans="2:21">
      <c r="B39" s="1" t="s">
        <v>23</v>
      </c>
      <c r="C39" s="1">
        <f>C38</f>
        <v>3.9</v>
      </c>
      <c r="D39" s="1">
        <f>C38</f>
        <v>3.9</v>
      </c>
      <c r="E39" s="1">
        <f t="shared" ref="E39:E40" si="14">C39*D39</f>
        <v>15.209999999999999</v>
      </c>
      <c r="H39" s="1">
        <f t="shared" si="10"/>
        <v>0.2</v>
      </c>
      <c r="I39" s="1"/>
      <c r="K39" s="1"/>
      <c r="L39" s="1" t="s">
        <v>21</v>
      </c>
      <c r="M39" s="1">
        <v>3.15</v>
      </c>
      <c r="N39" s="1">
        <v>2.25</v>
      </c>
      <c r="O39" s="1">
        <f>T39*N39</f>
        <v>9.5692500000000003</v>
      </c>
      <c r="P39" s="1" t="s">
        <v>20</v>
      </c>
      <c r="Q39" s="1"/>
      <c r="R39" s="1">
        <f>R38</f>
        <v>0.55149999999999999</v>
      </c>
      <c r="S39" s="1"/>
      <c r="T39">
        <f t="shared" si="13"/>
        <v>4.2530000000000001</v>
      </c>
    </row>
    <row r="40" spans="2:21">
      <c r="B40" s="1" t="s">
        <v>25</v>
      </c>
      <c r="C40" s="1">
        <f>C39</f>
        <v>3.9</v>
      </c>
      <c r="D40" s="1">
        <f>D39</f>
        <v>3.9</v>
      </c>
      <c r="E40" s="1">
        <f t="shared" si="14"/>
        <v>15.209999999999999</v>
      </c>
      <c r="H40" s="1">
        <f t="shared" si="10"/>
        <v>0.15</v>
      </c>
      <c r="I40" s="1"/>
      <c r="K40" s="1"/>
      <c r="L40" s="1" t="s">
        <v>23</v>
      </c>
      <c r="M40" s="1">
        <f>M41</f>
        <v>3.15</v>
      </c>
      <c r="N40" s="1">
        <f>N41</f>
        <v>4.5</v>
      </c>
      <c r="O40" s="1">
        <f t="shared" ref="O40:O41" si="15">M40*N40</f>
        <v>14.174999999999999</v>
      </c>
      <c r="P40" s="1"/>
      <c r="Q40" s="1"/>
      <c r="R40" s="1"/>
      <c r="S40" s="1"/>
    </row>
    <row r="41" spans="2:21">
      <c r="B41" s="1" t="s">
        <v>43</v>
      </c>
      <c r="C41" s="1">
        <f>C26</f>
        <v>0.7</v>
      </c>
      <c r="D41" s="1">
        <f>D26</f>
        <v>2.1</v>
      </c>
      <c r="E41" s="1">
        <f>C41*D41</f>
        <v>1.47</v>
      </c>
      <c r="H41" s="1">
        <v>0.05</v>
      </c>
      <c r="I41" s="1"/>
      <c r="K41" s="1"/>
      <c r="L41" s="1" t="s">
        <v>25</v>
      </c>
      <c r="M41" s="1">
        <f>M39</f>
        <v>3.15</v>
      </c>
      <c r="N41" s="1">
        <f>M37</f>
        <v>4.5</v>
      </c>
      <c r="O41" s="1">
        <f t="shared" si="15"/>
        <v>14.174999999999999</v>
      </c>
      <c r="P41" s="1"/>
      <c r="Q41" s="1"/>
      <c r="R41" s="1"/>
      <c r="S41" s="1"/>
    </row>
    <row r="42" spans="2:21">
      <c r="B42" s="1" t="s">
        <v>44</v>
      </c>
      <c r="C42" s="1">
        <f>C27</f>
        <v>0.7</v>
      </c>
      <c r="D42" s="1">
        <f>D27</f>
        <v>2.1</v>
      </c>
      <c r="E42" s="1">
        <f>C42*D42</f>
        <v>1.47</v>
      </c>
      <c r="H42" s="1">
        <v>0.05</v>
      </c>
      <c r="I42" s="1"/>
      <c r="K42" s="1"/>
      <c r="L42" s="1" t="s">
        <v>43</v>
      </c>
      <c r="M42" s="1">
        <f>M26</f>
        <v>0.7</v>
      </c>
      <c r="N42" s="1">
        <f>N26</f>
        <v>2.1</v>
      </c>
      <c r="O42" s="1">
        <f>M42*N42</f>
        <v>1.47</v>
      </c>
      <c r="P42" s="1"/>
      <c r="Q42" s="1"/>
      <c r="R42" s="1">
        <v>0.05</v>
      </c>
      <c r="S42" s="1"/>
    </row>
    <row r="43" spans="2:21">
      <c r="B43" s="18" t="s">
        <v>39</v>
      </c>
      <c r="C43" s="18">
        <f xml:space="preserve"> C36*0.4</f>
        <v>1.56</v>
      </c>
      <c r="D43" s="18">
        <f>D36*0.4</f>
        <v>1.05</v>
      </c>
      <c r="E43" s="18">
        <f>C43*D43</f>
        <v>1.6380000000000001</v>
      </c>
      <c r="F43" s="18"/>
      <c r="G43" s="19"/>
      <c r="H43" s="18">
        <f>H29</f>
        <v>2.4E-2</v>
      </c>
      <c r="I43" s="1"/>
      <c r="K43" s="1"/>
      <c r="L43" s="18" t="s">
        <v>45</v>
      </c>
      <c r="M43" s="18">
        <f>M36*0.4</f>
        <v>1.8</v>
      </c>
      <c r="N43" s="18">
        <f>0.5*N39</f>
        <v>1.125</v>
      </c>
      <c r="O43" s="18">
        <f>M43*N43</f>
        <v>2.0249999999999999</v>
      </c>
      <c r="P43" s="18"/>
      <c r="Q43" s="18"/>
      <c r="R43" s="18"/>
      <c r="S43" s="18"/>
    </row>
    <row r="44" spans="2:21">
      <c r="B44" s="1"/>
      <c r="C44" s="1"/>
      <c r="D44" s="1"/>
      <c r="E44" s="1"/>
      <c r="F44" s="1"/>
      <c r="G44" s="1"/>
      <c r="H44" s="1"/>
      <c r="I44" s="1"/>
      <c r="J44" s="1"/>
      <c r="K44" s="1"/>
      <c r="L44" s="18"/>
      <c r="M44" s="18"/>
      <c r="N44" s="18"/>
      <c r="O44" s="18"/>
      <c r="P44" s="18"/>
      <c r="Q44" s="18"/>
      <c r="R44" s="18"/>
      <c r="S44" s="18"/>
    </row>
    <row r="45" spans="2:21">
      <c r="B45" s="1"/>
      <c r="C45" s="1"/>
      <c r="D45" s="3" t="s">
        <v>46</v>
      </c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2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1">
      <c r="B48" s="1"/>
      <c r="C48" s="1"/>
      <c r="D48" s="40" t="s">
        <v>47</v>
      </c>
      <c r="E48" s="40"/>
      <c r="F48" s="40"/>
      <c r="G48" s="1"/>
      <c r="H48" s="1"/>
      <c r="I48" s="1"/>
      <c r="J48" s="1"/>
      <c r="K48" s="1"/>
      <c r="L48" s="1"/>
      <c r="M48" s="40" t="s">
        <v>48</v>
      </c>
      <c r="N48" s="40"/>
      <c r="O48" s="40"/>
      <c r="P48" s="40"/>
      <c r="Q48" s="40"/>
      <c r="R48" s="1"/>
      <c r="S48" s="1"/>
    </row>
    <row r="49" spans="2:21">
      <c r="B49" s="1"/>
      <c r="C49" s="1" t="s">
        <v>5</v>
      </c>
      <c r="D49" s="1" t="s">
        <v>6</v>
      </c>
      <c r="E49" s="1" t="s">
        <v>7</v>
      </c>
      <c r="G49" s="1" t="s">
        <v>36</v>
      </c>
      <c r="H49" s="1" t="s">
        <v>3</v>
      </c>
      <c r="I49" t="s">
        <v>15</v>
      </c>
      <c r="J49" s="1"/>
      <c r="K49" s="1"/>
      <c r="L49" s="1"/>
      <c r="M49" s="1" t="s">
        <v>5</v>
      </c>
      <c r="N49" s="1" t="s">
        <v>6</v>
      </c>
      <c r="O49" s="1" t="s">
        <v>13</v>
      </c>
      <c r="Q49" s="1" t="s">
        <v>8</v>
      </c>
      <c r="R49" s="1" t="s">
        <v>3</v>
      </c>
      <c r="S49" s="1" t="s">
        <v>9</v>
      </c>
      <c r="T49" t="s">
        <v>10</v>
      </c>
      <c r="U49" t="s">
        <v>11</v>
      </c>
    </row>
    <row r="50" spans="2:21">
      <c r="B50" s="1" t="s">
        <v>16</v>
      </c>
      <c r="C50" s="1">
        <f>4.5</f>
        <v>4.5</v>
      </c>
      <c r="D50" s="1">
        <f>D38</f>
        <v>2.625</v>
      </c>
      <c r="E50" s="1">
        <f>C50*D50</f>
        <v>11.8125</v>
      </c>
      <c r="F50" t="s">
        <v>20</v>
      </c>
      <c r="G50" s="1"/>
      <c r="H50" s="1">
        <f>H38</f>
        <v>0.55149999999999999</v>
      </c>
      <c r="I50">
        <f>C50*D50*C52</f>
        <v>9.7453124999999989</v>
      </c>
      <c r="J50" s="1"/>
      <c r="K50" s="1"/>
      <c r="L50" s="18" t="s">
        <v>16</v>
      </c>
      <c r="M50" s="18">
        <f>2.2</f>
        <v>2.2000000000000002</v>
      </c>
      <c r="N50" s="18">
        <f>N20</f>
        <v>2.5750000000000002</v>
      </c>
      <c r="O50" s="18">
        <f>T50*N50 - O57</f>
        <v>6.6999500000000003</v>
      </c>
      <c r="P50" s="19" t="s">
        <v>12</v>
      </c>
      <c r="Q50" s="18"/>
      <c r="R50" s="18">
        <f>R20</f>
        <v>0.57050000000000001</v>
      </c>
      <c r="S50" s="18"/>
      <c r="T50">
        <f>2*R50 + M50</f>
        <v>3.3410000000000002</v>
      </c>
      <c r="U50">
        <f>M50*N50*M53</f>
        <v>12.604625000000002</v>
      </c>
    </row>
    <row r="51" spans="2:21">
      <c r="B51" s="1" t="s">
        <v>18</v>
      </c>
      <c r="C51" s="1">
        <f>4.5</f>
        <v>4.5</v>
      </c>
      <c r="D51" s="1">
        <f>D50</f>
        <v>2.625</v>
      </c>
      <c r="E51" s="1">
        <f>C51*D51 -E54 -E42</f>
        <v>8.8724999999999987</v>
      </c>
      <c r="F51" s="1" t="s">
        <v>17</v>
      </c>
      <c r="G51" s="1"/>
      <c r="H51" s="1">
        <f>H37</f>
        <v>0.42649999999999999</v>
      </c>
      <c r="J51" s="1"/>
      <c r="K51" s="1"/>
      <c r="L51" s="1" t="s">
        <v>18</v>
      </c>
      <c r="M51" s="1">
        <f>2.2</f>
        <v>2.2000000000000002</v>
      </c>
      <c r="N51" s="1">
        <f>N21</f>
        <v>2.5750000000000002</v>
      </c>
      <c r="O51" s="1">
        <f>T51*N51 - O56</f>
        <v>6.3914750000000007</v>
      </c>
      <c r="P51" s="1" t="s">
        <v>17</v>
      </c>
      <c r="Q51" s="1"/>
      <c r="R51" s="1">
        <f t="shared" ref="R51:R53" si="16">R21</f>
        <v>0.42649999999999999</v>
      </c>
      <c r="S51" s="1"/>
      <c r="T51">
        <f t="shared" ref="T51:T53" si="17">2*R51 + M51</f>
        <v>3.0529999999999999</v>
      </c>
    </row>
    <row r="52" spans="2:21">
      <c r="B52" s="1" t="s">
        <v>23</v>
      </c>
      <c r="C52" s="1">
        <v>0.82499999999999996</v>
      </c>
      <c r="D52" s="1">
        <f>C51</f>
        <v>4.5</v>
      </c>
      <c r="E52" s="1">
        <f>C52*D52</f>
        <v>3.7124999999999999</v>
      </c>
      <c r="F52" s="1"/>
      <c r="G52" s="1"/>
      <c r="H52" s="1">
        <f>H39</f>
        <v>0.2</v>
      </c>
      <c r="J52" s="1"/>
      <c r="K52" s="1"/>
      <c r="L52" s="1" t="s">
        <v>19</v>
      </c>
      <c r="M52" s="1">
        <v>2.2250000000000001</v>
      </c>
      <c r="N52" s="1">
        <f>N22</f>
        <v>2.5750000000000002</v>
      </c>
      <c r="O52" s="1">
        <f>T52*N52 - O56</f>
        <v>6.4558500000000016</v>
      </c>
      <c r="P52" s="1" t="s">
        <v>17</v>
      </c>
      <c r="Q52" s="1"/>
      <c r="R52" s="1">
        <f t="shared" si="16"/>
        <v>0.42649999999999999</v>
      </c>
      <c r="S52" s="1"/>
      <c r="T52">
        <f t="shared" si="17"/>
        <v>3.0780000000000003</v>
      </c>
    </row>
    <row r="53" spans="2:21">
      <c r="B53" s="1" t="s">
        <v>25</v>
      </c>
      <c r="C53" s="1">
        <f>C52</f>
        <v>0.82499999999999996</v>
      </c>
      <c r="D53" s="1">
        <f>D52</f>
        <v>4.5</v>
      </c>
      <c r="E53" s="1">
        <f>C53*D53</f>
        <v>3.7124999999999999</v>
      </c>
      <c r="F53" s="1"/>
      <c r="G53" s="1"/>
      <c r="H53" s="1">
        <f>H40</f>
        <v>0.15</v>
      </c>
      <c r="J53" s="1"/>
      <c r="K53" s="1"/>
      <c r="L53" s="1" t="s">
        <v>21</v>
      </c>
      <c r="M53" s="1">
        <v>2.2250000000000001</v>
      </c>
      <c r="N53" s="1">
        <f>N23</f>
        <v>2.5750000000000002</v>
      </c>
      <c r="O53" s="1">
        <f>T53*N53</f>
        <v>8.5696000000000012</v>
      </c>
      <c r="P53" s="1" t="s">
        <v>20</v>
      </c>
      <c r="Q53" s="1"/>
      <c r="R53" s="1">
        <f t="shared" si="16"/>
        <v>0.55149999999999999</v>
      </c>
      <c r="S53" s="1"/>
      <c r="T53">
        <f t="shared" si="17"/>
        <v>3.3280000000000003</v>
      </c>
    </row>
    <row r="54" spans="2:21">
      <c r="B54" s="18" t="s">
        <v>49</v>
      </c>
      <c r="C54" s="18">
        <f>C41</f>
        <v>0.7</v>
      </c>
      <c r="D54" s="18">
        <f>D41</f>
        <v>2.1</v>
      </c>
      <c r="E54" s="18">
        <f>C54*D54</f>
        <v>1.47</v>
      </c>
      <c r="F54" s="19"/>
      <c r="G54" s="18"/>
      <c r="H54" s="18">
        <v>0.05</v>
      </c>
      <c r="J54" s="1"/>
      <c r="K54" s="1"/>
      <c r="L54" s="1" t="s">
        <v>23</v>
      </c>
      <c r="M54" s="1">
        <f>M55</f>
        <v>2.2250000000000001</v>
      </c>
      <c r="N54" s="1">
        <f>N55</f>
        <v>2.2000000000000002</v>
      </c>
      <c r="O54" s="1">
        <f t="shared" ref="O54:O56" si="18">M54*N54</f>
        <v>4.8950000000000005</v>
      </c>
      <c r="P54" s="1"/>
      <c r="Q54" s="1"/>
      <c r="R54" s="1"/>
      <c r="S54" s="1"/>
    </row>
    <row r="55" spans="2:21">
      <c r="B55" s="1" t="s">
        <v>50</v>
      </c>
      <c r="C55" s="1"/>
      <c r="D55" s="1"/>
      <c r="E55" s="1">
        <f>E54*0.8</f>
        <v>1.1759999999999999</v>
      </c>
      <c r="F55" s="1"/>
      <c r="G55" s="1"/>
      <c r="H55" s="1"/>
      <c r="J55" s="1"/>
      <c r="K55" s="1"/>
      <c r="L55" s="1" t="s">
        <v>25</v>
      </c>
      <c r="M55" s="1">
        <f>M53</f>
        <v>2.2250000000000001</v>
      </c>
      <c r="N55" s="1">
        <f>M51</f>
        <v>2.2000000000000002</v>
      </c>
      <c r="O55" s="1">
        <f t="shared" si="18"/>
        <v>4.8950000000000005</v>
      </c>
      <c r="P55" s="1"/>
      <c r="Q55" s="1"/>
      <c r="R55" s="1"/>
      <c r="S55" s="1"/>
    </row>
    <row r="56" spans="2:21">
      <c r="B56" s="1"/>
      <c r="C56" s="1"/>
      <c r="D56" s="1"/>
      <c r="E56" s="1"/>
      <c r="F56" s="1"/>
      <c r="G56" s="1"/>
      <c r="H56" s="1"/>
      <c r="I56" s="1"/>
      <c r="J56" s="1"/>
      <c r="K56" s="1"/>
      <c r="L56" s="1" t="s">
        <v>27</v>
      </c>
      <c r="M56" s="1">
        <f>M42</f>
        <v>0.7</v>
      </c>
      <c r="N56" s="1">
        <f>N42</f>
        <v>2.1</v>
      </c>
      <c r="O56" s="1">
        <f t="shared" si="18"/>
        <v>1.47</v>
      </c>
      <c r="P56" s="1"/>
      <c r="Q56" s="1"/>
      <c r="R56" s="1">
        <v>0.05</v>
      </c>
      <c r="S56" s="1"/>
    </row>
    <row r="57" spans="2:21">
      <c r="B57" s="1"/>
      <c r="C57" s="1"/>
      <c r="D57" s="1"/>
      <c r="E57" s="1"/>
      <c r="F57" s="1"/>
      <c r="G57" s="1"/>
      <c r="H57" s="1"/>
      <c r="I57" s="1"/>
      <c r="J57" s="1"/>
      <c r="K57" s="1"/>
      <c r="L57" s="18" t="s">
        <v>29</v>
      </c>
      <c r="M57" s="18">
        <f>0.875*1.45</f>
        <v>1.26875</v>
      </c>
      <c r="N57" s="18">
        <f>1*1.5</f>
        <v>1.5</v>
      </c>
      <c r="O57" s="18">
        <f>M57*N57</f>
        <v>1.9031250000000002</v>
      </c>
      <c r="P57" s="18"/>
      <c r="Q57" s="18"/>
      <c r="R57" s="18"/>
      <c r="S57" s="18"/>
    </row>
    <row r="58" spans="2:2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2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2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21">
      <c r="B61" s="1"/>
      <c r="C61" s="3" t="s">
        <v>51</v>
      </c>
      <c r="D61" s="3"/>
      <c r="E61" s="3"/>
      <c r="F61" s="3"/>
      <c r="G61" s="3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2:21">
      <c r="B62" s="1"/>
      <c r="C62" s="1" t="s">
        <v>5</v>
      </c>
      <c r="D62" s="1" t="s">
        <v>6</v>
      </c>
      <c r="E62" s="1" t="s">
        <v>7</v>
      </c>
      <c r="G62" s="1" t="s">
        <v>36</v>
      </c>
      <c r="H62" s="1" t="s">
        <v>3</v>
      </c>
      <c r="I62" s="1" t="s">
        <v>14</v>
      </c>
      <c r="J62" t="s">
        <v>15</v>
      </c>
      <c r="K62" s="1"/>
      <c r="L62" s="1"/>
      <c r="M62" s="40" t="s">
        <v>4</v>
      </c>
      <c r="N62" s="40"/>
      <c r="O62" s="40"/>
      <c r="P62" s="40"/>
      <c r="Q62" s="1"/>
      <c r="R62" s="1"/>
      <c r="S62" s="1"/>
    </row>
    <row r="63" spans="2:21">
      <c r="B63" s="18" t="s">
        <v>16</v>
      </c>
      <c r="C63" s="18">
        <f>4.025</f>
        <v>4.0250000000000004</v>
      </c>
      <c r="D63" s="18">
        <f>D35</f>
        <v>2.625</v>
      </c>
      <c r="E63" s="18">
        <f>I63*D63 - E70</f>
        <v>10.158914062499999</v>
      </c>
      <c r="F63" s="19" t="s">
        <v>12</v>
      </c>
      <c r="G63" s="18"/>
      <c r="H63" s="18">
        <f>H35</f>
        <v>0.57050000000000001</v>
      </c>
      <c r="I63" s="1">
        <f>2*H63 + C63</f>
        <v>5.1660000000000004</v>
      </c>
      <c r="J63">
        <f>C63*D63*C65</f>
        <v>38.300390625000006</v>
      </c>
      <c r="K63" s="1"/>
      <c r="L63" s="1"/>
      <c r="M63" s="1" t="s">
        <v>5</v>
      </c>
      <c r="N63" s="1" t="s">
        <v>6</v>
      </c>
      <c r="O63" s="1" t="s">
        <v>13</v>
      </c>
      <c r="Q63" s="1" t="s">
        <v>8</v>
      </c>
      <c r="R63" s="1" t="s">
        <v>3</v>
      </c>
      <c r="S63" s="1" t="s">
        <v>9</v>
      </c>
      <c r="T63" t="s">
        <v>10</v>
      </c>
      <c r="U63" t="s">
        <v>11</v>
      </c>
    </row>
    <row r="64" spans="2:21">
      <c r="B64" s="1" t="s">
        <v>18</v>
      </c>
      <c r="C64" s="1">
        <f>4.025</f>
        <v>4.0250000000000004</v>
      </c>
      <c r="D64" s="1">
        <f>D36</f>
        <v>2.625</v>
      </c>
      <c r="E64" s="1">
        <f>I64*D64 - E69</f>
        <v>11.33475</v>
      </c>
      <c r="F64" s="1" t="s">
        <v>17</v>
      </c>
      <c r="G64" s="1"/>
      <c r="H64" s="1">
        <f>H36</f>
        <v>0.42649999999999999</v>
      </c>
      <c r="I64" s="1">
        <f t="shared" ref="I64:I66" si="19">2*H64 + C64</f>
        <v>4.8780000000000001</v>
      </c>
      <c r="K64" s="1"/>
      <c r="L64" s="1" t="s">
        <v>16</v>
      </c>
      <c r="M64" s="1">
        <f>2.2</f>
        <v>2.2000000000000002</v>
      </c>
      <c r="N64" s="1">
        <f>2.225</f>
        <v>2.2250000000000001</v>
      </c>
      <c r="O64" s="1">
        <f>T64*N64 -O70</f>
        <v>6.0082250000000013</v>
      </c>
      <c r="P64" s="1" t="s">
        <v>52</v>
      </c>
      <c r="Q64" s="1"/>
      <c r="R64" s="1">
        <f>R50 + Y8</f>
        <v>0.58050000000000002</v>
      </c>
      <c r="S64" s="1"/>
      <c r="T64">
        <f>2*R64 + M64</f>
        <v>3.3610000000000002</v>
      </c>
      <c r="U64">
        <f>M64*N64*M65</f>
        <v>10.769000000000002</v>
      </c>
    </row>
    <row r="65" spans="2:21">
      <c r="B65" s="1" t="s">
        <v>19</v>
      </c>
      <c r="C65" s="1">
        <f>3.625</f>
        <v>3.625</v>
      </c>
      <c r="D65" s="1">
        <f>D37</f>
        <v>2.625</v>
      </c>
      <c r="E65" s="1">
        <f>I65*D65</f>
        <v>11.75475</v>
      </c>
      <c r="F65" s="1" t="s">
        <v>17</v>
      </c>
      <c r="G65" s="1"/>
      <c r="H65" s="1">
        <f>H37</f>
        <v>0.42649999999999999</v>
      </c>
      <c r="I65" s="1">
        <f t="shared" si="19"/>
        <v>4.4779999999999998</v>
      </c>
      <c r="K65" s="1"/>
      <c r="L65" s="1" t="s">
        <v>18</v>
      </c>
      <c r="M65" s="1">
        <f>2.2</f>
        <v>2.2000000000000002</v>
      </c>
      <c r="N65" s="1">
        <f>2.225</f>
        <v>2.2250000000000001</v>
      </c>
      <c r="O65" s="1">
        <f>T65*N65</f>
        <v>6.8374250000000014</v>
      </c>
      <c r="P65" s="1" t="s">
        <v>53</v>
      </c>
      <c r="Q65" s="1"/>
      <c r="R65" s="1">
        <f>R51 + Y8</f>
        <v>0.4365</v>
      </c>
      <c r="S65" s="1"/>
      <c r="T65">
        <f>2*R65 + M65</f>
        <v>3.0730000000000004</v>
      </c>
    </row>
    <row r="66" spans="2:21">
      <c r="B66" s="1" t="s">
        <v>21</v>
      </c>
      <c r="C66" s="1">
        <f>3.625</f>
        <v>3.625</v>
      </c>
      <c r="D66" s="1">
        <f>D38</f>
        <v>2.625</v>
      </c>
      <c r="E66" s="1">
        <f>I66*D66</f>
        <v>12.411</v>
      </c>
      <c r="F66" s="1" t="s">
        <v>20</v>
      </c>
      <c r="G66" s="1"/>
      <c r="H66" s="1">
        <f>H38</f>
        <v>0.55149999999999999</v>
      </c>
      <c r="I66" s="1">
        <f t="shared" si="19"/>
        <v>4.7279999999999998</v>
      </c>
      <c r="K66" s="1"/>
      <c r="L66" s="18" t="s">
        <v>19</v>
      </c>
      <c r="M66" s="18">
        <v>2.2250000000000001</v>
      </c>
      <c r="N66" s="18">
        <f t="shared" ref="N66:N67" si="20">2.225</f>
        <v>2.2250000000000001</v>
      </c>
      <c r="O66" s="18">
        <f>T66*N66 - O71</f>
        <v>6.0180499999999997</v>
      </c>
      <c r="P66" s="18" t="s">
        <v>54</v>
      </c>
      <c r="Q66" s="18"/>
      <c r="R66" s="18">
        <f>R52 +Y8</f>
        <v>0.4365</v>
      </c>
      <c r="S66" s="18"/>
      <c r="T66">
        <f>2*R66 + M66</f>
        <v>3.0979999999999999</v>
      </c>
    </row>
    <row r="67" spans="2:21">
      <c r="B67" s="1" t="s">
        <v>23</v>
      </c>
      <c r="C67" s="1">
        <f>C65</f>
        <v>3.625</v>
      </c>
      <c r="D67" s="1">
        <f>C64</f>
        <v>4.0250000000000004</v>
      </c>
      <c r="E67" s="1">
        <f t="shared" ref="E67:E68" si="21">C67*D67</f>
        <v>14.590625000000001</v>
      </c>
      <c r="G67" s="1"/>
      <c r="H67" s="1"/>
      <c r="I67" s="1"/>
      <c r="K67" s="1"/>
      <c r="L67" s="1" t="s">
        <v>21</v>
      </c>
      <c r="M67" s="1">
        <v>2.2250000000000001</v>
      </c>
      <c r="N67" s="1">
        <f t="shared" si="20"/>
        <v>2.2250000000000001</v>
      </c>
      <c r="O67" s="1">
        <f>T67*N67</f>
        <v>7.4493</v>
      </c>
      <c r="P67" s="1" t="s">
        <v>55</v>
      </c>
      <c r="Q67" s="1"/>
      <c r="R67" s="1">
        <f>R53 + Y8</f>
        <v>0.5615</v>
      </c>
      <c r="S67" s="1"/>
      <c r="T67">
        <f>2*R67 + M67</f>
        <v>3.3479999999999999</v>
      </c>
    </row>
    <row r="68" spans="2:21">
      <c r="B68" s="1" t="s">
        <v>25</v>
      </c>
      <c r="C68" s="1">
        <f>C67</f>
        <v>3.625</v>
      </c>
      <c r="D68" s="1">
        <f>D67</f>
        <v>4.0250000000000004</v>
      </c>
      <c r="E68" s="1">
        <f t="shared" si="21"/>
        <v>14.590625000000001</v>
      </c>
      <c r="G68" s="1"/>
      <c r="H68" s="1"/>
      <c r="I68" s="1"/>
      <c r="K68" s="1"/>
      <c r="L68" s="1" t="s">
        <v>23</v>
      </c>
      <c r="M68" s="1"/>
      <c r="N68" s="1"/>
      <c r="O68" s="1"/>
      <c r="P68" s="1"/>
      <c r="Q68" s="1"/>
      <c r="R68" s="1"/>
      <c r="S68" s="1"/>
    </row>
    <row r="69" spans="2:21">
      <c r="B69" s="1" t="s">
        <v>49</v>
      </c>
      <c r="C69" s="1">
        <f>C54</f>
        <v>0.7</v>
      </c>
      <c r="D69" s="1">
        <f>D54</f>
        <v>2.1</v>
      </c>
      <c r="E69" s="1">
        <f>C69*D69</f>
        <v>1.47</v>
      </c>
      <c r="G69" s="1"/>
      <c r="H69" s="1">
        <v>0.05</v>
      </c>
      <c r="I69" s="1"/>
      <c r="K69" s="1"/>
      <c r="L69" s="1" t="s">
        <v>25</v>
      </c>
      <c r="M69" s="1"/>
      <c r="N69" s="1"/>
      <c r="O69" s="1"/>
      <c r="P69" s="1"/>
      <c r="Q69" s="1"/>
      <c r="R69" s="1"/>
      <c r="S69" s="1"/>
    </row>
    <row r="70" spans="2:21">
      <c r="B70" s="18" t="s">
        <v>56</v>
      </c>
      <c r="C70" s="18">
        <f>C65*0.65</f>
        <v>2.3562500000000002</v>
      </c>
      <c r="D70" s="18">
        <f>D65*0.55</f>
        <v>1.4437500000000001</v>
      </c>
      <c r="E70" s="18">
        <f>C70*D70</f>
        <v>3.4018359375000005</v>
      </c>
      <c r="G70" s="1"/>
      <c r="H70" s="1"/>
      <c r="I70" s="1"/>
      <c r="K70" s="1"/>
      <c r="L70" s="1" t="s">
        <v>49</v>
      </c>
      <c r="M70" s="1">
        <f>M56</f>
        <v>0.7</v>
      </c>
      <c r="N70" s="1">
        <f>N56</f>
        <v>2.1</v>
      </c>
      <c r="O70" s="1">
        <f>M70*N70</f>
        <v>1.47</v>
      </c>
      <c r="P70" s="1"/>
      <c r="Q70" s="1"/>
      <c r="R70" s="1">
        <v>0.05</v>
      </c>
      <c r="S70" s="1"/>
    </row>
    <row r="71" spans="2:21">
      <c r="B71" s="1"/>
      <c r="C71" s="1"/>
      <c r="D71" s="1"/>
      <c r="E71" s="1"/>
      <c r="F71" s="1"/>
      <c r="G71" s="1"/>
      <c r="H71" s="1"/>
      <c r="I71" s="1"/>
      <c r="K71" s="1"/>
      <c r="L71" s="18" t="s">
        <v>29</v>
      </c>
      <c r="M71" s="18">
        <v>0.875</v>
      </c>
      <c r="N71" s="18">
        <v>1</v>
      </c>
      <c r="O71" s="18">
        <f>M71*N71</f>
        <v>0.875</v>
      </c>
      <c r="P71" s="18"/>
      <c r="Q71" s="18"/>
      <c r="R71" s="18"/>
      <c r="S71" s="18"/>
    </row>
    <row r="72" spans="2:2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2:2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2:2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40" t="s">
        <v>47</v>
      </c>
      <c r="N74" s="40"/>
      <c r="O74" s="40"/>
      <c r="P74" s="1"/>
      <c r="Q74" s="1"/>
      <c r="R74" s="1"/>
      <c r="S74" s="1"/>
      <c r="U74" t="s">
        <v>11</v>
      </c>
    </row>
    <row r="75" spans="2:2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 t="s">
        <v>5</v>
      </c>
      <c r="N75" s="1" t="s">
        <v>6</v>
      </c>
      <c r="O75" s="1" t="s">
        <v>7</v>
      </c>
      <c r="Q75" s="1" t="s">
        <v>36</v>
      </c>
      <c r="R75" s="1" t="s">
        <v>3</v>
      </c>
      <c r="S75" s="1" t="s">
        <v>9</v>
      </c>
      <c r="U75">
        <f>M76*M78*N76</f>
        <v>10.155600000000002</v>
      </c>
    </row>
    <row r="76" spans="2:21">
      <c r="B76" s="1"/>
      <c r="C76" s="1"/>
      <c r="D76" s="1"/>
      <c r="E76" s="1"/>
      <c r="F76" s="1"/>
      <c r="G76" s="1"/>
      <c r="H76" s="1"/>
      <c r="I76" s="1"/>
      <c r="J76" s="1"/>
      <c r="K76" s="1"/>
      <c r="L76" s="1" t="s">
        <v>16</v>
      </c>
      <c r="M76" s="1">
        <f>4.2 - 0.4*M77</f>
        <v>2.52</v>
      </c>
      <c r="N76" s="1">
        <v>2.6</v>
      </c>
      <c r="O76" s="1">
        <f>M76*N76</f>
        <v>6.5520000000000005</v>
      </c>
      <c r="P76" t="s">
        <v>20</v>
      </c>
      <c r="Q76" s="1"/>
      <c r="R76" s="1">
        <f>R53</f>
        <v>0.55149999999999999</v>
      </c>
      <c r="S76" s="1"/>
    </row>
    <row r="77" spans="2:21">
      <c r="B77" s="1"/>
      <c r="C77" s="1"/>
      <c r="D77" s="1"/>
      <c r="E77" s="1"/>
      <c r="F77" s="1"/>
      <c r="G77" s="1"/>
      <c r="H77" s="1"/>
      <c r="I77" s="1"/>
      <c r="J77" s="1"/>
      <c r="K77" s="1"/>
      <c r="L77" s="1" t="s">
        <v>18</v>
      </c>
      <c r="M77" s="1">
        <v>4.2</v>
      </c>
      <c r="N77" s="1">
        <f>N76</f>
        <v>2.6</v>
      </c>
      <c r="O77" s="1">
        <f>M77*N77 -M70-M70-M70</f>
        <v>8.8200000000000038</v>
      </c>
      <c r="P77" s="1" t="s">
        <v>17</v>
      </c>
      <c r="Q77" s="1"/>
      <c r="R77" s="1">
        <f>R52</f>
        <v>0.42649999999999999</v>
      </c>
      <c r="S77" s="1"/>
    </row>
    <row r="78" spans="2:21">
      <c r="B78" s="1"/>
      <c r="C78" s="1"/>
      <c r="D78" s="1"/>
      <c r="E78" s="1"/>
      <c r="F78" s="1"/>
      <c r="G78" s="1"/>
      <c r="H78" s="1"/>
      <c r="I78" s="1"/>
      <c r="J78" s="1"/>
      <c r="K78" s="1"/>
      <c r="L78" s="1" t="s">
        <v>23</v>
      </c>
      <c r="M78" s="1">
        <v>1.55</v>
      </c>
      <c r="N78" s="1">
        <f>M77</f>
        <v>4.2</v>
      </c>
      <c r="O78" s="1">
        <f>M78*N78</f>
        <v>6.5100000000000007</v>
      </c>
      <c r="P78" s="1"/>
      <c r="Q78" s="1"/>
      <c r="R78" s="1"/>
      <c r="S78" s="1"/>
    </row>
    <row r="79" spans="2:21">
      <c r="B79" s="1"/>
      <c r="C79" s="1"/>
      <c r="D79" s="1"/>
      <c r="E79" s="1"/>
      <c r="F79" s="1"/>
      <c r="G79" s="1"/>
      <c r="H79" s="1"/>
      <c r="I79" s="1"/>
      <c r="J79" s="1"/>
      <c r="K79" s="1"/>
      <c r="L79" s="1" t="s">
        <v>25</v>
      </c>
      <c r="M79" s="1">
        <f>M78</f>
        <v>1.55</v>
      </c>
      <c r="N79" s="1">
        <f>N78</f>
        <v>4.2</v>
      </c>
      <c r="O79" s="1">
        <f t="shared" ref="O79" si="22">M79*N79</f>
        <v>6.5100000000000007</v>
      </c>
      <c r="P79" s="1"/>
      <c r="Q79" s="1"/>
      <c r="R79" s="1"/>
      <c r="S79" s="1"/>
    </row>
    <row r="80" spans="2:2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2:19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2:19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2:19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2:19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>
        <f>M78+M65+M51+M40+M24+L6</f>
        <v>15.85</v>
      </c>
      <c r="N84" s="1"/>
      <c r="O84" s="1"/>
      <c r="P84" s="1"/>
      <c r="Q84" s="1"/>
      <c r="R84" s="1"/>
      <c r="S84" s="1"/>
    </row>
    <row r="85" spans="2:19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2:19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2:19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2:19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2:1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2:19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2:19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2">
    <mergeCell ref="M74:O74"/>
    <mergeCell ref="M48:Q48"/>
    <mergeCell ref="L1:Q1"/>
    <mergeCell ref="M62:P62"/>
    <mergeCell ref="D48:F48"/>
    <mergeCell ref="C1:G2"/>
    <mergeCell ref="D4:E4"/>
    <mergeCell ref="D18:E18"/>
    <mergeCell ref="D33:E33"/>
    <mergeCell ref="M3:Q3"/>
    <mergeCell ref="M18:Q18"/>
    <mergeCell ref="M34:Q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75B3-1123-43A2-A9E0-C3EA28518AA1}">
  <dimension ref="B1:P21"/>
  <sheetViews>
    <sheetView workbookViewId="0">
      <selection activeCell="C6" sqref="C6"/>
    </sheetView>
  </sheetViews>
  <sheetFormatPr defaultRowHeight="15"/>
  <cols>
    <col min="2" max="2" width="16.5703125" bestFit="1" customWidth="1"/>
    <col min="3" max="3" width="6.7109375" bestFit="1" customWidth="1"/>
    <col min="5" max="5" width="78.42578125" bestFit="1" customWidth="1"/>
    <col min="15" max="15" width="29.140625" bestFit="1" customWidth="1"/>
    <col min="16" max="16" width="10.28515625" bestFit="1" customWidth="1"/>
  </cols>
  <sheetData>
    <row r="1" spans="2:16" ht="15.75" thickBot="1"/>
    <row r="2" spans="2:16" ht="23.25">
      <c r="B2" s="42" t="s">
        <v>57</v>
      </c>
      <c r="C2" s="42"/>
      <c r="E2" s="4" t="s">
        <v>58</v>
      </c>
      <c r="F2" s="5" t="s">
        <v>59</v>
      </c>
      <c r="G2" s="5" t="s">
        <v>60</v>
      </c>
      <c r="I2" s="42" t="s">
        <v>61</v>
      </c>
      <c r="J2" s="42"/>
      <c r="K2" s="42"/>
      <c r="L2" s="42"/>
      <c r="O2" s="6" t="s">
        <v>62</v>
      </c>
      <c r="P2" s="7" t="s">
        <v>63</v>
      </c>
    </row>
    <row r="3" spans="2:16" ht="23.25">
      <c r="B3" s="8" t="s">
        <v>64</v>
      </c>
      <c r="C3" s="9">
        <v>1.7</v>
      </c>
      <c r="E3" s="10" t="s">
        <v>65</v>
      </c>
      <c r="F3" s="5">
        <v>46</v>
      </c>
      <c r="G3" s="5">
        <v>0.8</v>
      </c>
      <c r="I3" s="43" t="s">
        <v>66</v>
      </c>
      <c r="J3" s="43"/>
      <c r="K3" s="44" t="s">
        <v>67</v>
      </c>
      <c r="L3" s="44"/>
      <c r="O3" s="11" t="s">
        <v>68</v>
      </c>
      <c r="P3" s="12">
        <f>(0.2 + 0.31)/2</f>
        <v>0.255</v>
      </c>
    </row>
    <row r="4" spans="2:16" ht="23.25">
      <c r="B4" s="13" t="s">
        <v>69</v>
      </c>
      <c r="C4" s="9">
        <v>1.31</v>
      </c>
      <c r="E4" s="10" t="s">
        <v>70</v>
      </c>
      <c r="F4" s="5">
        <v>58</v>
      </c>
      <c r="G4" s="5">
        <v>1</v>
      </c>
      <c r="I4" s="13" t="s">
        <v>71</v>
      </c>
      <c r="J4" s="5" t="s">
        <v>72</v>
      </c>
      <c r="K4" s="13" t="s">
        <v>71</v>
      </c>
      <c r="L4" s="5" t="s">
        <v>72</v>
      </c>
      <c r="O4" s="11" t="s">
        <v>73</v>
      </c>
      <c r="P4" s="12">
        <f>(0.039 + 0.057)/2</f>
        <v>4.8000000000000001E-2</v>
      </c>
    </row>
    <row r="5" spans="2:16" ht="23.25">
      <c r="B5" s="13" t="s">
        <v>74</v>
      </c>
      <c r="C5" s="9">
        <v>0.96</v>
      </c>
      <c r="E5" s="10" t="s">
        <v>75</v>
      </c>
      <c r="F5" s="5">
        <v>70</v>
      </c>
      <c r="G5" s="5">
        <v>1.2</v>
      </c>
      <c r="I5" s="13">
        <v>10</v>
      </c>
      <c r="J5" s="5">
        <v>25</v>
      </c>
      <c r="K5" s="9">
        <v>7.5</v>
      </c>
      <c r="L5" s="5">
        <v>6</v>
      </c>
      <c r="O5" s="11" t="s">
        <v>76</v>
      </c>
      <c r="P5" s="12">
        <f>(0.27 + 0.67)/2</f>
        <v>0.47000000000000003</v>
      </c>
    </row>
    <row r="6" spans="2:16" ht="23.25">
      <c r="B6" s="13" t="s">
        <v>77</v>
      </c>
      <c r="C6" s="9">
        <v>0.17</v>
      </c>
      <c r="E6" s="10" t="s">
        <v>78</v>
      </c>
      <c r="F6" s="5">
        <v>80</v>
      </c>
      <c r="G6" s="5">
        <v>1.4</v>
      </c>
      <c r="H6" s="14"/>
      <c r="J6" s="15"/>
      <c r="O6" s="11" t="s">
        <v>79</v>
      </c>
      <c r="P6" s="12">
        <v>0.93</v>
      </c>
    </row>
    <row r="7" spans="2:16" ht="23.25">
      <c r="B7" s="13" t="s">
        <v>80</v>
      </c>
      <c r="C7" s="9">
        <v>0.14000000000000001</v>
      </c>
      <c r="E7" s="10" t="s">
        <v>81</v>
      </c>
      <c r="F7" s="5">
        <v>93</v>
      </c>
      <c r="G7" s="5">
        <v>1.6</v>
      </c>
      <c r="H7" s="14"/>
      <c r="J7" s="15"/>
      <c r="O7" s="11" t="s">
        <v>82</v>
      </c>
      <c r="P7" s="12">
        <v>1</v>
      </c>
    </row>
    <row r="8" spans="2:16" ht="23.25">
      <c r="B8" s="13" t="s">
        <v>83</v>
      </c>
      <c r="C8" s="9">
        <v>2.1000000000000001E-2</v>
      </c>
      <c r="E8" s="10" t="s">
        <v>84</v>
      </c>
      <c r="F8" s="5"/>
      <c r="G8" s="5"/>
      <c r="O8" s="11" t="s">
        <v>85</v>
      </c>
      <c r="P8" s="12">
        <v>0.875</v>
      </c>
    </row>
    <row r="9" spans="2:16" ht="23.25">
      <c r="E9" s="10" t="s">
        <v>86</v>
      </c>
      <c r="F9" s="5">
        <v>145</v>
      </c>
      <c r="G9" s="5">
        <v>2.5</v>
      </c>
      <c r="O9" s="11" t="s">
        <v>87</v>
      </c>
      <c r="P9" s="12">
        <v>0.03</v>
      </c>
    </row>
    <row r="10" spans="2:16" ht="23.25">
      <c r="E10" s="10" t="s">
        <v>88</v>
      </c>
      <c r="F10" s="5">
        <v>275</v>
      </c>
      <c r="G10" s="5">
        <v>4.7</v>
      </c>
      <c r="O10" s="11" t="s">
        <v>89</v>
      </c>
      <c r="P10" s="12">
        <v>0.93</v>
      </c>
    </row>
    <row r="11" spans="2:16" ht="23.25">
      <c r="E11" s="10" t="s">
        <v>90</v>
      </c>
      <c r="F11" s="5"/>
      <c r="G11" s="5"/>
      <c r="O11" s="11" t="s">
        <v>64</v>
      </c>
      <c r="P11" s="12">
        <v>0.85</v>
      </c>
    </row>
    <row r="12" spans="2:16" ht="23.25">
      <c r="E12" s="10" t="s">
        <v>91</v>
      </c>
      <c r="F12" s="5">
        <v>110</v>
      </c>
      <c r="G12" s="5">
        <v>1.9</v>
      </c>
      <c r="O12" s="11" t="s">
        <v>92</v>
      </c>
      <c r="P12" s="12">
        <v>0.94</v>
      </c>
    </row>
    <row r="13" spans="2:16" ht="23.25">
      <c r="E13" s="10" t="s">
        <v>93</v>
      </c>
      <c r="F13" s="5">
        <v>200</v>
      </c>
      <c r="G13" s="5">
        <v>3.4</v>
      </c>
      <c r="O13" s="11" t="s">
        <v>94</v>
      </c>
      <c r="P13" s="12">
        <v>0.77</v>
      </c>
    </row>
    <row r="14" spans="2:16" ht="23.25">
      <c r="E14" s="10" t="s">
        <v>95</v>
      </c>
      <c r="F14" s="5">
        <v>550</v>
      </c>
      <c r="G14" s="5">
        <v>9.5</v>
      </c>
      <c r="O14" s="11" t="s">
        <v>96</v>
      </c>
      <c r="P14" s="12">
        <f>(0.023 + 0.052)/2</f>
        <v>3.7499999999999999E-2</v>
      </c>
    </row>
    <row r="15" spans="2:16" ht="15.75">
      <c r="O15" s="11" t="s">
        <v>97</v>
      </c>
      <c r="P15" s="12">
        <f>(0.92 + 0.94)/2</f>
        <v>0.92999999999999994</v>
      </c>
    </row>
    <row r="16" spans="2:16" ht="15.75">
      <c r="O16" s="11" t="s">
        <v>98</v>
      </c>
      <c r="P16" s="12">
        <v>0.85</v>
      </c>
    </row>
    <row r="17" spans="15:16" ht="15.75">
      <c r="O17" s="11" t="s">
        <v>99</v>
      </c>
      <c r="P17" s="12">
        <v>0.98499999999999999</v>
      </c>
    </row>
    <row r="18" spans="15:16" ht="15.75">
      <c r="O18" s="11" t="s">
        <v>100</v>
      </c>
      <c r="P18" s="12">
        <v>0.95</v>
      </c>
    </row>
    <row r="19" spans="15:16" ht="15.75">
      <c r="O19" s="11" t="s">
        <v>101</v>
      </c>
      <c r="P19" s="12">
        <f>(0.92 + 0.96)/2</f>
        <v>0.94</v>
      </c>
    </row>
    <row r="20" spans="15:16" ht="15.75">
      <c r="O20" s="11" t="s">
        <v>102</v>
      </c>
      <c r="P20" s="12">
        <f>(0.95 + 0.963)/2</f>
        <v>0.95649999999999991</v>
      </c>
    </row>
    <row r="21" spans="15:16" ht="16.5" thickBot="1">
      <c r="O21" s="16" t="s">
        <v>103</v>
      </c>
      <c r="P21" s="17">
        <v>0.95</v>
      </c>
    </row>
  </sheetData>
  <mergeCells count="4">
    <mergeCell ref="B2:C2"/>
    <mergeCell ref="I2:L2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015F-B567-425B-9181-6B43B3F81CFD}">
  <dimension ref="C1:BB126"/>
  <sheetViews>
    <sheetView topLeftCell="A101" workbookViewId="0">
      <selection activeCell="H121" sqref="H121"/>
    </sheetView>
  </sheetViews>
  <sheetFormatPr defaultRowHeight="15"/>
  <cols>
    <col min="13" max="13" width="15" bestFit="1" customWidth="1"/>
    <col min="14" max="14" width="10.5703125" customWidth="1"/>
    <col min="16" max="16" width="11.42578125" bestFit="1" customWidth="1"/>
    <col min="36" max="36" width="15.140625" bestFit="1" customWidth="1"/>
    <col min="49" max="49" width="13" bestFit="1" customWidth="1"/>
  </cols>
  <sheetData>
    <row r="1" spans="3:43">
      <c r="C1" s="50" t="s">
        <v>104</v>
      </c>
      <c r="D1" s="50"/>
      <c r="E1" s="50"/>
      <c r="F1" s="50"/>
      <c r="G1" s="50"/>
      <c r="H1" s="50"/>
      <c r="I1" s="50"/>
      <c r="J1" s="50"/>
      <c r="K1" s="50"/>
      <c r="AB1" s="20"/>
      <c r="AC1" s="20"/>
      <c r="AD1" s="20"/>
    </row>
    <row r="2" spans="3:43">
      <c r="C2" s="50"/>
      <c r="D2" s="50"/>
      <c r="E2" s="50"/>
      <c r="F2" s="50"/>
      <c r="G2" s="50"/>
      <c r="H2" s="50"/>
      <c r="I2" s="50"/>
      <c r="J2" s="50"/>
      <c r="K2" s="50"/>
      <c r="AB2" s="20"/>
      <c r="AC2" s="20"/>
      <c r="AD2" s="20"/>
    </row>
    <row r="3" spans="3:43">
      <c r="C3" s="50"/>
      <c r="D3" s="50"/>
      <c r="E3" s="50"/>
      <c r="F3" s="50"/>
      <c r="G3" s="50"/>
      <c r="H3" s="50"/>
      <c r="I3" s="50"/>
      <c r="J3" s="50"/>
      <c r="K3" s="50"/>
      <c r="AB3" s="20"/>
      <c r="AC3" s="20"/>
      <c r="AD3" s="20"/>
    </row>
    <row r="4" spans="3:43">
      <c r="R4" s="42" t="s">
        <v>61</v>
      </c>
      <c r="S4" s="42"/>
      <c r="T4" s="42"/>
      <c r="U4" s="42"/>
      <c r="AB4" s="20"/>
      <c r="AI4" s="48" t="s">
        <v>105</v>
      </c>
      <c r="AJ4" s="49"/>
      <c r="AK4" s="49"/>
      <c r="AL4" s="49"/>
      <c r="AM4" s="49"/>
      <c r="AN4" s="49"/>
      <c r="AO4" s="49"/>
      <c r="AP4" s="49"/>
      <c r="AQ4" s="49"/>
    </row>
    <row r="5" spans="3:43" ht="36">
      <c r="E5" s="52" t="s">
        <v>106</v>
      </c>
      <c r="F5" s="46"/>
      <c r="G5" s="46"/>
      <c r="H5" s="46"/>
      <c r="I5" s="46"/>
      <c r="R5" s="43" t="s">
        <v>66</v>
      </c>
      <c r="S5" s="43"/>
      <c r="T5" s="44" t="s">
        <v>67</v>
      </c>
      <c r="U5" s="44"/>
      <c r="AI5" s="49"/>
      <c r="AJ5" s="49"/>
      <c r="AK5" s="49"/>
      <c r="AL5" s="49"/>
      <c r="AM5" s="49"/>
      <c r="AN5" s="49"/>
      <c r="AO5" s="49"/>
      <c r="AP5" s="49"/>
      <c r="AQ5" s="49"/>
    </row>
    <row r="6" spans="3:43" ht="15.75">
      <c r="R6" s="13" t="s">
        <v>71</v>
      </c>
      <c r="S6" s="5" t="s">
        <v>72</v>
      </c>
      <c r="T6" s="13" t="s">
        <v>71</v>
      </c>
      <c r="U6" s="5" t="s">
        <v>72</v>
      </c>
      <c r="X6" t="s">
        <v>2</v>
      </c>
      <c r="Y6" t="s">
        <v>3</v>
      </c>
      <c r="Z6" t="s">
        <v>8</v>
      </c>
      <c r="AI6" s="49"/>
      <c r="AJ6" s="49"/>
      <c r="AK6" s="49"/>
      <c r="AL6" s="49"/>
      <c r="AM6" s="49"/>
      <c r="AN6" s="49"/>
      <c r="AO6" s="49"/>
      <c r="AP6" s="49"/>
      <c r="AQ6" s="49"/>
    </row>
    <row r="7" spans="3:43" ht="15.75">
      <c r="E7" t="s">
        <v>107</v>
      </c>
      <c r="R7" s="13">
        <v>10</v>
      </c>
      <c r="S7" s="5">
        <v>25</v>
      </c>
      <c r="T7" s="9">
        <v>7.5</v>
      </c>
      <c r="U7" s="5">
        <v>6</v>
      </c>
      <c r="X7" t="s">
        <v>12</v>
      </c>
      <c r="Y7">
        <f>0.27</f>
        <v>0.27</v>
      </c>
      <c r="AI7" s="49"/>
      <c r="AJ7" s="49"/>
      <c r="AK7" s="49"/>
      <c r="AL7" s="49"/>
      <c r="AM7" s="49"/>
      <c r="AN7" s="49"/>
      <c r="AO7" s="49"/>
      <c r="AP7" s="49"/>
      <c r="AQ7" s="49"/>
    </row>
    <row r="8" spans="3:43">
      <c r="E8" s="21">
        <v>0.9</v>
      </c>
      <c r="X8" s="1" t="s">
        <v>17</v>
      </c>
      <c r="Y8">
        <v>0.22500000000000001</v>
      </c>
      <c r="AI8" s="49"/>
      <c r="AJ8" s="49"/>
      <c r="AK8" s="49"/>
      <c r="AL8" s="49"/>
      <c r="AM8" s="49"/>
      <c r="AN8" s="49"/>
      <c r="AO8" s="49"/>
      <c r="AP8" s="49"/>
      <c r="AQ8" s="49"/>
    </row>
    <row r="9" spans="3:43">
      <c r="X9" s="1" t="s">
        <v>17</v>
      </c>
      <c r="Y9">
        <v>0.22500000000000001</v>
      </c>
      <c r="AI9" s="49"/>
      <c r="AJ9" s="49"/>
      <c r="AK9" s="49"/>
      <c r="AL9" s="49"/>
      <c r="AM9" s="49"/>
      <c r="AN9" s="49"/>
      <c r="AO9" s="49"/>
      <c r="AP9" s="49"/>
      <c r="AQ9" s="49"/>
    </row>
    <row r="10" spans="3:43">
      <c r="X10" s="1" t="s">
        <v>20</v>
      </c>
      <c r="Y10">
        <v>0.35</v>
      </c>
      <c r="AI10" s="49"/>
      <c r="AJ10" s="49"/>
      <c r="AK10" s="49"/>
      <c r="AL10" s="49"/>
      <c r="AM10" s="49"/>
      <c r="AN10" s="49"/>
      <c r="AO10" s="49"/>
      <c r="AP10" s="49"/>
      <c r="AQ10" s="49"/>
    </row>
    <row r="11" spans="3:43">
      <c r="X11" s="1" t="s">
        <v>22</v>
      </c>
      <c r="Y11">
        <f>10/1000</f>
        <v>0.01</v>
      </c>
      <c r="AI11" s="49"/>
      <c r="AJ11" s="49"/>
      <c r="AK11" s="49"/>
      <c r="AL11" s="49"/>
      <c r="AM11" s="49"/>
      <c r="AN11" s="49"/>
      <c r="AO11" s="49"/>
      <c r="AP11" s="49"/>
      <c r="AQ11" s="49"/>
    </row>
    <row r="12" spans="3:43">
      <c r="X12" s="1" t="s">
        <v>24</v>
      </c>
      <c r="Y12">
        <f>0.5/1000</f>
        <v>5.0000000000000001E-4</v>
      </c>
    </row>
    <row r="13" spans="3:43">
      <c r="X13" s="1" t="s">
        <v>26</v>
      </c>
      <c r="Y13">
        <f>100/1000</f>
        <v>0.1</v>
      </c>
      <c r="Z13">
        <v>4.7E-2</v>
      </c>
    </row>
    <row r="14" spans="3:43">
      <c r="X14" s="1" t="s">
        <v>28</v>
      </c>
    </row>
    <row r="15" spans="3:43">
      <c r="X15" s="1" t="s">
        <v>30</v>
      </c>
      <c r="Y15">
        <f>0.2</f>
        <v>0.2</v>
      </c>
      <c r="Z15">
        <v>1.173</v>
      </c>
    </row>
    <row r="16" spans="3:43" ht="15.75">
      <c r="X16" s="1" t="s">
        <v>31</v>
      </c>
      <c r="Y16">
        <f>40/1000</f>
        <v>0.04</v>
      </c>
      <c r="Z16" s="9">
        <v>0.17</v>
      </c>
    </row>
    <row r="17" spans="24:26" ht="18.75">
      <c r="X17" s="1" t="s">
        <v>32</v>
      </c>
      <c r="Y17">
        <v>5.3999999999999999E-2</v>
      </c>
      <c r="Z17" s="22">
        <v>0.19</v>
      </c>
    </row>
    <row r="18" spans="24:26">
      <c r="X18" t="s">
        <v>33</v>
      </c>
      <c r="Y18">
        <v>0.24</v>
      </c>
      <c r="Z18">
        <v>1.31</v>
      </c>
    </row>
    <row r="19" spans="24:26">
      <c r="X19" t="s">
        <v>108</v>
      </c>
      <c r="Y19">
        <f>4/1000</f>
        <v>4.0000000000000001E-3</v>
      </c>
      <c r="Z19">
        <f>'Heat Data '!C5</f>
        <v>0.96</v>
      </c>
    </row>
    <row r="20" spans="24:26">
      <c r="X20" t="s">
        <v>109</v>
      </c>
      <c r="Y20">
        <v>1</v>
      </c>
      <c r="Z20">
        <v>0.14000000000000001</v>
      </c>
    </row>
    <row r="21" spans="24:26">
      <c r="X21" t="s">
        <v>110</v>
      </c>
      <c r="Y21">
        <f>5/1000</f>
        <v>5.0000000000000001E-3</v>
      </c>
      <c r="Z21">
        <v>1.79</v>
      </c>
    </row>
    <row r="22" spans="24:26">
      <c r="X22" t="s">
        <v>111</v>
      </c>
      <c r="Y22">
        <f>6/1000</f>
        <v>6.0000000000000001E-3</v>
      </c>
      <c r="Z22">
        <v>0.15</v>
      </c>
    </row>
    <row r="23" spans="24:26">
      <c r="X23" t="s">
        <v>112</v>
      </c>
      <c r="Y23">
        <f>35/1000</f>
        <v>3.5000000000000003E-2</v>
      </c>
      <c r="Z23">
        <v>0.1154</v>
      </c>
    </row>
    <row r="34" spans="4:47">
      <c r="D34" s="50" t="s">
        <v>113</v>
      </c>
      <c r="E34" s="50"/>
      <c r="J34" s="50" t="s">
        <v>108</v>
      </c>
      <c r="K34" s="50"/>
    </row>
    <row r="35" spans="4:47">
      <c r="D35" t="s">
        <v>114</v>
      </c>
      <c r="E35">
        <f>1/(S7*('Room Dimensions'!E55 + 'Room Dimensions'!E54))</f>
        <v>1.5117157974300834E-2</v>
      </c>
      <c r="G35" t="s">
        <v>115</v>
      </c>
      <c r="H35">
        <f>(SUM(E35:E41))^-1</f>
        <v>0.39808197398665374</v>
      </c>
      <c r="J35" t="s">
        <v>116</v>
      </c>
      <c r="K35">
        <f>1/(S7*K42)</f>
        <v>9.0702947845804988E-2</v>
      </c>
      <c r="P35" s="23" t="s">
        <v>117</v>
      </c>
    </row>
    <row r="36" spans="4:47">
      <c r="D36" t="s">
        <v>118</v>
      </c>
      <c r="E36">
        <f>Y17/(Z17*'Room Dimensions'!E54)</f>
        <v>0.1933404940923738</v>
      </c>
      <c r="J36" t="s">
        <v>119</v>
      </c>
      <c r="K36">
        <f>Y19/(Z19*K42)</f>
        <v>9.4482237339380201E-3</v>
      </c>
      <c r="P36" s="23">
        <f>K41+H35</f>
        <v>0.45856592395889684</v>
      </c>
    </row>
    <row r="37" spans="4:47">
      <c r="D37" t="s">
        <v>120</v>
      </c>
      <c r="E37">
        <f>Y18/(Z18*'Room Dimensions'!E55)</f>
        <v>0.15578750584203147</v>
      </c>
      <c r="J37" t="s">
        <v>121</v>
      </c>
      <c r="K37">
        <f>Y20/(Z20*K42)</f>
        <v>16.196954972465175</v>
      </c>
    </row>
    <row r="38" spans="4:47">
      <c r="D38" t="s">
        <v>122</v>
      </c>
      <c r="E38">
        <f>'Room Dimensions'!Y10/(Z13*'Room Dimensions'!E55)</f>
        <v>1.809234332030685</v>
      </c>
      <c r="J38" t="s">
        <v>123</v>
      </c>
      <c r="K38">
        <f>K36</f>
        <v>9.4482237339380201E-3</v>
      </c>
    </row>
    <row r="39" spans="4:47">
      <c r="D39" t="s">
        <v>124</v>
      </c>
      <c r="E39">
        <f>E37</f>
        <v>0.15578750584203147</v>
      </c>
      <c r="J39" t="s">
        <v>125</v>
      </c>
      <c r="K39">
        <f>1/(R7*K42)</f>
        <v>0.22675736961451246</v>
      </c>
    </row>
    <row r="40" spans="4:47">
      <c r="D40" t="s">
        <v>126</v>
      </c>
      <c r="E40">
        <f>'U values Downstairsn'!Y15/('U values Downstairsn'!Z15*'Room Dimensions'!E55)</f>
        <v>0.14498553044406168</v>
      </c>
    </row>
    <row r="41" spans="4:47">
      <c r="D41" t="s">
        <v>127</v>
      </c>
      <c r="E41">
        <f>1/(R7*('Room Dimensions'!E55 + 'Room Dimensions'!E54))</f>
        <v>3.779289493575208E-2</v>
      </c>
      <c r="J41" t="s">
        <v>128</v>
      </c>
      <c r="K41">
        <f>(SUM(K35:K39))^-1</f>
        <v>6.0483949972243087E-2</v>
      </c>
      <c r="AK41" s="50" t="s">
        <v>129</v>
      </c>
      <c r="AL41" s="50"/>
      <c r="AN41" s="50" t="s">
        <v>39</v>
      </c>
      <c r="AO41" s="50"/>
      <c r="AQ41" s="50" t="s">
        <v>130</v>
      </c>
      <c r="AR41" s="50"/>
    </row>
    <row r="42" spans="4:47">
      <c r="J42" t="s">
        <v>131</v>
      </c>
      <c r="K42">
        <f>0.3*'Room Dimensions'!E69</f>
        <v>0.441</v>
      </c>
      <c r="AK42" t="s">
        <v>114</v>
      </c>
      <c r="AL42">
        <f>1/(S7*AU44)</f>
        <v>3.9374287206202065E-3</v>
      </c>
      <c r="AN42" t="s">
        <v>126</v>
      </c>
      <c r="AO42">
        <f>Y19/(Z19*AU42)</f>
        <v>1.3671627502153498E-3</v>
      </c>
      <c r="AQ42" t="s">
        <v>118</v>
      </c>
      <c r="AR42">
        <f>Y18/(Z18*AU43)</f>
        <v>2.5762892392280523E-2</v>
      </c>
      <c r="AT42" t="s">
        <v>131</v>
      </c>
      <c r="AU42" s="1">
        <f>AU44*0.3</f>
        <v>3.0476742187499997</v>
      </c>
    </row>
    <row r="43" spans="4:47">
      <c r="AK43" t="s">
        <v>127</v>
      </c>
      <c r="AL43">
        <f>1/(R7*AU44)</f>
        <v>9.8435718015505158E-3</v>
      </c>
      <c r="AN43" t="s">
        <v>127</v>
      </c>
      <c r="AO43">
        <f>Y20/(Z20*AU42)</f>
        <v>2.3437075717977418</v>
      </c>
      <c r="AQ43" t="s">
        <v>120</v>
      </c>
      <c r="AR43">
        <f>Y13/(Z13*AU43)</f>
        <v>0.29919671129332887</v>
      </c>
      <c r="AT43" t="s">
        <v>132</v>
      </c>
      <c r="AU43" s="1">
        <f>AU44-AU42</f>
        <v>7.1112398437499991</v>
      </c>
    </row>
    <row r="44" spans="4:47" ht="61.5">
      <c r="G44" s="45" t="s">
        <v>51</v>
      </c>
      <c r="H44" s="51"/>
      <c r="I44" s="51"/>
      <c r="J44" s="51"/>
      <c r="K44" s="51"/>
      <c r="L44" s="51"/>
      <c r="M44" s="51"/>
      <c r="N44" s="51"/>
      <c r="O44" s="51"/>
      <c r="P44" s="51"/>
      <c r="AN44" t="s">
        <v>116</v>
      </c>
      <c r="AO44">
        <f>AO42</f>
        <v>1.3671627502153498E-3</v>
      </c>
      <c r="AQ44" t="s">
        <v>122</v>
      </c>
      <c r="AR44">
        <f>AR42</f>
        <v>2.5762892392280523E-2</v>
      </c>
      <c r="AT44" t="s">
        <v>133</v>
      </c>
      <c r="AU44" s="1">
        <f>'Room Dimensions'!E63</f>
        <v>10.158914062499999</v>
      </c>
    </row>
    <row r="45" spans="4:47">
      <c r="AQ45" t="s">
        <v>124</v>
      </c>
      <c r="AR45">
        <f>Y15/(Z15*AU43)</f>
        <v>2.3976548049081767E-2</v>
      </c>
    </row>
    <row r="46" spans="4:47">
      <c r="AK46" t="s">
        <v>134</v>
      </c>
      <c r="AL46">
        <f>AL42+AL43</f>
        <v>1.3781000522170721E-2</v>
      </c>
      <c r="AN46" t="s">
        <v>135</v>
      </c>
      <c r="AO46">
        <f>AO42+AO43+AO44</f>
        <v>2.3464418972981722</v>
      </c>
      <c r="AQ46" t="s">
        <v>135</v>
      </c>
      <c r="AR46">
        <f>SUM(AR42:AR45)</f>
        <v>0.37469904412697169</v>
      </c>
    </row>
    <row r="49" spans="21:47">
      <c r="AN49" t="s">
        <v>117</v>
      </c>
      <c r="AO49">
        <f>1/(SUM(AL46,AO46,AR46))</f>
        <v>0.36564114853237156</v>
      </c>
    </row>
    <row r="52" spans="21:47">
      <c r="AJ52" s="45" t="s">
        <v>136</v>
      </c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</row>
    <row r="53" spans="21:47">
      <c r="U53" s="42" t="s">
        <v>61</v>
      </c>
      <c r="V53" s="42"/>
      <c r="W53" s="42"/>
      <c r="X53" s="42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</row>
    <row r="54" spans="21:47" ht="15.75">
      <c r="U54" s="43" t="s">
        <v>66</v>
      </c>
      <c r="V54" s="43"/>
      <c r="W54" s="44" t="s">
        <v>67</v>
      </c>
      <c r="X54" s="44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</row>
    <row r="55" spans="21:47" ht="15.75">
      <c r="U55" s="13" t="s">
        <v>71</v>
      </c>
      <c r="V55" s="5" t="s">
        <v>72</v>
      </c>
      <c r="W55" s="13" t="s">
        <v>71</v>
      </c>
      <c r="X55" s="5" t="s">
        <v>72</v>
      </c>
      <c r="AA55" t="s">
        <v>2</v>
      </c>
      <c r="AB55" t="s">
        <v>3</v>
      </c>
      <c r="AC55" t="s">
        <v>8</v>
      </c>
    </row>
    <row r="56" spans="21:47" ht="15.75">
      <c r="U56" s="13">
        <v>10</v>
      </c>
      <c r="V56" s="5">
        <v>25</v>
      </c>
      <c r="W56" s="9">
        <v>7.5</v>
      </c>
      <c r="X56" s="5">
        <v>6</v>
      </c>
      <c r="AA56" t="s">
        <v>12</v>
      </c>
      <c r="AB56">
        <f>0.27</f>
        <v>0.27</v>
      </c>
    </row>
    <row r="57" spans="21:47">
      <c r="AA57" s="1" t="s">
        <v>17</v>
      </c>
      <c r="AB57">
        <v>0.22500000000000001</v>
      </c>
    </row>
    <row r="58" spans="21:47">
      <c r="AA58" s="1" t="s">
        <v>17</v>
      </c>
      <c r="AB58">
        <v>0.22500000000000001</v>
      </c>
    </row>
    <row r="59" spans="21:47">
      <c r="AA59" s="1" t="s">
        <v>20</v>
      </c>
      <c r="AB59">
        <v>0.35</v>
      </c>
    </row>
    <row r="60" spans="21:47">
      <c r="AA60" s="1" t="s">
        <v>22</v>
      </c>
      <c r="AB60">
        <f>10/1000</f>
        <v>0.01</v>
      </c>
    </row>
    <row r="61" spans="21:47">
      <c r="AA61" s="1" t="s">
        <v>24</v>
      </c>
      <c r="AB61">
        <f>0.5/1000</f>
        <v>5.0000000000000001E-4</v>
      </c>
    </row>
    <row r="62" spans="21:47">
      <c r="AA62" s="1" t="s">
        <v>26</v>
      </c>
      <c r="AB62">
        <f>100/1000</f>
        <v>0.1</v>
      </c>
      <c r="AC62">
        <v>4.7E-2</v>
      </c>
    </row>
    <row r="63" spans="21:47">
      <c r="AA63" s="1" t="s">
        <v>28</v>
      </c>
    </row>
    <row r="64" spans="21:47">
      <c r="AA64" s="1" t="s">
        <v>30</v>
      </c>
      <c r="AB64">
        <f>0.2</f>
        <v>0.2</v>
      </c>
      <c r="AC64">
        <v>1.173</v>
      </c>
    </row>
    <row r="65" spans="6:45" ht="15.75">
      <c r="AA65" s="1" t="s">
        <v>31</v>
      </c>
      <c r="AB65">
        <f>40/1000</f>
        <v>0.04</v>
      </c>
      <c r="AC65" s="9">
        <v>0.17</v>
      </c>
    </row>
    <row r="66" spans="6:45" ht="18.75">
      <c r="AA66" s="1" t="s">
        <v>32</v>
      </c>
      <c r="AB66">
        <v>5.3999999999999999E-2</v>
      </c>
      <c r="AC66" s="22">
        <v>0.19</v>
      </c>
    </row>
    <row r="67" spans="6:45">
      <c r="AA67" t="s">
        <v>33</v>
      </c>
      <c r="AB67">
        <v>0.24</v>
      </c>
      <c r="AC67">
        <v>1.31</v>
      </c>
    </row>
    <row r="68" spans="6:45">
      <c r="AA68" t="s">
        <v>108</v>
      </c>
      <c r="AB68">
        <f>4/1000</f>
        <v>4.0000000000000001E-3</v>
      </c>
      <c r="AC68">
        <f>Z19</f>
        <v>0.96</v>
      </c>
    </row>
    <row r="69" spans="6:45">
      <c r="AA69" t="s">
        <v>109</v>
      </c>
      <c r="AB69">
        <v>1</v>
      </c>
      <c r="AC69">
        <v>0.14000000000000001</v>
      </c>
    </row>
    <row r="70" spans="6:45">
      <c r="AA70" t="s">
        <v>110</v>
      </c>
      <c r="AB70">
        <f>5/1000</f>
        <v>5.0000000000000001E-3</v>
      </c>
      <c r="AC70">
        <v>1.79</v>
      </c>
    </row>
    <row r="71" spans="6:45">
      <c r="AA71" t="s">
        <v>111</v>
      </c>
      <c r="AB71">
        <f>6/1000</f>
        <v>6.0000000000000001E-3</v>
      </c>
      <c r="AC71">
        <v>0.15</v>
      </c>
    </row>
    <row r="72" spans="6:45">
      <c r="AA72" t="s">
        <v>112</v>
      </c>
      <c r="AB72">
        <f>35/1000</f>
        <v>3.5000000000000003E-2</v>
      </c>
      <c r="AC72">
        <v>0.1154</v>
      </c>
    </row>
    <row r="73" spans="6:45">
      <c r="F73" s="50" t="s">
        <v>129</v>
      </c>
      <c r="G73" s="50"/>
      <c r="I73" s="50" t="s">
        <v>39</v>
      </c>
      <c r="J73" s="50"/>
      <c r="L73" s="50" t="s">
        <v>130</v>
      </c>
      <c r="M73" s="50"/>
    </row>
    <row r="74" spans="6:45">
      <c r="F74" t="s">
        <v>114</v>
      </c>
      <c r="G74">
        <f>1/(S7*P76)</f>
        <v>2.9496893608391872E-3</v>
      </c>
      <c r="I74" t="s">
        <v>126</v>
      </c>
      <c r="J74">
        <f>Y19/(Z19*P74)</f>
        <v>1.2248288110357076E-3</v>
      </c>
      <c r="L74" t="s">
        <v>118</v>
      </c>
      <c r="M74">
        <f>Y18/(Z18*P75)</f>
        <v>1.8034024674596368E-2</v>
      </c>
      <c r="O74" t="s">
        <v>131</v>
      </c>
      <c r="P74" s="1">
        <f>'Room Dimensions'!E70</f>
        <v>3.4018359375000005</v>
      </c>
    </row>
    <row r="75" spans="6:45">
      <c r="F75" t="s">
        <v>119</v>
      </c>
      <c r="G75">
        <f>1/(P76*R7)</f>
        <v>7.374223402097967E-3</v>
      </c>
      <c r="I75" t="s">
        <v>127</v>
      </c>
      <c r="J75">
        <f>Y20/(Z20*P74)</f>
        <v>2.0997065332040696</v>
      </c>
      <c r="L75" t="s">
        <v>120</v>
      </c>
      <c r="M75">
        <f>Y13/(Z13*P75)</f>
        <v>0.20943769790533015</v>
      </c>
      <c r="O75" t="s">
        <v>132</v>
      </c>
      <c r="P75" s="1">
        <f>'Room Dimensions'!E63</f>
        <v>10.158914062499999</v>
      </c>
    </row>
    <row r="76" spans="6:45">
      <c r="I76" t="s">
        <v>116</v>
      </c>
      <c r="J76">
        <f>Y19/(Z19*P74)</f>
        <v>1.2248288110357076E-3</v>
      </c>
      <c r="L76" t="s">
        <v>122</v>
      </c>
      <c r="M76">
        <f>M74</f>
        <v>1.8034024674596368E-2</v>
      </c>
      <c r="O76" t="s">
        <v>133</v>
      </c>
      <c r="P76" s="1">
        <f>P74+P75</f>
        <v>13.560749999999999</v>
      </c>
    </row>
    <row r="77" spans="6:45">
      <c r="L77" t="s">
        <v>124</v>
      </c>
      <c r="M77">
        <f>Y15/(Z15*P75)</f>
        <v>1.6783583634357235E-2</v>
      </c>
    </row>
    <row r="78" spans="6:45">
      <c r="F78" t="s">
        <v>134</v>
      </c>
      <c r="G78">
        <f>G74+G75</f>
        <v>1.0323912762937154E-2</v>
      </c>
      <c r="I78" t="s">
        <v>135</v>
      </c>
      <c r="J78">
        <f>J74+J75+J76</f>
        <v>2.1021561908261415</v>
      </c>
      <c r="L78" t="s">
        <v>135</v>
      </c>
      <c r="M78">
        <f>SUM(M74:M77)</f>
        <v>0.26228933088888012</v>
      </c>
    </row>
    <row r="79" spans="6:45">
      <c r="Z79" t="s">
        <v>137</v>
      </c>
      <c r="AC79" t="s">
        <v>138</v>
      </c>
      <c r="AF79" t="s">
        <v>139</v>
      </c>
      <c r="AI79" t="s">
        <v>140</v>
      </c>
      <c r="AL79" t="s">
        <v>141</v>
      </c>
      <c r="AP79" t="s">
        <v>142</v>
      </c>
      <c r="AS79" t="s">
        <v>143</v>
      </c>
    </row>
    <row r="80" spans="6:45">
      <c r="Z80" t="s">
        <v>114</v>
      </c>
      <c r="AA80">
        <f>1/(S7*AK87)</f>
        <v>3.7021611365634696E-3</v>
      </c>
      <c r="AC80" t="s">
        <v>118</v>
      </c>
      <c r="AD80">
        <f>AB68/(AC68*AK91)</f>
        <v>6.7487312385271581E-3</v>
      </c>
      <c r="AF80" t="s">
        <v>124</v>
      </c>
      <c r="AG80">
        <f>AB66/(AC66*AK90)</f>
        <v>0.1933404940923738</v>
      </c>
      <c r="AI80" t="s">
        <v>126</v>
      </c>
      <c r="AJ80">
        <f>AB68/(AC68*AK88)</f>
        <v>3.4227527488983017E-3</v>
      </c>
      <c r="AL80" t="s">
        <v>119</v>
      </c>
      <c r="AM80">
        <f>AJ80</f>
        <v>3.4227527488983017E-3</v>
      </c>
      <c r="AP80" t="s">
        <v>125</v>
      </c>
      <c r="AQ80">
        <f>AB67/(AC67*AK92)</f>
        <v>2.6552331222077272E-2</v>
      </c>
      <c r="AS80">
        <f>(SUM(AA82,AD83,AJ83,AM83,AQ84))^-1</f>
        <v>4.2139449123992596E-2</v>
      </c>
    </row>
    <row r="81" spans="8:54">
      <c r="I81" t="s">
        <v>117</v>
      </c>
      <c r="J81">
        <f>1/(SUM(G78,J78,M78))</f>
        <v>0.42109351142959611</v>
      </c>
      <c r="Z81" t="s">
        <v>144</v>
      </c>
      <c r="AA81">
        <f>1/(AK87*R7)</f>
        <v>9.255402841408673E-3</v>
      </c>
      <c r="AC81" t="s">
        <v>120</v>
      </c>
      <c r="AD81">
        <f>AB69/(AC69*AK91)</f>
        <v>11.569253551760841</v>
      </c>
      <c r="AF81" t="s">
        <v>145</v>
      </c>
      <c r="AG81">
        <f>AG80</f>
        <v>0.1933404940923738</v>
      </c>
      <c r="AI81" t="s">
        <v>127</v>
      </c>
      <c r="AJ81">
        <f>AB69/(AC69*AK88)</f>
        <v>5.8675761409685165</v>
      </c>
      <c r="AL81" t="s">
        <v>121</v>
      </c>
      <c r="AM81">
        <f>AJ81</f>
        <v>5.8675761409685165</v>
      </c>
      <c r="AP81" t="s">
        <v>146</v>
      </c>
      <c r="AQ81">
        <f>AB62/(AC62*AK92)</f>
        <v>0.30836483954717403</v>
      </c>
    </row>
    <row r="82" spans="8:54">
      <c r="Z82" t="s">
        <v>147</v>
      </c>
      <c r="AA82">
        <f>AA80+AA81</f>
        <v>1.2957563977972143E-2</v>
      </c>
      <c r="AC82" t="s">
        <v>122</v>
      </c>
      <c r="AD82">
        <f>AD80</f>
        <v>6.7487312385271581E-3</v>
      </c>
      <c r="AI82" t="s">
        <v>116</v>
      </c>
      <c r="AJ82">
        <f>AJ80</f>
        <v>3.4227527488983017E-3</v>
      </c>
      <c r="AL82" t="s">
        <v>123</v>
      </c>
      <c r="AM82">
        <f>AJ82</f>
        <v>3.4227527488983017E-3</v>
      </c>
      <c r="AP82" t="s">
        <v>148</v>
      </c>
      <c r="AQ82">
        <f>AQ80</f>
        <v>2.6552331222077272E-2</v>
      </c>
    </row>
    <row r="83" spans="8:54">
      <c r="AC83" t="s">
        <v>149</v>
      </c>
      <c r="AD83">
        <f>SUM(AD80:AD82)</f>
        <v>11.582751014237896</v>
      </c>
      <c r="AI83" t="s">
        <v>150</v>
      </c>
      <c r="AJ83">
        <f>SUM(AJ80:AJ82)</f>
        <v>5.8744216464663133</v>
      </c>
      <c r="AL83" t="s">
        <v>151</v>
      </c>
      <c r="AM83">
        <f>AJ83</f>
        <v>5.8744216464663133</v>
      </c>
      <c r="AP83" t="s">
        <v>152</v>
      </c>
      <c r="AQ83">
        <f>AB64/(AC64*AK92)</f>
        <v>2.4711248863967906E-2</v>
      </c>
    </row>
    <row r="84" spans="8:54">
      <c r="AP84" t="s">
        <v>153</v>
      </c>
      <c r="AQ84">
        <f>SUM(AQ80:AQ83)</f>
        <v>0.38618075085529652</v>
      </c>
    </row>
    <row r="86" spans="8:54">
      <c r="AR86" s="23"/>
      <c r="AT86" s="45" t="s">
        <v>4</v>
      </c>
      <c r="AU86" s="46"/>
      <c r="AV86" s="46"/>
      <c r="AW86" s="46"/>
      <c r="AX86" s="46"/>
      <c r="AY86" s="46"/>
      <c r="AZ86" s="46"/>
      <c r="BA86" s="46"/>
      <c r="BB86" s="46"/>
    </row>
    <row r="87" spans="8:54">
      <c r="H87" s="47" t="s">
        <v>154</v>
      </c>
      <c r="I87" s="46"/>
      <c r="J87" s="46"/>
      <c r="K87" s="46"/>
      <c r="L87" s="46"/>
      <c r="M87" s="46"/>
      <c r="N87" s="46"/>
      <c r="O87" s="46"/>
      <c r="AJ87" t="s">
        <v>133</v>
      </c>
      <c r="AK87" s="1">
        <f>AK92+AK88+AK89+AK90</f>
        <v>10.804499999999999</v>
      </c>
      <c r="AT87" s="46"/>
      <c r="AU87" s="46"/>
      <c r="AV87" s="46"/>
      <c r="AW87" s="46"/>
      <c r="AX87" s="46"/>
      <c r="AY87" s="46"/>
      <c r="AZ87" s="46"/>
      <c r="BA87" s="46"/>
      <c r="BB87" s="46"/>
    </row>
    <row r="88" spans="8:54">
      <c r="H88" s="46"/>
      <c r="I88" s="46"/>
      <c r="J88" s="46"/>
      <c r="K88" s="46"/>
      <c r="L88" s="46"/>
      <c r="M88" s="46"/>
      <c r="N88" s="46"/>
      <c r="O88" s="46"/>
      <c r="AJ88" t="s">
        <v>155</v>
      </c>
      <c r="AK88" s="1">
        <f>'Room Dimensions'!E28</f>
        <v>1.2173437499999999</v>
      </c>
      <c r="AT88" s="46"/>
      <c r="AU88" s="46"/>
      <c r="AV88" s="46"/>
      <c r="AW88" s="46"/>
      <c r="AX88" s="46"/>
      <c r="AY88" s="46"/>
      <c r="AZ88" s="46"/>
      <c r="BA88" s="46"/>
      <c r="BB88" s="46"/>
    </row>
    <row r="89" spans="8:54">
      <c r="AJ89" t="s">
        <v>156</v>
      </c>
      <c r="AK89" s="1">
        <f>AK88</f>
        <v>1.2173437499999999</v>
      </c>
    </row>
    <row r="90" spans="8:54">
      <c r="AJ90" t="s">
        <v>157</v>
      </c>
      <c r="AK90" s="1">
        <f>'Room Dimensions'!E26</f>
        <v>1.47</v>
      </c>
    </row>
    <row r="91" spans="8:54">
      <c r="AJ91" t="s">
        <v>158</v>
      </c>
      <c r="AK91">
        <f>AK90*0.42</f>
        <v>0.61739999999999995</v>
      </c>
    </row>
    <row r="92" spans="8:54">
      <c r="AJ92" t="s">
        <v>132</v>
      </c>
      <c r="AK92" s="1">
        <f>'Room Dimensions'!E20</f>
        <v>6.8998124999999986</v>
      </c>
    </row>
    <row r="96" spans="8:54">
      <c r="AC96" s="42" t="s">
        <v>61</v>
      </c>
      <c r="AD96" s="42"/>
      <c r="AE96" s="42"/>
      <c r="AF96" s="42"/>
    </row>
    <row r="97" spans="29:37" ht="15.75">
      <c r="AC97" s="43" t="s">
        <v>66</v>
      </c>
      <c r="AD97" s="43"/>
      <c r="AE97" s="44" t="s">
        <v>67</v>
      </c>
      <c r="AF97" s="44"/>
    </row>
    <row r="98" spans="29:37" ht="15.75">
      <c r="AC98" s="13" t="s">
        <v>71</v>
      </c>
      <c r="AD98" s="5" t="s">
        <v>72</v>
      </c>
      <c r="AE98" s="13" t="s">
        <v>71</v>
      </c>
      <c r="AF98" s="5" t="s">
        <v>72</v>
      </c>
      <c r="AI98" t="s">
        <v>2</v>
      </c>
      <c r="AJ98" t="s">
        <v>3</v>
      </c>
      <c r="AK98" t="s">
        <v>8</v>
      </c>
    </row>
    <row r="99" spans="29:37" ht="15.75">
      <c r="AC99" s="13">
        <v>10</v>
      </c>
      <c r="AD99" s="5">
        <v>25</v>
      </c>
      <c r="AE99" s="9">
        <v>7.5</v>
      </c>
      <c r="AF99" s="5">
        <v>6</v>
      </c>
      <c r="AI99" t="s">
        <v>12</v>
      </c>
      <c r="AJ99">
        <f>0.27</f>
        <v>0.27</v>
      </c>
    </row>
    <row r="100" spans="29:37">
      <c r="AI100" s="1" t="s">
        <v>17</v>
      </c>
      <c r="AJ100">
        <v>0.22500000000000001</v>
      </c>
    </row>
    <row r="101" spans="29:37">
      <c r="AI101" s="1" t="s">
        <v>17</v>
      </c>
      <c r="AJ101">
        <v>0.22500000000000001</v>
      </c>
    </row>
    <row r="102" spans="29:37">
      <c r="AI102" s="1" t="s">
        <v>20</v>
      </c>
      <c r="AJ102">
        <v>0.35</v>
      </c>
    </row>
    <row r="103" spans="29:37">
      <c r="AI103" s="1" t="s">
        <v>22</v>
      </c>
      <c r="AJ103">
        <f>10/1000</f>
        <v>0.01</v>
      </c>
    </row>
    <row r="104" spans="29:37">
      <c r="AI104" s="1" t="s">
        <v>24</v>
      </c>
      <c r="AJ104">
        <f>0.5/1000</f>
        <v>5.0000000000000001E-4</v>
      </c>
    </row>
    <row r="105" spans="29:37">
      <c r="AI105" s="1" t="s">
        <v>26</v>
      </c>
      <c r="AJ105">
        <f>100/1000</f>
        <v>0.1</v>
      </c>
      <c r="AK105">
        <v>4.7E-2</v>
      </c>
    </row>
    <row r="106" spans="29:37">
      <c r="AI106" s="1" t="s">
        <v>28</v>
      </c>
    </row>
    <row r="107" spans="29:37">
      <c r="AI107" s="1" t="s">
        <v>30</v>
      </c>
      <c r="AJ107">
        <f>0.2</f>
        <v>0.2</v>
      </c>
      <c r="AK107">
        <v>1.173</v>
      </c>
    </row>
    <row r="108" spans="29:37" ht="15.75">
      <c r="AI108" s="1" t="s">
        <v>31</v>
      </c>
      <c r="AJ108">
        <f>40/1000</f>
        <v>0.04</v>
      </c>
      <c r="AK108" s="9">
        <v>0.17</v>
      </c>
    </row>
    <row r="109" spans="29:37" ht="18.75">
      <c r="AI109" s="1" t="s">
        <v>32</v>
      </c>
      <c r="AJ109">
        <v>5.3999999999999999E-2</v>
      </c>
      <c r="AK109" s="22">
        <v>0.19</v>
      </c>
    </row>
    <row r="110" spans="29:37">
      <c r="AI110" t="s">
        <v>33</v>
      </c>
      <c r="AJ110">
        <v>0.24</v>
      </c>
      <c r="AK110">
        <v>1.31</v>
      </c>
    </row>
    <row r="111" spans="29:37">
      <c r="AI111" t="s">
        <v>108</v>
      </c>
      <c r="AJ111">
        <f>4/1000</f>
        <v>4.0000000000000001E-3</v>
      </c>
      <c r="AK111">
        <f>AC68</f>
        <v>0.96</v>
      </c>
    </row>
    <row r="112" spans="29:37">
      <c r="AI112" t="s">
        <v>109</v>
      </c>
      <c r="AJ112">
        <v>1</v>
      </c>
      <c r="AK112">
        <v>0.14000000000000001</v>
      </c>
    </row>
    <row r="113" spans="7:50">
      <c r="AI113" t="s">
        <v>110</v>
      </c>
      <c r="AJ113">
        <f>5/1000</f>
        <v>5.0000000000000001E-3</v>
      </c>
      <c r="AK113">
        <v>1.79</v>
      </c>
    </row>
    <row r="114" spans="7:50">
      <c r="AI114" t="s">
        <v>111</v>
      </c>
      <c r="AJ114">
        <f>6/1000</f>
        <v>6.0000000000000001E-3</v>
      </c>
      <c r="AK114">
        <v>0.15</v>
      </c>
    </row>
    <row r="115" spans="7:50">
      <c r="AI115" t="s">
        <v>112</v>
      </c>
      <c r="AJ115">
        <f>35/1000</f>
        <v>3.5000000000000003E-2</v>
      </c>
      <c r="AK115">
        <v>0.1154</v>
      </c>
    </row>
    <row r="116" spans="7:50">
      <c r="G116" t="s">
        <v>114</v>
      </c>
      <c r="H116">
        <f>1/(U7)</f>
        <v>0.16666666666666666</v>
      </c>
      <c r="AR116" t="s">
        <v>118</v>
      </c>
      <c r="AS116">
        <f>AJ110/(AK110*AX116)</f>
        <v>2.6169336486312447E-2</v>
      </c>
      <c r="AU116" t="s">
        <v>126</v>
      </c>
      <c r="AV116">
        <f>AJ111/(AK111*AX117)</f>
        <v>3.3485167640352554E-3</v>
      </c>
      <c r="AW116" t="s">
        <v>132</v>
      </c>
      <c r="AX116" s="1">
        <f>'Room Dimensions'!E6</f>
        <v>7.0007929687499999</v>
      </c>
    </row>
    <row r="117" spans="7:50">
      <c r="G117" t="s">
        <v>118</v>
      </c>
      <c r="H117">
        <f>Y21/(Z21)</f>
        <v>2.7932960893854749E-3</v>
      </c>
      <c r="AO117" t="s">
        <v>114</v>
      </c>
      <c r="AP117">
        <f>1/(AX118*AD99)</f>
        <v>4.8513515562226169E-3</v>
      </c>
      <c r="AR117" t="s">
        <v>120</v>
      </c>
      <c r="AS117">
        <f>AJ105/(AK105*AX116)</f>
        <v>0.30391693969033073</v>
      </c>
      <c r="AU117" t="s">
        <v>127</v>
      </c>
      <c r="AV117">
        <f>AJ112/(AK112*AX117)</f>
        <v>5.7403144526318659</v>
      </c>
      <c r="AW117" t="s">
        <v>159</v>
      </c>
      <c r="AX117" s="1">
        <f>'Room Dimensions'!E13</f>
        <v>1.2443320312500001</v>
      </c>
    </row>
    <row r="118" spans="7:50">
      <c r="G118" t="s">
        <v>120</v>
      </c>
      <c r="H118">
        <f>Y22/(Z22)</f>
        <v>0.04</v>
      </c>
      <c r="AO118" t="s">
        <v>119</v>
      </c>
      <c r="AP118">
        <f>1/(AC99*AX118)</f>
        <v>1.212837889055654E-2</v>
      </c>
      <c r="AR118" t="s">
        <v>122</v>
      </c>
      <c r="AS118">
        <f>AS116</f>
        <v>2.6169336486312447E-2</v>
      </c>
      <c r="AU118" t="s">
        <v>116</v>
      </c>
      <c r="AV118">
        <f>AV116</f>
        <v>3.3485167640352554E-3</v>
      </c>
      <c r="AW118" t="s">
        <v>133</v>
      </c>
      <c r="AX118" s="1">
        <f>AX116+AX117</f>
        <v>8.2451249999999998</v>
      </c>
    </row>
    <row r="119" spans="7:50">
      <c r="G119" t="s">
        <v>122</v>
      </c>
      <c r="H119">
        <f>Y23/(Z23)</f>
        <v>0.30329289428076256</v>
      </c>
      <c r="AR119" t="s">
        <v>124</v>
      </c>
      <c r="AS119">
        <f>AJ107/(AK107*AX116)</f>
        <v>2.4354810171262647E-2</v>
      </c>
    </row>
    <row r="120" spans="7:50">
      <c r="G120" t="s">
        <v>124</v>
      </c>
      <c r="H120">
        <f>Y13/(Z13)</f>
        <v>2.1276595744680851</v>
      </c>
    </row>
    <row r="121" spans="7:50">
      <c r="G121" t="s">
        <v>126</v>
      </c>
      <c r="H121">
        <f>H118</f>
        <v>0.04</v>
      </c>
      <c r="AO121" t="s">
        <v>160</v>
      </c>
      <c r="AP121">
        <f>SUM(AP116:AP119)</f>
        <v>1.6979730446779157E-2</v>
      </c>
      <c r="AR121" t="s">
        <v>160</v>
      </c>
      <c r="AS121">
        <f>SUM(AS116:AS119)</f>
        <v>0.3806104228342182</v>
      </c>
      <c r="AU121" t="s">
        <v>160</v>
      </c>
      <c r="AV121">
        <f>SUM(AV116:AV117)</f>
        <v>5.7436629693959009</v>
      </c>
    </row>
    <row r="122" spans="7:50">
      <c r="G122" t="s">
        <v>127</v>
      </c>
      <c r="H122">
        <f>Y15/(Z15)</f>
        <v>0.17050298380221654</v>
      </c>
      <c r="K122" t="s">
        <v>161</v>
      </c>
      <c r="L122">
        <v>160.72999999999999</v>
      </c>
      <c r="M122" t="s">
        <v>162</v>
      </c>
    </row>
    <row r="123" spans="7:50">
      <c r="G123" t="s">
        <v>116</v>
      </c>
      <c r="H123">
        <f>1/(T7)</f>
        <v>0.13333333333333333</v>
      </c>
      <c r="K123" t="s">
        <v>163</v>
      </c>
      <c r="L123">
        <f>ROUND(L125/L124 * L126,0)</f>
        <v>308</v>
      </c>
      <c r="AS123" t="s">
        <v>164</v>
      </c>
      <c r="AT123">
        <f xml:space="preserve"> (SUM(AP121,AV121,AS121))^-1</f>
        <v>0.16283321661298206</v>
      </c>
    </row>
    <row r="124" spans="7:50">
      <c r="K124" t="s">
        <v>165</v>
      </c>
      <c r="L124">
        <f>76/1000 * 4 * 20/100</f>
        <v>6.08E-2</v>
      </c>
    </row>
    <row r="125" spans="7:50">
      <c r="G125" t="s">
        <v>166</v>
      </c>
      <c r="H125">
        <f>SUM(H116:H123)</f>
        <v>2.9842487486404496</v>
      </c>
      <c r="K125" t="s">
        <v>167</v>
      </c>
      <c r="L125">
        <f>15.85 * 4.5 * 3.15/3</f>
        <v>74.891249999999999</v>
      </c>
    </row>
    <row r="126" spans="7:50">
      <c r="G126" t="s">
        <v>9</v>
      </c>
      <c r="H126">
        <f>1/H125</f>
        <v>0.33509270983378159</v>
      </c>
      <c r="K126" t="s">
        <v>168</v>
      </c>
      <c r="L126">
        <v>0.25</v>
      </c>
    </row>
  </sheetData>
  <mergeCells count="24">
    <mergeCell ref="F73:G73"/>
    <mergeCell ref="J34:K34"/>
    <mergeCell ref="D34:E34"/>
    <mergeCell ref="G44:P44"/>
    <mergeCell ref="C1:K3"/>
    <mergeCell ref="E5:I5"/>
    <mergeCell ref="H87:O88"/>
    <mergeCell ref="AI4:AQ11"/>
    <mergeCell ref="AK41:AL41"/>
    <mergeCell ref="AN41:AO41"/>
    <mergeCell ref="AQ41:AR41"/>
    <mergeCell ref="U53:X53"/>
    <mergeCell ref="U54:V54"/>
    <mergeCell ref="W54:X54"/>
    <mergeCell ref="I73:J73"/>
    <mergeCell ref="L73:M73"/>
    <mergeCell ref="R4:U4"/>
    <mergeCell ref="R5:S5"/>
    <mergeCell ref="T5:U5"/>
    <mergeCell ref="AC96:AF96"/>
    <mergeCell ref="AC97:AD97"/>
    <mergeCell ref="AE97:AF97"/>
    <mergeCell ref="AT86:BB88"/>
    <mergeCell ref="AJ52:AU54"/>
  </mergeCells>
  <hyperlinks>
    <hyperlink ref="E8" r:id="rId1" display="0.9" xr:uid="{DF5280F9-C249-41D7-A6E4-1D98E3ACF259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6C7-D300-4382-9B70-CFB7718D279E}">
  <dimension ref="B1:Z95"/>
  <sheetViews>
    <sheetView topLeftCell="A28" workbookViewId="0">
      <selection activeCell="I97" sqref="I97"/>
    </sheetView>
  </sheetViews>
  <sheetFormatPr defaultRowHeight="15"/>
  <cols>
    <col min="2" max="2" width="14.140625" bestFit="1" customWidth="1"/>
    <col min="3" max="3" width="18.28515625" bestFit="1" customWidth="1"/>
    <col min="4" max="4" width="10.140625" bestFit="1" customWidth="1"/>
    <col min="7" max="7" width="10.140625" bestFit="1" customWidth="1"/>
    <col min="12" max="12" width="9.42578125" bestFit="1" customWidth="1"/>
    <col min="13" max="13" width="20.7109375" bestFit="1" customWidth="1"/>
    <col min="18" max="18" width="32.7109375" bestFit="1" customWidth="1"/>
  </cols>
  <sheetData>
    <row r="1" spans="2:26" s="23" customFormat="1">
      <c r="J1" s="46" t="s">
        <v>39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2:26" s="23" customFormat="1"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2:26" s="23" customFormat="1"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6" spans="2:26">
      <c r="B6" t="s">
        <v>169</v>
      </c>
      <c r="C6">
        <f>1/M7</f>
        <v>3.8461538461538464E-2</v>
      </c>
      <c r="D6" t="s">
        <v>170</v>
      </c>
      <c r="E6">
        <f>1/N7</f>
        <v>6.6666666666666666E-2</v>
      </c>
      <c r="L6" t="s">
        <v>171</v>
      </c>
      <c r="M6" t="s">
        <v>172</v>
      </c>
      <c r="N6" t="s">
        <v>173</v>
      </c>
    </row>
    <row r="7" spans="2:26">
      <c r="B7" t="s">
        <v>126</v>
      </c>
      <c r="C7">
        <f>Y24/Z24</f>
        <v>4.1666666666666666E-3</v>
      </c>
      <c r="L7">
        <v>8.2799999999999994</v>
      </c>
      <c r="M7">
        <v>26</v>
      </c>
      <c r="N7">
        <v>15</v>
      </c>
    </row>
    <row r="8" spans="2:26">
      <c r="B8" t="s">
        <v>127</v>
      </c>
      <c r="C8">
        <f>Y25/Z25</f>
        <v>0.53333333333333333</v>
      </c>
    </row>
    <row r="9" spans="2:26">
      <c r="B9" t="s">
        <v>116</v>
      </c>
      <c r="C9">
        <f>C7</f>
        <v>4.1666666666666666E-3</v>
      </c>
      <c r="R9" s="24" t="s">
        <v>61</v>
      </c>
      <c r="S9" s="24"/>
      <c r="T9" s="24"/>
      <c r="U9" s="24"/>
    </row>
    <row r="10" spans="2:26" ht="15.75">
      <c r="B10" t="s">
        <v>119</v>
      </c>
      <c r="C10">
        <f>1/L7</f>
        <v>0.12077294685990339</v>
      </c>
      <c r="R10" s="25" t="s">
        <v>66</v>
      </c>
      <c r="S10" s="25"/>
      <c r="T10" s="27" t="s">
        <v>67</v>
      </c>
      <c r="U10" s="27"/>
    </row>
    <row r="11" spans="2:26" ht="15.75">
      <c r="R11" s="13" t="s">
        <v>71</v>
      </c>
      <c r="S11" s="5" t="s">
        <v>72</v>
      </c>
      <c r="T11" s="13" t="s">
        <v>71</v>
      </c>
      <c r="U11" s="5" t="s">
        <v>72</v>
      </c>
      <c r="X11" t="s">
        <v>2</v>
      </c>
      <c r="Y11" t="s">
        <v>3</v>
      </c>
      <c r="Z11" t="s">
        <v>8</v>
      </c>
    </row>
    <row r="12" spans="2:26" ht="15.75">
      <c r="B12" t="s">
        <v>174</v>
      </c>
      <c r="C12">
        <f>(SUM(C6:C10))^-1</f>
        <v>1.4267347074027439</v>
      </c>
      <c r="R12" s="13">
        <v>10</v>
      </c>
      <c r="S12" s="5">
        <v>25</v>
      </c>
      <c r="T12" s="9">
        <v>7.5</v>
      </c>
      <c r="U12" s="5">
        <v>6</v>
      </c>
      <c r="X12" t="s">
        <v>12</v>
      </c>
      <c r="Y12">
        <f>0.27</f>
        <v>0.27</v>
      </c>
    </row>
    <row r="13" spans="2:26">
      <c r="X13" s="1" t="s">
        <v>17</v>
      </c>
      <c r="Y13">
        <v>0.22500000000000001</v>
      </c>
    </row>
    <row r="14" spans="2:26">
      <c r="B14" t="s">
        <v>175</v>
      </c>
      <c r="C14">
        <f>SUM(E6,C7,C8,C9,C10)^-1</f>
        <v>1.3715421567003481</v>
      </c>
      <c r="X14" s="1" t="s">
        <v>17</v>
      </c>
      <c r="Y14">
        <v>0.22500000000000001</v>
      </c>
    </row>
    <row r="15" spans="2:26">
      <c r="X15" s="1" t="s">
        <v>20</v>
      </c>
      <c r="Y15">
        <v>0.35</v>
      </c>
    </row>
    <row r="16" spans="2:26">
      <c r="X16" s="1" t="s">
        <v>22</v>
      </c>
      <c r="Y16">
        <f>10/1000</f>
        <v>0.01</v>
      </c>
    </row>
    <row r="17" spans="12:26">
      <c r="X17" s="1" t="s">
        <v>24</v>
      </c>
      <c r="Y17">
        <f>0.5/1000</f>
        <v>5.0000000000000001E-4</v>
      </c>
    </row>
    <row r="18" spans="12:26">
      <c r="X18" s="1" t="s">
        <v>26</v>
      </c>
      <c r="Y18">
        <f>100/1000</f>
        <v>0.1</v>
      </c>
      <c r="Z18">
        <v>4.7E-2</v>
      </c>
    </row>
    <row r="19" spans="12:26">
      <c r="X19" s="1" t="s">
        <v>28</v>
      </c>
    </row>
    <row r="20" spans="12:26">
      <c r="X20" s="1" t="s">
        <v>30</v>
      </c>
      <c r="Y20">
        <f>0.2</f>
        <v>0.2</v>
      </c>
      <c r="Z20">
        <v>1.173</v>
      </c>
    </row>
    <row r="21" spans="12:26" ht="15.75">
      <c r="X21" s="1" t="s">
        <v>31</v>
      </c>
      <c r="Y21">
        <f>55/1000</f>
        <v>5.5E-2</v>
      </c>
      <c r="Z21" s="9">
        <v>0.17</v>
      </c>
    </row>
    <row r="22" spans="12:26" ht="18.75">
      <c r="X22" s="1" t="s">
        <v>32</v>
      </c>
      <c r="Y22">
        <v>5.3999999999999999E-2</v>
      </c>
      <c r="Z22" s="22">
        <v>0.19</v>
      </c>
    </row>
    <row r="23" spans="12:26">
      <c r="X23" t="s">
        <v>33</v>
      </c>
      <c r="Y23">
        <v>0.24</v>
      </c>
      <c r="Z23">
        <v>1.31</v>
      </c>
    </row>
    <row r="24" spans="12:26">
      <c r="X24" t="s">
        <v>108</v>
      </c>
      <c r="Y24">
        <f>4/1000</f>
        <v>4.0000000000000001E-3</v>
      </c>
      <c r="Z24">
        <f>0.96</f>
        <v>0.96</v>
      </c>
    </row>
    <row r="25" spans="12:26">
      <c r="X25" t="s">
        <v>109</v>
      </c>
      <c r="Y25">
        <f>16/1000</f>
        <v>1.6E-2</v>
      </c>
      <c r="Z25" s="21">
        <v>0.03</v>
      </c>
    </row>
    <row r="26" spans="12:26">
      <c r="X26" t="s">
        <v>110</v>
      </c>
      <c r="Y26">
        <f>5/1000</f>
        <v>5.0000000000000001E-3</v>
      </c>
      <c r="Z26">
        <v>1.79</v>
      </c>
    </row>
    <row r="27" spans="12:26">
      <c r="X27" t="s">
        <v>111</v>
      </c>
      <c r="Y27">
        <f>6/1000</f>
        <v>6.0000000000000001E-3</v>
      </c>
      <c r="Z27">
        <v>0.15</v>
      </c>
    </row>
    <row r="28" spans="12:26">
      <c r="X28" t="s">
        <v>112</v>
      </c>
      <c r="Y28">
        <f>35/1000</f>
        <v>3.5000000000000003E-2</v>
      </c>
      <c r="Z28">
        <v>0.1154</v>
      </c>
    </row>
    <row r="31" spans="12:26" s="23" customFormat="1">
      <c r="L31" s="46" t="s">
        <v>176</v>
      </c>
      <c r="M31" s="46"/>
      <c r="N31" s="46"/>
      <c r="O31" s="46"/>
      <c r="P31" s="46"/>
      <c r="Q31" s="46"/>
      <c r="R31" s="46"/>
    </row>
    <row r="32" spans="12:26" s="23" customFormat="1">
      <c r="L32" s="46"/>
      <c r="M32" s="46"/>
      <c r="N32" s="46"/>
      <c r="O32" s="46"/>
      <c r="P32" s="46"/>
      <c r="Q32" s="46"/>
      <c r="R32" s="46"/>
    </row>
    <row r="33" spans="3:19" s="23" customFormat="1">
      <c r="L33" s="46"/>
      <c r="M33" s="46"/>
      <c r="N33" s="46"/>
      <c r="O33" s="46"/>
      <c r="P33" s="46"/>
      <c r="Q33" s="46"/>
      <c r="R33" s="46"/>
    </row>
    <row r="38" spans="3:19">
      <c r="C38" t="s">
        <v>177</v>
      </c>
      <c r="D38">
        <f>1/M7</f>
        <v>3.8461538461538464E-2</v>
      </c>
      <c r="E38">
        <f>1/N7</f>
        <v>6.6666666666666666E-2</v>
      </c>
    </row>
    <row r="39" spans="3:19">
      <c r="C39" t="s">
        <v>178</v>
      </c>
      <c r="D39">
        <f>Y22/Z22</f>
        <v>0.28421052631578947</v>
      </c>
    </row>
    <row r="40" spans="3:19">
      <c r="C40" t="s">
        <v>179</v>
      </c>
      <c r="D40">
        <f>1/L7</f>
        <v>0.12077294685990339</v>
      </c>
    </row>
    <row r="42" spans="3:19">
      <c r="C42" t="s">
        <v>180</v>
      </c>
      <c r="D42">
        <f>(SUM(D38:D40))^-1</f>
        <v>2.2550710319368057</v>
      </c>
    </row>
    <row r="44" spans="3:19">
      <c r="C44" s="39" t="s">
        <v>181</v>
      </c>
      <c r="D44">
        <f>(E38+D39+D40)^-1</f>
        <v>2.120215633423181</v>
      </c>
    </row>
    <row r="46" spans="3:19" s="23" customFormat="1">
      <c r="N46" s="46" t="s">
        <v>130</v>
      </c>
      <c r="O46" s="46"/>
      <c r="P46" s="46"/>
      <c r="Q46" s="46"/>
      <c r="R46" s="46"/>
      <c r="S46" s="46"/>
    </row>
    <row r="47" spans="3:19" s="23" customFormat="1">
      <c r="N47" s="46"/>
      <c r="O47" s="46"/>
      <c r="P47" s="46"/>
      <c r="Q47" s="46"/>
      <c r="R47" s="46"/>
      <c r="S47" s="46"/>
    </row>
    <row r="48" spans="3:19" s="23" customFormat="1">
      <c r="N48" s="46"/>
      <c r="O48" s="46"/>
      <c r="P48" s="46"/>
      <c r="Q48" s="46"/>
      <c r="R48" s="46"/>
      <c r="S48" s="46"/>
    </row>
    <row r="54" spans="13:21">
      <c r="M54" s="24" t="s">
        <v>61</v>
      </c>
      <c r="N54" s="24"/>
      <c r="O54" s="24"/>
      <c r="P54" s="24"/>
    </row>
    <row r="55" spans="13:21" ht="15.75">
      <c r="M55" s="25" t="s">
        <v>66</v>
      </c>
      <c r="N55" s="25"/>
      <c r="O55" s="27" t="s">
        <v>67</v>
      </c>
      <c r="P55" s="27"/>
    </row>
    <row r="56" spans="13:21" ht="15.75">
      <c r="M56" s="13" t="s">
        <v>71</v>
      </c>
      <c r="N56" s="5" t="s">
        <v>72</v>
      </c>
      <c r="O56" s="13" t="s">
        <v>71</v>
      </c>
      <c r="P56" s="5" t="s">
        <v>72</v>
      </c>
      <c r="S56" t="s">
        <v>2</v>
      </c>
      <c r="T56" t="s">
        <v>3</v>
      </c>
      <c r="U56" t="s">
        <v>8</v>
      </c>
    </row>
    <row r="57" spans="13:21" ht="15.75">
      <c r="M57" s="13">
        <v>10</v>
      </c>
      <c r="N57" s="5">
        <v>25</v>
      </c>
      <c r="O57" s="9">
        <v>7.5</v>
      </c>
      <c r="P57" s="5">
        <v>6</v>
      </c>
      <c r="S57" t="s">
        <v>12</v>
      </c>
      <c r="T57">
        <f>0.27</f>
        <v>0.27</v>
      </c>
    </row>
    <row r="58" spans="13:21">
      <c r="S58" s="1" t="s">
        <v>17</v>
      </c>
      <c r="T58">
        <v>0.22500000000000001</v>
      </c>
    </row>
    <row r="59" spans="13:21">
      <c r="M59" t="s">
        <v>182</v>
      </c>
      <c r="N59">
        <f>1/M7</f>
        <v>3.8461538461538464E-2</v>
      </c>
      <c r="O59" t="s">
        <v>183</v>
      </c>
      <c r="P59">
        <f>1/N7</f>
        <v>6.6666666666666666E-2</v>
      </c>
      <c r="S59" s="1" t="s">
        <v>17</v>
      </c>
      <c r="T59">
        <v>0.22500000000000001</v>
      </c>
    </row>
    <row r="60" spans="13:21">
      <c r="M60" t="s">
        <v>184</v>
      </c>
      <c r="N60">
        <f>T68/U68</f>
        <v>0.14935064935064934</v>
      </c>
      <c r="S60" s="1" t="s">
        <v>20</v>
      </c>
      <c r="T60">
        <v>0.35</v>
      </c>
    </row>
    <row r="61" spans="13:21">
      <c r="M61" t="s">
        <v>185</v>
      </c>
      <c r="N61">
        <f>T63/U63</f>
        <v>3.2857142857142856</v>
      </c>
      <c r="S61" s="1" t="s">
        <v>22</v>
      </c>
      <c r="T61">
        <f>10/1000</f>
        <v>0.01</v>
      </c>
    </row>
    <row r="62" spans="13:21">
      <c r="M62" t="s">
        <v>184</v>
      </c>
      <c r="N62">
        <f>N60</f>
        <v>0.14935064935064934</v>
      </c>
      <c r="S62" s="1" t="s">
        <v>24</v>
      </c>
      <c r="T62">
        <f>0.5/1000</f>
        <v>5.0000000000000001E-4</v>
      </c>
    </row>
    <row r="63" spans="13:21">
      <c r="M63" t="s">
        <v>186</v>
      </c>
      <c r="N63">
        <f>T65/U65</f>
        <v>2.3636363636363632E-2</v>
      </c>
      <c r="S63" s="1" t="s">
        <v>26</v>
      </c>
      <c r="T63">
        <f>115/1000</f>
        <v>0.115</v>
      </c>
      <c r="U63">
        <v>3.5000000000000003E-2</v>
      </c>
    </row>
    <row r="64" spans="13:21">
      <c r="M64" t="s">
        <v>187</v>
      </c>
      <c r="N64">
        <f>1/L7</f>
        <v>0.12077294685990339</v>
      </c>
      <c r="S64" s="1" t="s">
        <v>28</v>
      </c>
    </row>
    <row r="65" spans="12:21">
      <c r="S65" s="1" t="s">
        <v>30</v>
      </c>
      <c r="T65">
        <f>13/1000</f>
        <v>1.2999999999999999E-2</v>
      </c>
      <c r="U65">
        <v>0.55000000000000004</v>
      </c>
    </row>
    <row r="66" spans="12:21" ht="15.75">
      <c r="M66" t="s">
        <v>188</v>
      </c>
      <c r="N66">
        <f>(SUM(N59:N64))^-1</f>
        <v>0.26544304970847604</v>
      </c>
      <c r="P66">
        <f>SUM(P59,N60,N61,N62,N63,N64)^-1</f>
        <v>0.26347048433012643</v>
      </c>
      <c r="S66" s="1" t="s">
        <v>31</v>
      </c>
      <c r="T66">
        <f>55/1000</f>
        <v>5.5E-2</v>
      </c>
      <c r="U66" s="9">
        <v>0.17</v>
      </c>
    </row>
    <row r="67" spans="12:21" ht="18.75">
      <c r="M67" t="s">
        <v>189</v>
      </c>
      <c r="S67" s="1" t="s">
        <v>32</v>
      </c>
      <c r="T67">
        <v>5.3999999999999999E-2</v>
      </c>
      <c r="U67" s="22">
        <v>0.19</v>
      </c>
    </row>
    <row r="68" spans="12:21">
      <c r="S68" t="s">
        <v>33</v>
      </c>
      <c r="T68" s="21">
        <f>115/1000</f>
        <v>0.115</v>
      </c>
      <c r="U68" s="21">
        <v>0.77</v>
      </c>
    </row>
    <row r="69" spans="12:21">
      <c r="S69" t="s">
        <v>108</v>
      </c>
      <c r="T69">
        <f>4/1000</f>
        <v>4.0000000000000001E-3</v>
      </c>
      <c r="U69">
        <f>0.96</f>
        <v>0.96</v>
      </c>
    </row>
    <row r="70" spans="12:21">
      <c r="S70" t="s">
        <v>109</v>
      </c>
      <c r="T70">
        <f>16/1000</f>
        <v>1.6E-2</v>
      </c>
      <c r="U70" s="21">
        <v>0.03</v>
      </c>
    </row>
    <row r="71" spans="12:21">
      <c r="S71" t="s">
        <v>110</v>
      </c>
      <c r="T71">
        <f>5/1000</f>
        <v>5.0000000000000001E-3</v>
      </c>
      <c r="U71">
        <v>1.79</v>
      </c>
    </row>
    <row r="72" spans="12:21">
      <c r="S72" t="s">
        <v>111</v>
      </c>
      <c r="T72">
        <f>6/1000</f>
        <v>6.0000000000000001E-3</v>
      </c>
      <c r="U72">
        <v>0.15</v>
      </c>
    </row>
    <row r="73" spans="12:21">
      <c r="S73" t="s">
        <v>112</v>
      </c>
      <c r="T73">
        <f>35/1000</f>
        <v>3.5000000000000003E-2</v>
      </c>
      <c r="U73">
        <v>0.1154</v>
      </c>
    </row>
    <row r="80" spans="12:21" s="23" customFormat="1">
      <c r="L80" s="46" t="s">
        <v>190</v>
      </c>
      <c r="M80" s="46"/>
      <c r="N80" s="46"/>
      <c r="O80" s="46"/>
      <c r="P80" s="46"/>
    </row>
    <row r="81" spans="5:16" s="23" customFormat="1">
      <c r="L81" s="46"/>
      <c r="M81" s="46"/>
      <c r="N81" s="46"/>
      <c r="O81" s="46"/>
      <c r="P81" s="46"/>
    </row>
    <row r="82" spans="5:16" s="23" customFormat="1">
      <c r="L82" s="46"/>
      <c r="M82" s="46"/>
      <c r="N82" s="46"/>
      <c r="O82" s="46"/>
      <c r="P82" s="46"/>
    </row>
    <row r="84" spans="5:16">
      <c r="E84" t="str">
        <f>'U values Downstairsn'!G116</f>
        <v>R1</v>
      </c>
      <c r="F84">
        <f>1/M7</f>
        <v>3.8461538461538464E-2</v>
      </c>
      <c r="G84" t="s">
        <v>170</v>
      </c>
      <c r="H84">
        <f>1/N7</f>
        <v>6.6666666666666666E-2</v>
      </c>
      <c r="K84" t="str">
        <f>'U values Downstairsn'!K122</f>
        <v>Roof area</v>
      </c>
      <c r="L84">
        <f>'U values Downstairsn'!L122</f>
        <v>160.72999999999999</v>
      </c>
      <c r="M84" t="str">
        <f>'U values Downstairsn'!M122</f>
        <v>15.85 *,4.5 , 3.15</v>
      </c>
    </row>
    <row r="85" spans="5:16">
      <c r="E85" t="str">
        <f>'U values Downstairsn'!G117</f>
        <v>R2</v>
      </c>
      <c r="F85">
        <f>'U values Downstairsn'!H117</f>
        <v>2.7932960893854749E-3</v>
      </c>
      <c r="K85" t="str">
        <f>'U values Downstairsn'!K123</f>
        <v xml:space="preserve">Beams </v>
      </c>
      <c r="L85">
        <f>'U values Downstairsn'!L123</f>
        <v>308</v>
      </c>
    </row>
    <row r="86" spans="5:16">
      <c r="E86" t="str">
        <f>'U values Downstairsn'!G118</f>
        <v>R3</v>
      </c>
      <c r="F86">
        <f>'U values Downstairsn'!H118</f>
        <v>0.04</v>
      </c>
      <c r="K86" t="str">
        <f>'U values Downstairsn'!K124</f>
        <v>Beam VOL</v>
      </c>
      <c r="L86">
        <f>'U values Downstairsn'!L124</f>
        <v>6.08E-2</v>
      </c>
    </row>
    <row r="87" spans="5:16">
      <c r="E87" t="str">
        <f>'U values Downstairsn'!G119</f>
        <v>R4</v>
      </c>
      <c r="F87">
        <f>'U values Downstairsn'!H119</f>
        <v>0.30329289428076256</v>
      </c>
      <c r="K87" t="str">
        <f>'U values Downstairsn'!K125</f>
        <v xml:space="preserve">ROOM VOL </v>
      </c>
      <c r="L87">
        <f>'U values Downstairsn'!L125</f>
        <v>74.891249999999999</v>
      </c>
    </row>
    <row r="88" spans="5:16">
      <c r="E88" t="str">
        <f>'U values Downstairsn'!G120</f>
        <v>R5</v>
      </c>
      <c r="F88">
        <f>T63/U63</f>
        <v>3.2857142857142856</v>
      </c>
      <c r="K88" t="str">
        <f>'U values Downstairsn'!K126</f>
        <v>sPACING</v>
      </c>
      <c r="L88">
        <f>'U values Downstairsn'!L126</f>
        <v>0.25</v>
      </c>
    </row>
    <row r="89" spans="5:16">
      <c r="E89" t="str">
        <f>'U values Downstairsn'!G121</f>
        <v>R6</v>
      </c>
      <c r="F89">
        <f>'U values Downstairsn'!H121</f>
        <v>0.04</v>
      </c>
    </row>
    <row r="90" spans="5:16">
      <c r="E90" t="str">
        <f>'U values Downstairsn'!G122</f>
        <v>R7</v>
      </c>
      <c r="F90">
        <f>'U values Downstairsn'!H122</f>
        <v>0.17050298380221654</v>
      </c>
    </row>
    <row r="91" spans="5:16">
      <c r="E91" t="str">
        <f>'U values Downstairsn'!G123</f>
        <v>R8</v>
      </c>
      <c r="F91">
        <f>1/L7</f>
        <v>0.12077294685990339</v>
      </c>
    </row>
    <row r="92" spans="5:16">
      <c r="E92">
        <f>'U values Downstairsn'!G124</f>
        <v>0</v>
      </c>
      <c r="F92">
        <f>'U values Downstairsn'!H124</f>
        <v>0</v>
      </c>
    </row>
    <row r="93" spans="5:16">
      <c r="E93" t="str">
        <f>'U values Downstairsn'!G125</f>
        <v xml:space="preserve">R </v>
      </c>
      <c r="F93">
        <f>SUM(F84:F91)</f>
        <v>4.0015379452080921</v>
      </c>
    </row>
    <row r="94" spans="5:16">
      <c r="E94" t="str">
        <f>'U values Downstairsn'!G126</f>
        <v>U</v>
      </c>
      <c r="F94">
        <f>1/F93</f>
        <v>0.24990391536771919</v>
      </c>
      <c r="H94" t="s">
        <v>191</v>
      </c>
      <c r="I94">
        <f>SUM(F85,F86,F87,F88,F89,F90,F91,H84)^-1</f>
        <v>0.24815477855092957</v>
      </c>
    </row>
    <row r="95" spans="5:16">
      <c r="H95" t="s">
        <v>192</v>
      </c>
    </row>
  </sheetData>
  <mergeCells count="4">
    <mergeCell ref="J1:X3"/>
    <mergeCell ref="L31:R33"/>
    <mergeCell ref="N46:S48"/>
    <mergeCell ref="L80:P82"/>
  </mergeCells>
  <hyperlinks>
    <hyperlink ref="Z25" r:id="rId1" display="0.03" xr:uid="{F1EB9B4F-E6D5-4ED3-B3B8-3C80C3F505CC}"/>
    <hyperlink ref="U70" r:id="rId2" display="0.03" xr:uid="{FD1F6886-A504-4F60-B28E-D60FD664A266}"/>
    <hyperlink ref="T68" r:id="rId3" display="=115/1000" xr:uid="{BC3847D3-64CA-4C87-8F38-D10F7D6DC549}"/>
    <hyperlink ref="U68" r:id="rId4" display="0.77" xr:uid="{619A919F-25D1-46F3-9A37-86C7E1B3D2C6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4A99-8B3B-4844-84DB-D4D00BF9CCAC}">
  <dimension ref="C2:AF211"/>
  <sheetViews>
    <sheetView topLeftCell="A12" workbookViewId="0">
      <selection activeCell="M39" sqref="M39"/>
    </sheetView>
  </sheetViews>
  <sheetFormatPr defaultRowHeight="15"/>
  <cols>
    <col min="13" max="13" width="12.5703125" bestFit="1" customWidth="1"/>
  </cols>
  <sheetData>
    <row r="2" spans="3:27" ht="46.5">
      <c r="C2" s="47" t="s">
        <v>4</v>
      </c>
      <c r="D2" s="46"/>
      <c r="E2" s="46"/>
      <c r="F2" s="46"/>
      <c r="G2" s="46"/>
      <c r="H2" s="46"/>
      <c r="I2" s="46"/>
      <c r="S2" s="42" t="s">
        <v>61</v>
      </c>
      <c r="T2" s="42"/>
      <c r="U2" s="42"/>
      <c r="V2" s="42"/>
    </row>
    <row r="3" spans="3:27" ht="15.75">
      <c r="S3" s="43" t="s">
        <v>66</v>
      </c>
      <c r="T3" s="43"/>
      <c r="U3" s="44" t="s">
        <v>67</v>
      </c>
      <c r="V3" s="44"/>
    </row>
    <row r="4" spans="3:27" ht="15.75">
      <c r="S4" s="13" t="s">
        <v>71</v>
      </c>
      <c r="T4" s="5" t="s">
        <v>72</v>
      </c>
      <c r="U4" s="13" t="s">
        <v>71</v>
      </c>
      <c r="V4" s="5" t="s">
        <v>72</v>
      </c>
      <c r="Y4" t="s">
        <v>2</v>
      </c>
      <c r="Z4" t="s">
        <v>3</v>
      </c>
      <c r="AA4" t="s">
        <v>8</v>
      </c>
    </row>
    <row r="5" spans="3:27" ht="15.75">
      <c r="S5" s="13">
        <v>10</v>
      </c>
      <c r="T5" s="5">
        <v>25</v>
      </c>
      <c r="U5" s="9">
        <v>7.5</v>
      </c>
      <c r="V5" s="5">
        <v>6</v>
      </c>
      <c r="Y5" t="s">
        <v>12</v>
      </c>
      <c r="Z5">
        <f>0.27</f>
        <v>0.27</v>
      </c>
    </row>
    <row r="6" spans="3:27">
      <c r="Y6" s="1" t="s">
        <v>17</v>
      </c>
      <c r="Z6">
        <v>0.22500000000000001</v>
      </c>
    </row>
    <row r="7" spans="3:27">
      <c r="Y7" s="1" t="s">
        <v>17</v>
      </c>
      <c r="Z7">
        <v>0.22500000000000001</v>
      </c>
    </row>
    <row r="8" spans="3:27">
      <c r="Y8" s="1" t="s">
        <v>20</v>
      </c>
      <c r="Z8">
        <v>0.35</v>
      </c>
    </row>
    <row r="9" spans="3:27">
      <c r="Y9" s="1" t="s">
        <v>22</v>
      </c>
      <c r="Z9">
        <f>10/1000</f>
        <v>0.01</v>
      </c>
    </row>
    <row r="10" spans="3:27">
      <c r="Y10" s="1" t="s">
        <v>24</v>
      </c>
      <c r="Z10">
        <f>0.5/1000</f>
        <v>5.0000000000000001E-4</v>
      </c>
    </row>
    <row r="11" spans="3:27">
      <c r="Y11" s="1" t="s">
        <v>26</v>
      </c>
      <c r="Z11">
        <f>100/1000</f>
        <v>0.1</v>
      </c>
      <c r="AA11">
        <v>4.7E-2</v>
      </c>
    </row>
    <row r="12" spans="3:27">
      <c r="Y12" s="1" t="s">
        <v>28</v>
      </c>
    </row>
    <row r="13" spans="3:27">
      <c r="Y13" s="1" t="s">
        <v>30</v>
      </c>
      <c r="Z13">
        <f>0.2</f>
        <v>0.2</v>
      </c>
      <c r="AA13">
        <v>1.173</v>
      </c>
    </row>
    <row r="14" spans="3:27" ht="15.75">
      <c r="Y14" s="1" t="s">
        <v>31</v>
      </c>
      <c r="Z14">
        <f>40/1000</f>
        <v>0.04</v>
      </c>
      <c r="AA14" s="9">
        <v>0.17</v>
      </c>
    </row>
    <row r="15" spans="3:27" ht="18.75">
      <c r="Y15" s="1" t="s">
        <v>32</v>
      </c>
      <c r="Z15">
        <v>5.3999999999999999E-2</v>
      </c>
      <c r="AA15" s="22">
        <v>0.19</v>
      </c>
    </row>
    <row r="16" spans="3:27">
      <c r="Y16" t="s">
        <v>33</v>
      </c>
      <c r="Z16">
        <v>0.24</v>
      </c>
      <c r="AA16">
        <v>1.31</v>
      </c>
    </row>
    <row r="17" spans="8:27">
      <c r="Y17" t="s">
        <v>108</v>
      </c>
      <c r="Z17">
        <f>4/1000</f>
        <v>4.0000000000000001E-3</v>
      </c>
      <c r="AA17">
        <f>'U values Downstairsn'!Z19</f>
        <v>0.96</v>
      </c>
    </row>
    <row r="18" spans="8:27">
      <c r="Y18" t="s">
        <v>109</v>
      </c>
      <c r="Z18">
        <v>1</v>
      </c>
      <c r="AA18">
        <v>0.14000000000000001</v>
      </c>
    </row>
    <row r="19" spans="8:27">
      <c r="Y19" t="s">
        <v>110</v>
      </c>
      <c r="Z19">
        <f>5/1000</f>
        <v>5.0000000000000001E-3</v>
      </c>
      <c r="AA19">
        <v>1.79</v>
      </c>
    </row>
    <row r="20" spans="8:27">
      <c r="Y20" t="s">
        <v>111</v>
      </c>
      <c r="Z20">
        <f>6/1000</f>
        <v>6.0000000000000001E-3</v>
      </c>
      <c r="AA20">
        <v>0.15</v>
      </c>
    </row>
    <row r="21" spans="8:27">
      <c r="Y21" t="s">
        <v>112</v>
      </c>
      <c r="Z21">
        <f>35/1000</f>
        <v>3.5000000000000003E-2</v>
      </c>
      <c r="AA21">
        <v>0.1154</v>
      </c>
    </row>
    <row r="32" spans="8:27">
      <c r="H32" t="s">
        <v>118</v>
      </c>
      <c r="I32">
        <f>Z16/(AA16*O32)</f>
        <v>3.0442769147851712E-2</v>
      </c>
      <c r="K32" t="s">
        <v>126</v>
      </c>
      <c r="L32">
        <f>Z17/(AA17*O33)</f>
        <v>4.7619047619047623E-3</v>
      </c>
      <c r="N32" t="s">
        <v>132</v>
      </c>
      <c r="O32" s="1">
        <f>'Room Dimensions'!O66</f>
        <v>6.0180499999999997</v>
      </c>
    </row>
    <row r="33" spans="5:15">
      <c r="E33" t="s">
        <v>114</v>
      </c>
      <c r="F33">
        <f>1/(O34*T5)</f>
        <v>5.8029464460579864E-3</v>
      </c>
      <c r="H33" t="s">
        <v>120</v>
      </c>
      <c r="I33">
        <f>Z11/(AA11*O32)</f>
        <v>0.35354634382700134</v>
      </c>
      <c r="K33" t="s">
        <v>127</v>
      </c>
      <c r="L33">
        <f>Z18/(AA18*O33)</f>
        <v>8.1632653061224474</v>
      </c>
      <c r="N33" t="s">
        <v>159</v>
      </c>
      <c r="O33" s="1">
        <f>'Room Dimensions'!O71</f>
        <v>0.875</v>
      </c>
    </row>
    <row r="34" spans="5:15">
      <c r="E34" t="s">
        <v>119</v>
      </c>
      <c r="F34">
        <f>1/(S5*O34)</f>
        <v>1.4507366115144965E-2</v>
      </c>
      <c r="H34" t="s">
        <v>122</v>
      </c>
      <c r="I34">
        <f>I32</f>
        <v>3.0442769147851712E-2</v>
      </c>
      <c r="K34" t="s">
        <v>116</v>
      </c>
      <c r="L34">
        <f>L32</f>
        <v>4.7619047619047623E-3</v>
      </c>
      <c r="N34" t="s">
        <v>133</v>
      </c>
      <c r="O34" s="1">
        <f>O32+O33</f>
        <v>6.8930499999999997</v>
      </c>
    </row>
    <row r="35" spans="5:15">
      <c r="H35" t="s">
        <v>124</v>
      </c>
      <c r="I35">
        <f>Z13/(AA13*O32)</f>
        <v>2.8331932071388E-2</v>
      </c>
    </row>
    <row r="37" spans="5:15">
      <c r="E37" t="s">
        <v>160</v>
      </c>
      <c r="F37">
        <f>SUM(F32:F35)</f>
        <v>2.0310312561202953E-2</v>
      </c>
      <c r="H37" t="s">
        <v>160</v>
      </c>
      <c r="I37">
        <f>SUM(I32:I35)</f>
        <v>0.44276381419409278</v>
      </c>
      <c r="K37" t="s">
        <v>160</v>
      </c>
      <c r="L37">
        <f>SUM(L32:L34)</f>
        <v>8.1727891156462569</v>
      </c>
    </row>
    <row r="39" spans="5:15">
      <c r="I39" t="s">
        <v>164</v>
      </c>
      <c r="J39">
        <f xml:space="preserve"> (SUM(F37,L37,I37))^-1</f>
        <v>0.11579618295598547</v>
      </c>
    </row>
    <row r="41" spans="5:15" ht="15" customHeight="1">
      <c r="E41" s="45" t="s">
        <v>193</v>
      </c>
      <c r="F41" s="46"/>
      <c r="G41" s="46"/>
      <c r="H41" s="46"/>
      <c r="I41" s="46"/>
      <c r="J41" s="46"/>
      <c r="K41" s="46"/>
      <c r="L41" s="26"/>
    </row>
    <row r="42" spans="5:15">
      <c r="E42" s="46"/>
      <c r="F42" s="46"/>
      <c r="G42" s="46"/>
      <c r="H42" s="46"/>
      <c r="I42" s="46"/>
      <c r="J42" s="46"/>
      <c r="K42" s="46"/>
    </row>
    <row r="43" spans="5:15">
      <c r="E43" s="46"/>
      <c r="F43" s="46"/>
      <c r="G43" s="46"/>
      <c r="H43" s="46"/>
      <c r="I43" s="46"/>
      <c r="J43" s="46"/>
      <c r="K43" s="46"/>
    </row>
    <row r="71" spans="7:17">
      <c r="J71" t="s">
        <v>118</v>
      </c>
      <c r="K71">
        <f>Z16/(AA16*Q71)</f>
        <v>2.734439911793804E-2</v>
      </c>
      <c r="M71" t="s">
        <v>126</v>
      </c>
      <c r="N71">
        <f>Z17/(AA17*Q72)</f>
        <v>2.189381499726327E-3</v>
      </c>
      <c r="P71" t="s">
        <v>132</v>
      </c>
      <c r="Q71" s="1">
        <f>'Room Dimensions'!O50</f>
        <v>6.6999500000000003</v>
      </c>
    </row>
    <row r="72" spans="7:17">
      <c r="G72" t="s">
        <v>114</v>
      </c>
      <c r="H72">
        <f>1/(Q73*T5)</f>
        <v>4.6495003240120542E-3</v>
      </c>
      <c r="J72" t="s">
        <v>120</v>
      </c>
      <c r="K72">
        <f>Z11/(AA11*Q71)</f>
        <v>0.31756350039449327</v>
      </c>
      <c r="M72" t="s">
        <v>127</v>
      </c>
      <c r="N72">
        <f>Z18/(AA18*Q72)</f>
        <v>3.7532254281022746</v>
      </c>
      <c r="P72" t="s">
        <v>159</v>
      </c>
      <c r="Q72" s="1">
        <f>'Room Dimensions'!O57</f>
        <v>1.9031250000000002</v>
      </c>
    </row>
    <row r="73" spans="7:17">
      <c r="G73" t="s">
        <v>119</v>
      </c>
      <c r="H73">
        <f>1/(Q73*S5)</f>
        <v>1.1623750810030134E-2</v>
      </c>
      <c r="J73" t="s">
        <v>122</v>
      </c>
      <c r="K73">
        <f>K71</f>
        <v>2.734439911793804E-2</v>
      </c>
      <c r="M73" t="s">
        <v>116</v>
      </c>
      <c r="N73">
        <f>N71</f>
        <v>2.189381499726327E-3</v>
      </c>
      <c r="P73" t="s">
        <v>133</v>
      </c>
      <c r="Q73" s="1">
        <f>Q71+Q72</f>
        <v>8.6030750000000005</v>
      </c>
    </row>
    <row r="74" spans="7:17">
      <c r="J74" t="s">
        <v>124</v>
      </c>
      <c r="K74">
        <f>Z13/(AA13*Q71)</f>
        <v>2.5448396451050608E-2</v>
      </c>
    </row>
    <row r="76" spans="7:17">
      <c r="G76" t="s">
        <v>160</v>
      </c>
      <c r="H76">
        <f>SUM(H71:H74)</f>
        <v>1.627325113404219E-2</v>
      </c>
      <c r="J76" t="s">
        <v>160</v>
      </c>
      <c r="K76">
        <f>SUM(K71:K74)</f>
        <v>0.39770069508141997</v>
      </c>
      <c r="M76" t="s">
        <v>160</v>
      </c>
      <c r="N76">
        <f>SUM(N71:N73)</f>
        <v>3.7576041911017275</v>
      </c>
    </row>
    <row r="78" spans="7:17">
      <c r="K78" t="s">
        <v>164</v>
      </c>
      <c r="L78">
        <f xml:space="preserve"> (SUM(H76,N76,K76))^-1</f>
        <v>0.23971743236796145</v>
      </c>
    </row>
    <row r="83" spans="8:14">
      <c r="H83" s="45" t="s">
        <v>194</v>
      </c>
      <c r="I83" s="46"/>
      <c r="J83" s="46"/>
      <c r="K83" s="46"/>
      <c r="L83" s="46"/>
      <c r="M83" s="46"/>
      <c r="N83" s="46"/>
    </row>
    <row r="84" spans="8:14">
      <c r="H84" s="46"/>
      <c r="I84" s="46"/>
      <c r="J84" s="46"/>
      <c r="K84" s="46"/>
      <c r="L84" s="46"/>
      <c r="M84" s="46"/>
      <c r="N84" s="46"/>
    </row>
    <row r="85" spans="8:14">
      <c r="H85" s="46"/>
      <c r="I85" s="46"/>
      <c r="J85" s="46"/>
      <c r="K85" s="46"/>
      <c r="L85" s="46"/>
      <c r="M85" s="46"/>
      <c r="N85" s="46"/>
    </row>
    <row r="104" spans="9:29">
      <c r="U104" s="42" t="s">
        <v>61</v>
      </c>
      <c r="V104" s="42"/>
      <c r="W104" s="42"/>
      <c r="X104" s="42"/>
    </row>
    <row r="105" spans="9:29" ht="15.75">
      <c r="U105" s="43" t="s">
        <v>66</v>
      </c>
      <c r="V105" s="43"/>
      <c r="W105" s="44" t="s">
        <v>67</v>
      </c>
      <c r="X105" s="44"/>
    </row>
    <row r="106" spans="9:29" ht="15.75">
      <c r="U106" s="13" t="s">
        <v>71</v>
      </c>
      <c r="V106" s="5" t="s">
        <v>72</v>
      </c>
      <c r="W106" s="13" t="s">
        <v>71</v>
      </c>
      <c r="X106" s="5" t="s">
        <v>72</v>
      </c>
      <c r="AA106" t="s">
        <v>2</v>
      </c>
      <c r="AB106" t="s">
        <v>3</v>
      </c>
      <c r="AC106" t="s">
        <v>8</v>
      </c>
    </row>
    <row r="107" spans="9:29" ht="15.75">
      <c r="U107" s="13">
        <v>10</v>
      </c>
      <c r="V107" s="5">
        <v>25</v>
      </c>
      <c r="W107" s="9">
        <v>7.5</v>
      </c>
      <c r="X107" s="5">
        <v>6</v>
      </c>
      <c r="AA107" t="s">
        <v>12</v>
      </c>
      <c r="AB107">
        <f>0.27</f>
        <v>0.27</v>
      </c>
    </row>
    <row r="108" spans="9:29">
      <c r="AA108" s="1" t="s">
        <v>17</v>
      </c>
      <c r="AB108">
        <v>0.22500000000000001</v>
      </c>
    </row>
    <row r="109" spans="9:29">
      <c r="AA109" s="1" t="s">
        <v>17</v>
      </c>
      <c r="AB109">
        <v>0.22500000000000001</v>
      </c>
    </row>
    <row r="110" spans="9:29">
      <c r="AA110" s="1" t="s">
        <v>20</v>
      </c>
      <c r="AB110">
        <v>0.35</v>
      </c>
    </row>
    <row r="111" spans="9:29">
      <c r="AA111" s="1" t="s">
        <v>22</v>
      </c>
      <c r="AB111">
        <f>10/1000</f>
        <v>0.01</v>
      </c>
    </row>
    <row r="112" spans="9:29">
      <c r="I112" t="s">
        <v>118</v>
      </c>
      <c r="J112">
        <f>AB118/(AC118*P112)</f>
        <v>1.9095008767592618E-2</v>
      </c>
      <c r="L112" t="s">
        <v>126</v>
      </c>
      <c r="M112">
        <f>AB119/(AC119*P113)</f>
        <v>2.189381499726327E-3</v>
      </c>
      <c r="O112" t="s">
        <v>132</v>
      </c>
      <c r="P112" s="1">
        <f>'Room Dimensions'!N5</f>
        <v>9.5944500000000001</v>
      </c>
      <c r="AA112" s="1" t="s">
        <v>24</v>
      </c>
      <c r="AB112">
        <f>0.5/1000</f>
        <v>5.0000000000000001E-4</v>
      </c>
    </row>
    <row r="113" spans="6:29">
      <c r="F113" t="s">
        <v>114</v>
      </c>
      <c r="G113">
        <f>1/(P114*V107)</f>
        <v>3.4789944836193716E-3</v>
      </c>
      <c r="I113" t="s">
        <v>120</v>
      </c>
      <c r="J113">
        <f>AB113/(AC113*P112)</f>
        <v>0.22175941033285756</v>
      </c>
      <c r="L113" t="s">
        <v>127</v>
      </c>
      <c r="M113">
        <f>AB120/(AC120*P113)</f>
        <v>3.7532254281022746</v>
      </c>
      <c r="O113" t="s">
        <v>159</v>
      </c>
      <c r="P113" s="1">
        <f>'Room Dimensions'!O57</f>
        <v>1.9031250000000002</v>
      </c>
      <c r="AA113" s="1" t="s">
        <v>26</v>
      </c>
      <c r="AB113">
        <f>100/1000</f>
        <v>0.1</v>
      </c>
      <c r="AC113">
        <v>4.7E-2</v>
      </c>
    </row>
    <row r="114" spans="6:29">
      <c r="F114" t="s">
        <v>119</v>
      </c>
      <c r="G114">
        <f>1/(P114*U107)</f>
        <v>8.6974862090484287E-3</v>
      </c>
      <c r="I114" t="s">
        <v>122</v>
      </c>
      <c r="J114">
        <f>J112</f>
        <v>1.9095008767592618E-2</v>
      </c>
      <c r="L114" t="s">
        <v>116</v>
      </c>
      <c r="M114">
        <f>M112</f>
        <v>2.189381499726327E-3</v>
      </c>
      <c r="O114" t="s">
        <v>133</v>
      </c>
      <c r="P114" s="1">
        <f>P112+P113</f>
        <v>11.497575000000001</v>
      </c>
      <c r="AA114" s="1" t="s">
        <v>28</v>
      </c>
    </row>
    <row r="115" spans="6:29">
      <c r="I115" t="s">
        <v>124</v>
      </c>
      <c r="J115">
        <f>AB115/(P112*AC115)</f>
        <v>1.7771001339546982E-2</v>
      </c>
      <c r="AA115" s="1" t="s">
        <v>30</v>
      </c>
      <c r="AB115">
        <f>0.2</f>
        <v>0.2</v>
      </c>
      <c r="AC115">
        <v>1.173</v>
      </c>
    </row>
    <row r="116" spans="6:29" ht="15.75">
      <c r="AA116" s="1" t="s">
        <v>31</v>
      </c>
      <c r="AB116">
        <f>40/1000</f>
        <v>0.04</v>
      </c>
      <c r="AC116" s="9">
        <v>0.17</v>
      </c>
    </row>
    <row r="117" spans="6:29" ht="18.75">
      <c r="F117" t="s">
        <v>160</v>
      </c>
      <c r="G117">
        <f>SUM(G112:G115)</f>
        <v>1.21764806926678E-2</v>
      </c>
      <c r="I117" t="s">
        <v>160</v>
      </c>
      <c r="J117">
        <f>SUM(J112:J115)</f>
        <v>0.27772042920758977</v>
      </c>
      <c r="L117" t="s">
        <v>160</v>
      </c>
      <c r="M117">
        <f>SUM(M112:M114)</f>
        <v>3.7576041911017275</v>
      </c>
      <c r="AA117" s="1" t="s">
        <v>32</v>
      </c>
      <c r="AB117">
        <v>5.3999999999999999E-2</v>
      </c>
      <c r="AC117" s="22">
        <v>0.19</v>
      </c>
    </row>
    <row r="118" spans="6:29">
      <c r="AA118" t="s">
        <v>33</v>
      </c>
      <c r="AB118">
        <v>0.24</v>
      </c>
      <c r="AC118">
        <v>1.31</v>
      </c>
    </row>
    <row r="119" spans="6:29">
      <c r="J119" t="s">
        <v>164</v>
      </c>
      <c r="K119">
        <f xml:space="preserve"> (SUM(G117,M117,J117))^-1</f>
        <v>0.24706602297216015</v>
      </c>
      <c r="AA119" t="s">
        <v>108</v>
      </c>
      <c r="AB119">
        <f>4/1000</f>
        <v>4.0000000000000001E-3</v>
      </c>
      <c r="AC119">
        <f>AA17</f>
        <v>0.96</v>
      </c>
    </row>
    <row r="120" spans="6:29">
      <c r="AA120" t="s">
        <v>109</v>
      </c>
      <c r="AB120">
        <v>1</v>
      </c>
      <c r="AC120">
        <v>0.14000000000000001</v>
      </c>
    </row>
    <row r="121" spans="6:29">
      <c r="AA121" t="s">
        <v>110</v>
      </c>
      <c r="AB121">
        <f>5/1000</f>
        <v>5.0000000000000001E-3</v>
      </c>
      <c r="AC121">
        <v>1.79</v>
      </c>
    </row>
    <row r="122" spans="6:29">
      <c r="AA122" t="s">
        <v>111</v>
      </c>
      <c r="AB122">
        <f>6/1000</f>
        <v>6.0000000000000001E-3</v>
      </c>
      <c r="AC122">
        <v>0.15</v>
      </c>
    </row>
    <row r="123" spans="6:29">
      <c r="I123" s="45" t="s">
        <v>195</v>
      </c>
      <c r="J123" s="46"/>
      <c r="K123" s="46"/>
      <c r="L123" s="46"/>
      <c r="M123" s="46"/>
      <c r="N123" s="46"/>
      <c r="O123" s="46"/>
      <c r="AA123" t="s">
        <v>112</v>
      </c>
      <c r="AB123">
        <f>35/1000</f>
        <v>3.5000000000000003E-2</v>
      </c>
      <c r="AC123">
        <v>0.1154</v>
      </c>
    </row>
    <row r="124" spans="6:29">
      <c r="I124" s="46"/>
      <c r="J124" s="46"/>
      <c r="K124" s="46"/>
      <c r="L124" s="46"/>
      <c r="M124" s="46"/>
      <c r="N124" s="46"/>
      <c r="O124" s="46"/>
    </row>
    <row r="125" spans="6:29">
      <c r="I125" s="46"/>
      <c r="J125" s="46"/>
      <c r="K125" s="46"/>
      <c r="L125" s="46"/>
      <c r="M125" s="46"/>
      <c r="N125" s="46"/>
      <c r="O125" s="46"/>
    </row>
    <row r="146" spans="8:28">
      <c r="S146" s="50" t="s">
        <v>61</v>
      </c>
      <c r="T146" s="50"/>
      <c r="U146" s="53"/>
      <c r="V146" s="24"/>
      <c r="W146" s="24"/>
    </row>
    <row r="147" spans="8:28" ht="15.75" customHeight="1">
      <c r="T147" s="25" t="s">
        <v>66</v>
      </c>
      <c r="U147" s="25"/>
      <c r="V147" s="27" t="s">
        <v>67</v>
      </c>
      <c r="W147" s="27"/>
    </row>
    <row r="148" spans="8:28" ht="15.75">
      <c r="T148" s="13" t="s">
        <v>71</v>
      </c>
      <c r="U148" s="5" t="s">
        <v>72</v>
      </c>
      <c r="V148" s="13" t="s">
        <v>71</v>
      </c>
      <c r="W148" s="5" t="s">
        <v>72</v>
      </c>
      <c r="Z148" t="s">
        <v>2</v>
      </c>
      <c r="AA148" t="s">
        <v>3</v>
      </c>
      <c r="AB148" t="s">
        <v>8</v>
      </c>
    </row>
    <row r="149" spans="8:28" ht="15.75">
      <c r="T149" s="13">
        <v>10</v>
      </c>
      <c r="U149" s="5">
        <v>25</v>
      </c>
      <c r="V149" s="9">
        <v>7.5</v>
      </c>
      <c r="W149" s="5">
        <v>6</v>
      </c>
      <c r="Z149" t="s">
        <v>12</v>
      </c>
      <c r="AA149">
        <f>0.27</f>
        <v>0.27</v>
      </c>
    </row>
    <row r="150" spans="8:28">
      <c r="Z150" s="1" t="s">
        <v>17</v>
      </c>
      <c r="AA150">
        <v>0.22500000000000001</v>
      </c>
    </row>
    <row r="151" spans="8:28">
      <c r="Z151" s="1" t="s">
        <v>17</v>
      </c>
      <c r="AA151">
        <v>0.22500000000000001</v>
      </c>
    </row>
    <row r="152" spans="8:28">
      <c r="Z152" s="1" t="s">
        <v>20</v>
      </c>
      <c r="AA152">
        <v>0.35</v>
      </c>
    </row>
    <row r="153" spans="8:28">
      <c r="K153" t="s">
        <v>118</v>
      </c>
      <c r="L153">
        <f>AA160/(AB160*R153)</f>
        <v>1.8096334891565216E-2</v>
      </c>
      <c r="N153" t="s">
        <v>126</v>
      </c>
      <c r="O153">
        <f>AA160/(AB160*R154)</f>
        <v>3.6311580309052682E-2</v>
      </c>
      <c r="Q153" t="s">
        <v>132</v>
      </c>
      <c r="R153" s="1">
        <f>'Room Dimensions'!O20</f>
        <v>10.123934375000001</v>
      </c>
      <c r="Z153" s="1" t="s">
        <v>22</v>
      </c>
      <c r="AA153">
        <f>10/1000</f>
        <v>0.01</v>
      </c>
    </row>
    <row r="154" spans="8:28">
      <c r="H154" t="s">
        <v>114</v>
      </c>
      <c r="I154">
        <f>1/(R155*U149)</f>
        <v>2.6369004553597471E-3</v>
      </c>
      <c r="K154" t="s">
        <v>120</v>
      </c>
      <c r="L154">
        <f>AA155/(AB155*R153)</f>
        <v>0.21016133606339038</v>
      </c>
      <c r="N154" t="s">
        <v>127</v>
      </c>
      <c r="O154">
        <f>AA162/(AB162*R154)</f>
        <v>1.4157193513350896</v>
      </c>
      <c r="Q154" t="s">
        <v>159</v>
      </c>
      <c r="R154" s="1">
        <f>'Room Dimensions'!O27</f>
        <v>5.0453906250000005</v>
      </c>
      <c r="Z154" s="1" t="s">
        <v>24</v>
      </c>
      <c r="AA154">
        <f>0.5/1000</f>
        <v>5.0000000000000001E-4</v>
      </c>
    </row>
    <row r="155" spans="8:28">
      <c r="H155" t="s">
        <v>119</v>
      </c>
      <c r="I155">
        <f>1/(R155*T149)</f>
        <v>6.5922511383993678E-3</v>
      </c>
      <c r="K155" t="s">
        <v>122</v>
      </c>
      <c r="L155">
        <f>L153</f>
        <v>1.8096334891565216E-2</v>
      </c>
      <c r="N155" t="s">
        <v>116</v>
      </c>
      <c r="O155">
        <f>O153</f>
        <v>3.6311580309052682E-2</v>
      </c>
      <c r="Q155" t="s">
        <v>133</v>
      </c>
      <c r="R155" s="1">
        <f>R153+R154</f>
        <v>15.169325000000001</v>
      </c>
      <c r="Z155" s="1" t="s">
        <v>26</v>
      </c>
      <c r="AA155">
        <f>100/1000</f>
        <v>0.1</v>
      </c>
      <c r="AB155">
        <v>4.7E-2</v>
      </c>
    </row>
    <row r="156" spans="8:28">
      <c r="K156" t="s">
        <v>124</v>
      </c>
      <c r="L156">
        <f>AA157/(AB157*R153)</f>
        <v>1.6841573392974166E-2</v>
      </c>
      <c r="Z156" s="1" t="s">
        <v>28</v>
      </c>
    </row>
    <row r="157" spans="8:28">
      <c r="Z157" s="1" t="s">
        <v>30</v>
      </c>
      <c r="AA157">
        <f>0.2</f>
        <v>0.2</v>
      </c>
      <c r="AB157">
        <v>1.173</v>
      </c>
    </row>
    <row r="158" spans="8:28" ht="15.75">
      <c r="H158" t="s">
        <v>160</v>
      </c>
      <c r="I158">
        <f>SUM(I153:I156)</f>
        <v>9.2291515937591145E-3</v>
      </c>
      <c r="K158" t="s">
        <v>160</v>
      </c>
      <c r="L158">
        <f>SUM(L153:L156)</f>
        <v>0.26319557923949494</v>
      </c>
      <c r="N158" t="s">
        <v>160</v>
      </c>
      <c r="O158">
        <f>SUM(O153:O155)</f>
        <v>1.4883425119531952</v>
      </c>
      <c r="Z158" s="1" t="s">
        <v>31</v>
      </c>
      <c r="AA158">
        <f>40/1000</f>
        <v>0.04</v>
      </c>
      <c r="AB158" s="9">
        <v>0.17</v>
      </c>
    </row>
    <row r="159" spans="8:28" ht="18.75">
      <c r="M159" t="s">
        <v>9</v>
      </c>
      <c r="N159">
        <f>(I158+L158+O158)^-1</f>
        <v>0.56793423667825627</v>
      </c>
      <c r="Z159" s="1" t="s">
        <v>32</v>
      </c>
      <c r="AA159">
        <v>5.3999999999999999E-2</v>
      </c>
      <c r="AB159" s="22">
        <v>0.19</v>
      </c>
    </row>
    <row r="160" spans="8:28">
      <c r="Z160" t="s">
        <v>33</v>
      </c>
      <c r="AA160">
        <v>0.24</v>
      </c>
      <c r="AB160">
        <v>1.31</v>
      </c>
    </row>
    <row r="161" spans="11:28">
      <c r="Z161" t="s">
        <v>108</v>
      </c>
      <c r="AA161">
        <f>4/1000</f>
        <v>4.0000000000000001E-3</v>
      </c>
      <c r="AB161">
        <f>AC119</f>
        <v>0.96</v>
      </c>
    </row>
    <row r="162" spans="11:28">
      <c r="Z162" t="s">
        <v>109</v>
      </c>
      <c r="AA162">
        <v>1</v>
      </c>
      <c r="AB162">
        <v>0.14000000000000001</v>
      </c>
    </row>
    <row r="163" spans="11:28">
      <c r="Z163" t="s">
        <v>110</v>
      </c>
      <c r="AA163">
        <f>5/1000</f>
        <v>5.0000000000000001E-3</v>
      </c>
      <c r="AB163">
        <v>1.79</v>
      </c>
    </row>
    <row r="164" spans="11:28">
      <c r="Z164" t="s">
        <v>111</v>
      </c>
      <c r="AA164">
        <f>6/1000</f>
        <v>6.0000000000000001E-3</v>
      </c>
      <c r="AB164">
        <v>0.15</v>
      </c>
    </row>
    <row r="165" spans="11:28">
      <c r="K165" s="45" t="s">
        <v>196</v>
      </c>
      <c r="L165" s="46"/>
      <c r="M165" s="46"/>
      <c r="N165" s="46"/>
      <c r="O165" s="46"/>
      <c r="P165" s="46"/>
      <c r="Q165" s="46"/>
      <c r="Z165" t="s">
        <v>112</v>
      </c>
      <c r="AA165">
        <f>35/1000</f>
        <v>3.5000000000000003E-2</v>
      </c>
      <c r="AB165">
        <v>0.1154</v>
      </c>
    </row>
    <row r="166" spans="11:28">
      <c r="K166" s="46"/>
      <c r="L166" s="46"/>
      <c r="M166" s="46"/>
      <c r="N166" s="46"/>
      <c r="O166" s="46"/>
      <c r="P166" s="46"/>
      <c r="Q166" s="46"/>
    </row>
    <row r="167" spans="11:28">
      <c r="K167" s="46"/>
      <c r="L167" s="46"/>
      <c r="M167" s="46"/>
      <c r="N167" s="46"/>
      <c r="O167" s="46"/>
      <c r="P167" s="46"/>
      <c r="Q167" s="46"/>
    </row>
    <row r="192" spans="24:27">
      <c r="X192" s="42" t="s">
        <v>61</v>
      </c>
      <c r="Y192" s="42"/>
      <c r="Z192" s="42"/>
      <c r="AA192" s="42"/>
    </row>
    <row r="193" spans="12:32" ht="15.75">
      <c r="X193" s="43" t="s">
        <v>66</v>
      </c>
      <c r="Y193" s="43"/>
      <c r="Z193" s="44" t="s">
        <v>67</v>
      </c>
      <c r="AA193" s="44"/>
    </row>
    <row r="194" spans="12:32" ht="15.75">
      <c r="X194" s="13" t="s">
        <v>71</v>
      </c>
      <c r="Y194" s="5" t="s">
        <v>72</v>
      </c>
      <c r="Z194" s="13" t="s">
        <v>71</v>
      </c>
      <c r="AA194" s="5" t="s">
        <v>72</v>
      </c>
      <c r="AD194" t="s">
        <v>2</v>
      </c>
      <c r="AE194" t="s">
        <v>3</v>
      </c>
      <c r="AF194" t="s">
        <v>8</v>
      </c>
    </row>
    <row r="195" spans="12:32" ht="15.75">
      <c r="O195" t="s">
        <v>118</v>
      </c>
      <c r="P195">
        <f>AE206/(AF206*V195)</f>
        <v>2.6319171357339296E-2</v>
      </c>
      <c r="R195" t="s">
        <v>126</v>
      </c>
      <c r="S195">
        <f>AE207/(AF207*V196)</f>
        <v>2.05761316872428E-3</v>
      </c>
      <c r="U195" t="s">
        <v>132</v>
      </c>
      <c r="V195" s="1">
        <f>'Room Dimensions'!O36</f>
        <v>6.9609375</v>
      </c>
      <c r="X195" s="13">
        <v>10</v>
      </c>
      <c r="Y195" s="5">
        <v>25</v>
      </c>
      <c r="Z195" s="9">
        <v>7.5</v>
      </c>
      <c r="AA195" s="5">
        <v>6</v>
      </c>
      <c r="AD195" t="s">
        <v>12</v>
      </c>
      <c r="AE195">
        <f>0.27</f>
        <v>0.27</v>
      </c>
    </row>
    <row r="196" spans="12:32">
      <c r="L196" t="s">
        <v>114</v>
      </c>
      <c r="M196">
        <f>1/(V197*Y195)</f>
        <v>4.4513997565640761E-3</v>
      </c>
      <c r="O196" t="s">
        <v>120</v>
      </c>
      <c r="P196">
        <f>AE201/(AF201*V195)</f>
        <v>0.3056570432456957</v>
      </c>
      <c r="R196" t="s">
        <v>127</v>
      </c>
      <c r="S196">
        <f>AE208/(AF208*V196)</f>
        <v>3.5273368606701938</v>
      </c>
      <c r="U196" t="s">
        <v>159</v>
      </c>
      <c r="V196" s="1">
        <f>'Room Dimensions'!O43</f>
        <v>2.0249999999999999</v>
      </c>
      <c r="AD196" s="1" t="s">
        <v>17</v>
      </c>
      <c r="AE196">
        <v>0.22500000000000001</v>
      </c>
    </row>
    <row r="197" spans="12:32">
      <c r="L197" t="s">
        <v>119</v>
      </c>
      <c r="M197">
        <f>1/(V197*X195)</f>
        <v>1.1128499391410189E-2</v>
      </c>
      <c r="O197" t="s">
        <v>122</v>
      </c>
      <c r="P197">
        <f>P195</f>
        <v>2.6319171357339296E-2</v>
      </c>
      <c r="R197" t="s">
        <v>116</v>
      </c>
      <c r="S197">
        <f>S195</f>
        <v>2.05761316872428E-3</v>
      </c>
      <c r="U197" t="s">
        <v>133</v>
      </c>
      <c r="V197" s="1">
        <f>V195+V196</f>
        <v>8.9859375000000004</v>
      </c>
      <c r="AD197" s="1" t="s">
        <v>17</v>
      </c>
      <c r="AE197">
        <v>0.22500000000000001</v>
      </c>
    </row>
    <row r="198" spans="12:32">
      <c r="O198" t="s">
        <v>124</v>
      </c>
      <c r="P198">
        <f>AE201/(AF201*V195)</f>
        <v>0.3056570432456957</v>
      </c>
      <c r="AD198" s="1" t="s">
        <v>20</v>
      </c>
      <c r="AE198">
        <v>0.35</v>
      </c>
    </row>
    <row r="199" spans="12:32">
      <c r="AD199" s="1" t="s">
        <v>22</v>
      </c>
      <c r="AE199">
        <f>10/1000</f>
        <v>0.01</v>
      </c>
    </row>
    <row r="200" spans="12:32">
      <c r="L200" t="s">
        <v>160</v>
      </c>
      <c r="M200">
        <f>SUM(M195:M198)</f>
        <v>1.5579899147974266E-2</v>
      </c>
      <c r="O200" t="s">
        <v>160</v>
      </c>
      <c r="P200">
        <f>SUM(P195:P198)</f>
        <v>0.66395242920607001</v>
      </c>
      <c r="R200" t="s">
        <v>160</v>
      </c>
      <c r="S200">
        <f>SUM(S195:S197)</f>
        <v>3.5314520870076427</v>
      </c>
      <c r="AD200" s="1" t="s">
        <v>24</v>
      </c>
      <c r="AE200">
        <f>0.5/1000</f>
        <v>5.0000000000000001E-4</v>
      </c>
    </row>
    <row r="201" spans="12:32">
      <c r="Q201" t="s">
        <v>9</v>
      </c>
      <c r="R201">
        <f>(M200+P200+S200)^-1</f>
        <v>0.23747416313202116</v>
      </c>
      <c r="AD201" s="1" t="s">
        <v>26</v>
      </c>
      <c r="AE201">
        <f>100/1000</f>
        <v>0.1</v>
      </c>
      <c r="AF201">
        <v>4.7E-2</v>
      </c>
    </row>
    <row r="202" spans="12:32">
      <c r="AD202" s="1" t="s">
        <v>28</v>
      </c>
    </row>
    <row r="203" spans="12:32">
      <c r="AD203" s="1" t="s">
        <v>30</v>
      </c>
      <c r="AE203">
        <f>0.2</f>
        <v>0.2</v>
      </c>
      <c r="AF203">
        <v>1.173</v>
      </c>
    </row>
    <row r="204" spans="12:32" ht="15.75">
      <c r="AD204" s="1" t="s">
        <v>31</v>
      </c>
      <c r="AE204">
        <f>40/1000</f>
        <v>0.04</v>
      </c>
      <c r="AF204" s="9">
        <v>0.17</v>
      </c>
    </row>
    <row r="205" spans="12:32" ht="18.75">
      <c r="AD205" s="1" t="s">
        <v>32</v>
      </c>
      <c r="AE205">
        <v>5.3999999999999999E-2</v>
      </c>
      <c r="AF205" s="22">
        <v>0.19</v>
      </c>
    </row>
    <row r="206" spans="12:32">
      <c r="AD206" t="s">
        <v>33</v>
      </c>
      <c r="AE206">
        <v>0.24</v>
      </c>
      <c r="AF206">
        <v>1.31</v>
      </c>
    </row>
    <row r="207" spans="12:32">
      <c r="AD207" t="s">
        <v>108</v>
      </c>
      <c r="AE207">
        <f>4/1000</f>
        <v>4.0000000000000001E-3</v>
      </c>
      <c r="AF207">
        <f>AB161</f>
        <v>0.96</v>
      </c>
    </row>
    <row r="208" spans="12:32">
      <c r="AD208" t="s">
        <v>109</v>
      </c>
      <c r="AE208">
        <v>1</v>
      </c>
      <c r="AF208">
        <v>0.14000000000000001</v>
      </c>
    </row>
    <row r="209" spans="30:32">
      <c r="AD209" t="s">
        <v>110</v>
      </c>
      <c r="AE209">
        <f>5/1000</f>
        <v>5.0000000000000001E-3</v>
      </c>
      <c r="AF209">
        <v>1.79</v>
      </c>
    </row>
    <row r="210" spans="30:32">
      <c r="AD210" t="s">
        <v>111</v>
      </c>
      <c r="AE210">
        <f>6/1000</f>
        <v>6.0000000000000001E-3</v>
      </c>
      <c r="AF210">
        <v>0.15</v>
      </c>
    </row>
    <row r="211" spans="30:32">
      <c r="AD211" t="s">
        <v>112</v>
      </c>
      <c r="AE211">
        <f>35/1000</f>
        <v>3.5000000000000003E-2</v>
      </c>
      <c r="AF211">
        <v>0.1154</v>
      </c>
    </row>
  </sheetData>
  <mergeCells count="15">
    <mergeCell ref="S2:V2"/>
    <mergeCell ref="S3:T3"/>
    <mergeCell ref="U3:V3"/>
    <mergeCell ref="C2:I2"/>
    <mergeCell ref="E41:K43"/>
    <mergeCell ref="H83:N85"/>
    <mergeCell ref="U104:X104"/>
    <mergeCell ref="U105:V105"/>
    <mergeCell ref="W105:X105"/>
    <mergeCell ref="I123:O125"/>
    <mergeCell ref="X193:Y193"/>
    <mergeCell ref="Z193:AA193"/>
    <mergeCell ref="S146:U146"/>
    <mergeCell ref="K165:Q167"/>
    <mergeCell ref="X192:AA19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2CCF-7A79-4555-9F27-AF07965D8700}">
  <dimension ref="A1:F5"/>
  <sheetViews>
    <sheetView tabSelected="1" workbookViewId="0">
      <selection activeCell="D6" sqref="D6"/>
    </sheetView>
  </sheetViews>
  <sheetFormatPr defaultRowHeight="15"/>
  <cols>
    <col min="1" max="1" width="11.85546875" bestFit="1" customWidth="1"/>
    <col min="2" max="2" width="17.140625" bestFit="1" customWidth="1"/>
    <col min="3" max="3" width="18" bestFit="1" customWidth="1"/>
    <col min="4" max="4" width="16.42578125" bestFit="1" customWidth="1"/>
    <col min="5" max="6" width="12.5703125" bestFit="1" customWidth="1"/>
  </cols>
  <sheetData>
    <row r="1" spans="1:6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</row>
    <row r="2" spans="1:6">
      <c r="A2" t="s">
        <v>39</v>
      </c>
      <c r="B2">
        <f>'U values new'!C12</f>
        <v>1.4267347074027439</v>
      </c>
      <c r="C2">
        <f>'U values new'!C14</f>
        <v>1.3715421567003481</v>
      </c>
      <c r="D2" s="1">
        <f>SUM('Room Dimensions'!E13,'Room Dimensions'!E28,'Room Dimensions'!E29,'Room Dimensions'!E43,'Room Dimensions'!E70,'Room Dimensions'!O71,'Room Dimensions'!O57,'Room Dimensions'!O43,'Room Dimensions'!O27,'Room Dimensions'!N12)*0.85</f>
        <v>15.226923242187503</v>
      </c>
      <c r="E2">
        <f>B2*$D$2</f>
        <v>21.724779876586428</v>
      </c>
      <c r="F2">
        <f>C2*D2</f>
        <v>20.884367143500505</v>
      </c>
    </row>
    <row r="3" spans="1:6">
      <c r="A3" t="s">
        <v>176</v>
      </c>
      <c r="B3">
        <f>'U values new'!D42</f>
        <v>2.2550710319368057</v>
      </c>
      <c r="C3">
        <f>'U values new'!D44</f>
        <v>2.120215633423181</v>
      </c>
      <c r="D3" s="1">
        <f>SUM('Room Dimensions'!E54,'Room Dimensions'!E54)*0.9</f>
        <v>2.6459999999999999</v>
      </c>
      <c r="E3">
        <f>B3*D3</f>
        <v>5.9669179505047873</v>
      </c>
      <c r="F3">
        <f>C3*D3</f>
        <v>5.6100905660377363</v>
      </c>
    </row>
    <row r="4" spans="1:6">
      <c r="A4" t="s">
        <v>130</v>
      </c>
      <c r="B4">
        <f>'U values new'!N66</f>
        <v>0.26544304970847604</v>
      </c>
      <c r="C4">
        <f>'U values new'!P66</f>
        <v>0.26347048433012643</v>
      </c>
      <c r="D4" s="1">
        <f>SUM('Room Dimensions'!E6,'Room Dimensions'!E20,'Room Dimensions'!E35,'Room Dimensions'!E63,'Room Dimensions'!O66,'Room Dimensions'!O50,'Room Dimensions'!O36,'Room Dimensions'!O20,'Room Dimensions'!N5)*0.65</f>
        <v>47.937153164062501</v>
      </c>
      <c r="E4">
        <f>B4*D4</f>
        <v>12.724584130211072</v>
      </c>
      <c r="F4">
        <f>C4*D4</f>
        <v>12.630024961543</v>
      </c>
    </row>
    <row r="5" spans="1:6">
      <c r="A5" t="s">
        <v>190</v>
      </c>
      <c r="B5">
        <f>'U values new'!F94</f>
        <v>0.24990391536771919</v>
      </c>
      <c r="C5">
        <f>'U values new'!I94</f>
        <v>0.24815477855092957</v>
      </c>
      <c r="D5">
        <f>'U values Downstairsn'!L122*0.85</f>
        <v>136.62049999999999</v>
      </c>
      <c r="E5">
        <f>B5*D5</f>
        <v>34.141997869495476</v>
      </c>
      <c r="F5">
        <f>C5*D5</f>
        <v>33.903029923017272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E5C8-DE2B-4973-A418-2B3B1A5637C1}">
  <dimension ref="A1:C13"/>
  <sheetViews>
    <sheetView workbookViewId="0">
      <selection activeCell="C11" sqref="C11"/>
    </sheetView>
  </sheetViews>
  <sheetFormatPr defaultRowHeight="15"/>
  <cols>
    <col min="2" max="2" width="20.42578125" bestFit="1" customWidth="1"/>
  </cols>
  <sheetData>
    <row r="1" spans="1:3">
      <c r="A1" t="s">
        <v>203</v>
      </c>
      <c r="B1" t="s">
        <v>204</v>
      </c>
      <c r="C1" t="s">
        <v>192</v>
      </c>
    </row>
    <row r="2" spans="1:3">
      <c r="A2" t="s">
        <v>205</v>
      </c>
      <c r="B2" t="s">
        <v>206</v>
      </c>
      <c r="C2">
        <f>'U values Upstairs'!R201</f>
        <v>0.23747416313202116</v>
      </c>
    </row>
    <row r="3" spans="1:3">
      <c r="A3" t="s">
        <v>0</v>
      </c>
      <c r="B3" t="s">
        <v>207</v>
      </c>
      <c r="C3">
        <f>'U values Upstairs'!N159</f>
        <v>0.56793423667825627</v>
      </c>
    </row>
    <row r="4" spans="1:3">
      <c r="A4" t="s">
        <v>0</v>
      </c>
      <c r="B4" t="s">
        <v>208</v>
      </c>
      <c r="C4">
        <f>'U values Upstairs'!K119</f>
        <v>0.24706602297216015</v>
      </c>
    </row>
    <row r="5" spans="1:3">
      <c r="A5" t="s">
        <v>0</v>
      </c>
      <c r="B5" t="s">
        <v>209</v>
      </c>
      <c r="C5">
        <f>'U values Upstairs'!L78</f>
        <v>0.23971743236796145</v>
      </c>
    </row>
    <row r="6" spans="1:3">
      <c r="A6" t="s">
        <v>0</v>
      </c>
      <c r="B6" t="s">
        <v>210</v>
      </c>
      <c r="C6">
        <f>'U values Upstairs'!J39</f>
        <v>0.11579618295598547</v>
      </c>
    </row>
    <row r="7" spans="1:3">
      <c r="A7" t="s">
        <v>211</v>
      </c>
      <c r="B7" t="s">
        <v>212</v>
      </c>
      <c r="C7">
        <f>'U values Downstairsn'!P36</f>
        <v>0.45856592395889684</v>
      </c>
    </row>
    <row r="8" spans="1:3">
      <c r="A8" t="s">
        <v>211</v>
      </c>
      <c r="B8" t="s">
        <v>213</v>
      </c>
      <c r="C8">
        <f>'U values Downstairsn'!J81</f>
        <v>0.42109351142959611</v>
      </c>
    </row>
    <row r="9" spans="1:3">
      <c r="A9" t="s">
        <v>211</v>
      </c>
      <c r="B9" t="s">
        <v>214</v>
      </c>
      <c r="C9">
        <f>'U values Downstairsn'!AO49</f>
        <v>0.36564114853237156</v>
      </c>
    </row>
    <row r="10" spans="1:3">
      <c r="A10" t="s">
        <v>211</v>
      </c>
      <c r="B10" t="s">
        <v>136</v>
      </c>
      <c r="C10">
        <f>'U values Downstairsn'!AS80</f>
        <v>4.2139449123992596E-2</v>
      </c>
    </row>
    <row r="11" spans="1:3">
      <c r="A11" t="s">
        <v>211</v>
      </c>
      <c r="B11" t="s">
        <v>215</v>
      </c>
      <c r="C11">
        <f>'U values Downstairsn'!AT123</f>
        <v>0.16283321661298206</v>
      </c>
    </row>
    <row r="12" spans="1:3">
      <c r="A12" t="s">
        <v>154</v>
      </c>
      <c r="B12" t="s">
        <v>216</v>
      </c>
      <c r="C12">
        <f>'U values Downstairsn'!H126</f>
        <v>0.33509270983378159</v>
      </c>
    </row>
    <row r="13" spans="1:3">
      <c r="A13" t="s">
        <v>217</v>
      </c>
      <c r="B13" t="s">
        <v>218</v>
      </c>
      <c r="C13">
        <f>SUM(C1:C12)</f>
        <v>3.1933539975980052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83A-9128-4BAA-A37E-4AB3B84E096E}">
  <dimension ref="A2:U31"/>
  <sheetViews>
    <sheetView workbookViewId="0">
      <selection activeCell="H4" sqref="H4:H8"/>
    </sheetView>
  </sheetViews>
  <sheetFormatPr defaultRowHeight="15"/>
  <cols>
    <col min="2" max="2" width="13.7109375" bestFit="1" customWidth="1"/>
    <col min="7" max="7" width="12.28515625" bestFit="1" customWidth="1"/>
    <col min="8" max="8" width="13.7109375" bestFit="1" customWidth="1"/>
    <col min="12" max="12" width="16.85546875" bestFit="1" customWidth="1"/>
  </cols>
  <sheetData>
    <row r="2" spans="1:15">
      <c r="A2" s="50" t="s">
        <v>0</v>
      </c>
      <c r="B2" s="50"/>
      <c r="C2" s="50"/>
      <c r="G2" s="50" t="s">
        <v>211</v>
      </c>
      <c r="H2" s="50"/>
      <c r="I2" s="50"/>
      <c r="L2" t="s">
        <v>219</v>
      </c>
      <c r="M2">
        <f>O15</f>
        <v>2.7950000000000002E-4</v>
      </c>
    </row>
    <row r="3" spans="1:15">
      <c r="A3" t="s">
        <v>204</v>
      </c>
      <c r="B3" t="s">
        <v>220</v>
      </c>
      <c r="G3" t="s">
        <v>204</v>
      </c>
      <c r="H3" t="s">
        <v>220</v>
      </c>
      <c r="L3" t="s">
        <v>221</v>
      </c>
      <c r="M3">
        <v>1.2366999999999999</v>
      </c>
    </row>
    <row r="4" spans="1:15">
      <c r="A4" t="s">
        <v>4</v>
      </c>
      <c r="B4">
        <f>'Room Dimensions'!U64</f>
        <v>10.769000000000002</v>
      </c>
      <c r="H4">
        <f>'Room Dimensions'!I50</f>
        <v>9.7453124999999989</v>
      </c>
    </row>
    <row r="5" spans="1:15">
      <c r="A5" t="s">
        <v>209</v>
      </c>
      <c r="B5">
        <f>'Room Dimensions'!U50</f>
        <v>12.604625000000002</v>
      </c>
      <c r="H5">
        <f>'Room Dimensions'!J63</f>
        <v>38.300390625000006</v>
      </c>
    </row>
    <row r="6" spans="1:15">
      <c r="A6" t="s">
        <v>212</v>
      </c>
      <c r="B6">
        <f>'Room Dimensions'!U75</f>
        <v>10.155600000000002</v>
      </c>
      <c r="H6">
        <f>'Room Dimensions'!J35</f>
        <v>39.926249999999996</v>
      </c>
    </row>
    <row r="7" spans="1:15">
      <c r="A7" t="s">
        <v>208</v>
      </c>
      <c r="B7">
        <f>'Room Dimensions'!T5</f>
        <v>23.155687500000006</v>
      </c>
      <c r="H7">
        <f>'Room Dimensions'!J20</f>
        <v>20.69484375</v>
      </c>
    </row>
    <row r="8" spans="1:15">
      <c r="A8" t="s">
        <v>207</v>
      </c>
      <c r="B8">
        <f>'Room Dimensions'!U20</f>
        <v>48.925000000000004</v>
      </c>
      <c r="H8">
        <f>'Room Dimensions'!I6</f>
        <v>12.928125</v>
      </c>
    </row>
    <row r="9" spans="1:15">
      <c r="A9" t="s">
        <v>205</v>
      </c>
      <c r="B9">
        <f>'Room Dimensions'!U36</f>
        <v>31.893749999999997</v>
      </c>
      <c r="N9" s="54" t="s">
        <v>222</v>
      </c>
      <c r="O9" s="56" t="s">
        <v>223</v>
      </c>
    </row>
    <row r="10" spans="1:15">
      <c r="A10" t="s">
        <v>212</v>
      </c>
      <c r="N10" s="55"/>
      <c r="O10" s="57"/>
    </row>
    <row r="11" spans="1:15">
      <c r="A11" t="s">
        <v>51</v>
      </c>
      <c r="M11" s="21"/>
      <c r="N11" s="28">
        <v>280</v>
      </c>
      <c r="O11" s="29">
        <v>2.7900000000000001E-4</v>
      </c>
    </row>
    <row r="12" spans="1:15">
      <c r="A12" t="s">
        <v>40</v>
      </c>
      <c r="N12" s="28">
        <v>288.7</v>
      </c>
      <c r="O12" s="29">
        <v>2.7900000000000001E-4</v>
      </c>
    </row>
    <row r="13" spans="1:15">
      <c r="A13" t="s">
        <v>136</v>
      </c>
      <c r="N13" s="28">
        <v>300</v>
      </c>
      <c r="O13" s="29">
        <v>2.7999999999999998E-4</v>
      </c>
    </row>
    <row r="14" spans="1:15">
      <c r="A14" t="s">
        <v>224</v>
      </c>
      <c r="N14" s="30">
        <v>320</v>
      </c>
      <c r="O14" s="31">
        <v>2.7999999999999998E-4</v>
      </c>
    </row>
    <row r="15" spans="1:15">
      <c r="O15">
        <f>AVERAGE(O11:O14)</f>
        <v>2.7950000000000002E-4</v>
      </c>
    </row>
    <row r="18" spans="14:21">
      <c r="N18" t="s">
        <v>225</v>
      </c>
      <c r="O18" t="s">
        <v>226</v>
      </c>
    </row>
    <row r="19" spans="14:21">
      <c r="N19">
        <v>-10</v>
      </c>
      <c r="O19">
        <v>1.341</v>
      </c>
    </row>
    <row r="20" spans="14:21">
      <c r="N20">
        <v>-5</v>
      </c>
      <c r="O20">
        <v>1.3160000000000001</v>
      </c>
    </row>
    <row r="21" spans="14:21">
      <c r="N21" s="32">
        <v>0</v>
      </c>
      <c r="O21" s="36">
        <v>1.292</v>
      </c>
      <c r="P21" s="35"/>
      <c r="Q21" s="35"/>
      <c r="R21" s="35"/>
      <c r="S21" s="35"/>
      <c r="T21" s="35"/>
      <c r="U21" s="35"/>
    </row>
    <row r="22" spans="14:21">
      <c r="N22" s="33">
        <v>5</v>
      </c>
      <c r="O22" s="37">
        <v>1.268</v>
      </c>
      <c r="P22" s="35"/>
      <c r="Q22" s="35"/>
      <c r="R22" s="35"/>
      <c r="S22" s="35"/>
      <c r="T22" s="35"/>
      <c r="U22" s="35"/>
    </row>
    <row r="23" spans="14:21">
      <c r="N23" s="33">
        <v>10</v>
      </c>
      <c r="O23" s="37">
        <v>1.246</v>
      </c>
      <c r="P23" s="35"/>
      <c r="Q23" s="35"/>
      <c r="R23" s="35"/>
      <c r="S23" s="35"/>
      <c r="T23" s="35"/>
      <c r="U23" s="35"/>
    </row>
    <row r="24" spans="14:21">
      <c r="N24" s="33">
        <v>15</v>
      </c>
      <c r="O24" s="37">
        <v>1.2250000000000001</v>
      </c>
      <c r="P24" s="35"/>
      <c r="Q24" s="35"/>
      <c r="R24" s="35"/>
      <c r="S24" s="35"/>
      <c r="T24" s="35"/>
      <c r="U24" s="35"/>
    </row>
    <row r="25" spans="14:21">
      <c r="N25" s="33">
        <v>20</v>
      </c>
      <c r="O25" s="37">
        <v>1.204</v>
      </c>
      <c r="P25" s="35"/>
      <c r="Q25" s="35"/>
      <c r="R25" s="35"/>
      <c r="S25" s="35"/>
      <c r="T25" s="35"/>
      <c r="U25" s="35"/>
    </row>
    <row r="26" spans="14:21">
      <c r="N26" s="33">
        <v>25</v>
      </c>
      <c r="O26" s="37">
        <v>1.1839999999999999</v>
      </c>
      <c r="P26" s="35"/>
      <c r="Q26" s="35"/>
      <c r="R26" s="35"/>
      <c r="S26" s="35"/>
      <c r="T26" s="35"/>
      <c r="U26" s="35"/>
    </row>
    <row r="27" spans="14:21">
      <c r="N27" s="33">
        <v>30</v>
      </c>
      <c r="O27" s="37">
        <v>1.1639999999999999</v>
      </c>
      <c r="P27" s="35"/>
      <c r="Q27" s="35"/>
      <c r="R27" s="35"/>
      <c r="S27" s="35"/>
      <c r="T27" s="35"/>
      <c r="U27" s="35"/>
    </row>
    <row r="28" spans="14:21">
      <c r="N28" s="34">
        <v>40</v>
      </c>
      <c r="O28" s="38">
        <v>1.127</v>
      </c>
    </row>
    <row r="29" spans="14:21">
      <c r="N29" t="s">
        <v>227</v>
      </c>
      <c r="O29">
        <f>AVERAGE(O21:O28)</f>
        <v>1.2137500000000001</v>
      </c>
    </row>
    <row r="30" spans="14:21">
      <c r="O30">
        <f>AVERAGE(O21:O25)</f>
        <v>1.2470000000000001</v>
      </c>
    </row>
    <row r="31" spans="14:21">
      <c r="O31">
        <f>AVERAGE(O19:O28)</f>
        <v>1.2366999999999999</v>
      </c>
    </row>
  </sheetData>
  <mergeCells count="4">
    <mergeCell ref="A2:C2"/>
    <mergeCell ref="G2:I2"/>
    <mergeCell ref="N9:N10"/>
    <mergeCell ref="O9:O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AF26-5C41-441F-8255-36A8EE49EE83}">
  <dimension ref="A1:B12"/>
  <sheetViews>
    <sheetView workbookViewId="0">
      <selection activeCell="C1" sqref="C1"/>
    </sheetView>
  </sheetViews>
  <sheetFormatPr defaultRowHeight="15"/>
  <cols>
    <col min="1" max="1" width="23.42578125" bestFit="1" customWidth="1"/>
    <col min="2" max="2" width="13.7109375" bestFit="1" customWidth="1"/>
  </cols>
  <sheetData>
    <row r="1" spans="1:2">
      <c r="A1" t="s">
        <v>228</v>
      </c>
      <c r="B1" t="s">
        <v>220</v>
      </c>
    </row>
    <row r="2" spans="1:2">
      <c r="A2" t="s">
        <v>229</v>
      </c>
      <c r="B2">
        <f>Ventillation!B4</f>
        <v>10.769000000000002</v>
      </c>
    </row>
    <row r="3" spans="1:2">
      <c r="A3" t="s">
        <v>230</v>
      </c>
      <c r="B3">
        <f>Ventillation!B5</f>
        <v>12.604625000000002</v>
      </c>
    </row>
    <row r="4" spans="1:2">
      <c r="A4" t="s">
        <v>231</v>
      </c>
      <c r="B4">
        <f>Ventillation!B6</f>
        <v>10.155600000000002</v>
      </c>
    </row>
    <row r="5" spans="1:2">
      <c r="A5" t="s">
        <v>232</v>
      </c>
      <c r="B5">
        <f>Ventillation!B7</f>
        <v>23.155687500000006</v>
      </c>
    </row>
    <row r="6" spans="1:2">
      <c r="A6" t="s">
        <v>233</v>
      </c>
      <c r="B6">
        <f>Ventillation!B8</f>
        <v>48.925000000000004</v>
      </c>
    </row>
    <row r="7" spans="1:2">
      <c r="A7" t="s">
        <v>234</v>
      </c>
      <c r="B7">
        <f>Ventillation!B9</f>
        <v>31.893749999999997</v>
      </c>
    </row>
    <row r="8" spans="1:2">
      <c r="A8" t="s">
        <v>235</v>
      </c>
      <c r="B8">
        <f>Ventillation!H4</f>
        <v>9.7453124999999989</v>
      </c>
    </row>
    <row r="9" spans="1:2">
      <c r="A9" t="s">
        <v>236</v>
      </c>
      <c r="B9">
        <f>Ventillation!H5</f>
        <v>38.300390625000006</v>
      </c>
    </row>
    <row r="10" spans="1:2">
      <c r="A10" t="s">
        <v>237</v>
      </c>
      <c r="B10">
        <f>Ventillation!H6</f>
        <v>39.926249999999996</v>
      </c>
    </row>
    <row r="11" spans="1:2">
      <c r="A11" t="s">
        <v>238</v>
      </c>
      <c r="B11">
        <f>Ventillation!H7</f>
        <v>20.69484375</v>
      </c>
    </row>
    <row r="12" spans="1:2">
      <c r="A12" t="s">
        <v>239</v>
      </c>
      <c r="B12">
        <f>Ventillation!H8</f>
        <v>12.928125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42b78f-55a9-44c7-b40e-ae9778fe4ee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8EA1FA9A9744DA548C6EB8BA1DB7D" ma:contentTypeVersion="10" ma:contentTypeDescription="Create a new document." ma:contentTypeScope="" ma:versionID="1fd4088c86be44d1fc569854438896cb">
  <xsd:schema xmlns:xsd="http://www.w3.org/2001/XMLSchema" xmlns:xs="http://www.w3.org/2001/XMLSchema" xmlns:p="http://schemas.microsoft.com/office/2006/metadata/properties" xmlns:ns3="b442b78f-55a9-44c7-b40e-ae9778fe4ee6" xmlns:ns4="9e413a52-656d-4992-acff-3d7c98edc487" targetNamespace="http://schemas.microsoft.com/office/2006/metadata/properties" ma:root="true" ma:fieldsID="c830544f3c993e3fc5db30c15e15ca93" ns3:_="" ns4:_="">
    <xsd:import namespace="b442b78f-55a9-44c7-b40e-ae9778fe4ee6"/>
    <xsd:import namespace="9e413a52-656d-4992-acff-3d7c98edc4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2b78f-55a9-44c7-b40e-ae9778fe4e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13a52-656d-4992-acff-3d7c98edc4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CBDCFD-9DA5-4734-832F-0DDF6A65603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9e413a52-656d-4992-acff-3d7c98edc487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442b78f-55a9-44c7-b40e-ae9778fe4ee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192285-E2B1-4837-A106-E8DB81B15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2b78f-55a9-44c7-b40e-ae9778fe4ee6"/>
    <ds:schemaRef ds:uri="9e413a52-656d-4992-acff-3d7c98edc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6C5A5-63FE-4249-85FC-3CBDACF19B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Room Dimensions</vt:lpstr>
      <vt:lpstr>Heat Data </vt:lpstr>
      <vt:lpstr>U values Downstairsn</vt:lpstr>
      <vt:lpstr>U values new</vt:lpstr>
      <vt:lpstr>U values Upstairs</vt:lpstr>
      <vt:lpstr>Uvalues and areas</vt:lpstr>
      <vt:lpstr>Final Data</vt:lpstr>
      <vt:lpstr>Ventillation</vt:lpstr>
      <vt:lpstr>Volumes</vt:lpstr>
    </vt:vector>
  </TitlesOfParts>
  <Manager/>
  <Company>University of Birmingham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Lumumba Assumani (MEng Chemical Engineering FT)</dc:creator>
  <cp:keywords/>
  <dc:description/>
  <cp:lastModifiedBy>Aadam Aflaq (MEng Chemic Eng w Ind Study FT)</cp:lastModifiedBy>
  <cp:revision/>
  <dcterms:created xsi:type="dcterms:W3CDTF">2024-01-31T13:42:30Z</dcterms:created>
  <dcterms:modified xsi:type="dcterms:W3CDTF">2024-02-11T23:18:10Z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0x010100FB18EA1FA9A9744DA548C6EB8BA1DB7D</vt:lpwstr>
  </property>
</Properties>
</file>