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1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akurde_liverpool_ac_uk/Documents/ENERGY and ENVIRONMENT/"/>
    </mc:Choice>
  </mc:AlternateContent>
  <xr:revisionPtr revIDLastSave="0" documentId="10_ncr:8_{C1F25A1D-99E3-4DDE-B345-AD6E7B3A5F2D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requirement" sheetId="7" r:id="rId1"/>
    <sheet name="daily requirement" sheetId="1" r:id="rId2"/>
    <sheet name="nuclear" sheetId="2" r:id="rId3"/>
    <sheet name="wind" sheetId="3" r:id="rId4"/>
    <sheet name="tidal barrage" sheetId="4" r:id="rId5"/>
    <sheet name="solar" sheetId="5" r:id="rId6"/>
    <sheet name="hydro" sheetId="6" r:id="rId7"/>
    <sheet name="Storage" sheetId="8" r:id="rId8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B18" i="4" l="1"/>
  <c r="F9" i="8"/>
  <c r="F10" i="8"/>
  <c r="E6" i="8"/>
  <c r="E3" i="8"/>
  <c r="I59" i="7"/>
  <c r="J59" i="7" s="1"/>
  <c r="F59" i="7"/>
  <c r="J58" i="7"/>
  <c r="I58" i="7"/>
  <c r="F58" i="7"/>
  <c r="J57" i="7"/>
  <c r="I57" i="7"/>
  <c r="F57" i="7"/>
  <c r="I56" i="7"/>
  <c r="I60" i="7" s="1"/>
  <c r="F56" i="7"/>
  <c r="I53" i="7"/>
  <c r="H53" i="7"/>
  <c r="J52" i="7"/>
  <c r="I52" i="7"/>
  <c r="I51" i="7"/>
  <c r="J51" i="7" s="1"/>
  <c r="I47" i="7"/>
  <c r="J47" i="7" s="1"/>
  <c r="F47" i="7"/>
  <c r="I46" i="7"/>
  <c r="J46" i="7" s="1"/>
  <c r="F46" i="7"/>
  <c r="F45" i="7"/>
  <c r="I45" i="7" s="1"/>
  <c r="F43" i="7"/>
  <c r="I43" i="7" s="1"/>
  <c r="J43" i="7" s="1"/>
  <c r="F42" i="7"/>
  <c r="I42" i="7" s="1"/>
  <c r="J42" i="7" s="1"/>
  <c r="I41" i="7"/>
  <c r="J41" i="7" s="1"/>
  <c r="J44" i="7" s="1"/>
  <c r="F41" i="7"/>
  <c r="Q39" i="7"/>
  <c r="R39" i="7" s="1"/>
  <c r="N39" i="7"/>
  <c r="F39" i="7"/>
  <c r="I39" i="7" s="1"/>
  <c r="J39" i="7" s="1"/>
  <c r="N38" i="7"/>
  <c r="Q38" i="7" s="1"/>
  <c r="R38" i="7" s="1"/>
  <c r="F38" i="7"/>
  <c r="I38" i="7" s="1"/>
  <c r="J38" i="7" s="1"/>
  <c r="Q37" i="7"/>
  <c r="Q40" i="7" s="1"/>
  <c r="N37" i="7"/>
  <c r="F37" i="7"/>
  <c r="I37" i="7" s="1"/>
  <c r="I35" i="7"/>
  <c r="J35" i="7" s="1"/>
  <c r="F35" i="7"/>
  <c r="F34" i="7"/>
  <c r="I34" i="7" s="1"/>
  <c r="J34" i="7" s="1"/>
  <c r="F33" i="7"/>
  <c r="I33" i="7" s="1"/>
  <c r="J28" i="7"/>
  <c r="J29" i="7" s="1"/>
  <c r="J27" i="7"/>
  <c r="J26" i="7"/>
  <c r="C23" i="7"/>
  <c r="C22" i="7"/>
  <c r="C21" i="7"/>
  <c r="J16" i="7"/>
  <c r="I16" i="7" s="1"/>
  <c r="I15" i="7"/>
  <c r="F14" i="7"/>
  <c r="F12" i="7"/>
  <c r="I12" i="7" s="1"/>
  <c r="J12" i="7" s="1"/>
  <c r="F11" i="7"/>
  <c r="I11" i="7" s="1"/>
  <c r="J11" i="7" s="1"/>
  <c r="F10" i="7"/>
  <c r="I10" i="7" s="1"/>
  <c r="J10" i="7" s="1"/>
  <c r="F9" i="7"/>
  <c r="I9" i="7" s="1"/>
  <c r="J9" i="7" s="1"/>
  <c r="D8" i="7"/>
  <c r="D7" i="7"/>
  <c r="F7" i="7" s="1"/>
  <c r="I7" i="7" s="1"/>
  <c r="J7" i="7" s="1"/>
  <c r="D6" i="7"/>
  <c r="F6" i="7" s="1"/>
  <c r="I6" i="7" s="1"/>
  <c r="J6" i="7" s="1"/>
  <c r="D5" i="7"/>
  <c r="F5" i="7" s="1"/>
  <c r="I5" i="7" s="1"/>
  <c r="J5" i="7" s="1"/>
  <c r="D4" i="7"/>
  <c r="F4" i="7" s="1"/>
  <c r="I4" i="7" s="1"/>
  <c r="J4" i="7" s="1"/>
  <c r="D3" i="7"/>
  <c r="F3" i="7" s="1"/>
  <c r="I3" i="7" s="1"/>
  <c r="J3" i="7" s="1"/>
  <c r="B10" i="6"/>
  <c r="B14" i="5"/>
  <c r="B13" i="5"/>
  <c r="D13" i="6"/>
  <c r="C15" i="4"/>
  <c r="G20" i="3"/>
  <c r="C15" i="3"/>
  <c r="D17" i="5"/>
  <c r="C21" i="5"/>
  <c r="B15" i="5" s="1"/>
  <c r="H11" i="5"/>
  <c r="C8" i="2"/>
  <c r="Q20" i="3"/>
  <c r="M20" i="3"/>
  <c r="C20" i="3"/>
  <c r="B17" i="5"/>
  <c r="J37" i="7" l="1"/>
  <c r="J40" i="7" s="1"/>
  <c r="I40" i="7"/>
  <c r="J33" i="7"/>
  <c r="J36" i="7" s="1"/>
  <c r="I36" i="7"/>
  <c r="I14" i="7" s="1"/>
  <c r="J45" i="7"/>
  <c r="J48" i="7" s="1"/>
  <c r="I48" i="7"/>
  <c r="J53" i="7"/>
  <c r="J15" i="7"/>
  <c r="J56" i="7"/>
  <c r="R37" i="7"/>
  <c r="R40" i="7" s="1"/>
  <c r="I8" i="7"/>
  <c r="I44" i="7"/>
  <c r="J13" i="7"/>
  <c r="I13" i="7" s="1"/>
  <c r="G10" i="6"/>
  <c r="F10" i="6"/>
  <c r="C11" i="4"/>
  <c r="C20" i="4"/>
  <c r="H11" i="4"/>
  <c r="H12" i="4" s="1"/>
  <c r="H13" i="4" s="1"/>
  <c r="H15" i="4" s="1"/>
  <c r="C22" i="3"/>
  <c r="E12" i="2"/>
  <c r="E14" i="2" s="1"/>
  <c r="E10" i="2"/>
  <c r="J14" i="7" l="1"/>
  <c r="J60" i="7"/>
  <c r="J8" i="7"/>
  <c r="J17" i="7" s="1"/>
  <c r="C24" i="3"/>
  <c r="C23" i="3"/>
  <c r="Q12" i="3"/>
  <c r="Q13" i="3" s="1"/>
  <c r="Q15" i="3" s="1"/>
  <c r="Q16" i="3" s="1"/>
  <c r="M12" i="3"/>
  <c r="M13" i="3" s="1"/>
  <c r="D13" i="5"/>
  <c r="G12" i="3"/>
  <c r="G13" i="3" s="1"/>
  <c r="G15" i="3" s="1"/>
  <c r="G16" i="3" s="1"/>
  <c r="C12" i="4"/>
  <c r="C12" i="3"/>
  <c r="C13" i="3" s="1"/>
  <c r="C13" i="4" l="1"/>
  <c r="B17" i="4" s="1"/>
  <c r="M15" i="3"/>
  <c r="M16" i="3" s="1"/>
  <c r="M17" i="3" s="1"/>
  <c r="M18" i="3" s="1"/>
  <c r="L8" i="3"/>
  <c r="B8" i="3"/>
  <c r="C16" i="3"/>
  <c r="C17" i="3" s="1"/>
  <c r="C18" i="3" s="1"/>
  <c r="Q77" i="1"/>
  <c r="Q79" i="1" s="1"/>
  <c r="Q69" i="1"/>
  <c r="Q71" i="1" s="1"/>
  <c r="F47" i="1"/>
  <c r="F48" i="1"/>
  <c r="F43" i="1"/>
  <c r="F50" i="1"/>
  <c r="N87" i="1"/>
  <c r="I87" i="1"/>
  <c r="C79" i="1"/>
  <c r="T38" i="1"/>
  <c r="T40" i="1" s="1"/>
  <c r="O87" i="1" l="1"/>
  <c r="B86" i="1"/>
  <c r="B85" i="1"/>
  <c r="B84" i="1"/>
  <c r="B83" i="1"/>
  <c r="D82" i="1"/>
  <c r="B82" i="1" s="1"/>
  <c r="B81" i="1"/>
  <c r="B80" i="1"/>
  <c r="B79" i="1"/>
  <c r="B78" i="1"/>
  <c r="B77" i="1"/>
  <c r="B76" i="1"/>
  <c r="D75" i="1"/>
  <c r="B75" i="1" s="1"/>
  <c r="B74" i="1"/>
  <c r="B73" i="1"/>
  <c r="B72" i="1"/>
  <c r="D71" i="1"/>
  <c r="B71" i="1" s="1"/>
  <c r="B70" i="1"/>
  <c r="B69" i="1"/>
  <c r="B68" i="1"/>
  <c r="B67" i="1"/>
  <c r="B66" i="1"/>
  <c r="B65" i="1"/>
  <c r="B64" i="1"/>
  <c r="B6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33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F33" i="1"/>
  <c r="F34" i="1"/>
  <c r="F35" i="1"/>
  <c r="F36" i="1"/>
  <c r="F37" i="1"/>
  <c r="F38" i="1"/>
  <c r="F39" i="1"/>
  <c r="F40" i="1"/>
  <c r="F41" i="1"/>
  <c r="F42" i="1"/>
  <c r="F44" i="1"/>
  <c r="F45" i="1"/>
  <c r="F46" i="1"/>
  <c r="F49" i="1"/>
  <c r="F51" i="1"/>
  <c r="F52" i="1"/>
  <c r="F53" i="1"/>
  <c r="F54" i="1"/>
  <c r="F55" i="1"/>
  <c r="F56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R57" i="1"/>
  <c r="O57" i="1"/>
  <c r="O58" i="1" s="1"/>
  <c r="K57" i="1"/>
  <c r="K58" i="1" s="1"/>
  <c r="G57" i="1"/>
  <c r="G58" i="1" s="1"/>
  <c r="C57" i="1"/>
  <c r="C58" i="1" s="1"/>
  <c r="U3" i="1"/>
  <c r="T3" i="1" s="1"/>
  <c r="O4" i="1"/>
  <c r="N4" i="1" s="1"/>
  <c r="O5" i="1"/>
  <c r="N5" i="1" s="1"/>
  <c r="O6" i="1"/>
  <c r="N6" i="1" s="1"/>
  <c r="O7" i="1"/>
  <c r="N7" i="1" s="1"/>
  <c r="O8" i="1"/>
  <c r="N8" i="1" s="1"/>
  <c r="O9" i="1"/>
  <c r="N9" i="1" s="1"/>
  <c r="O10" i="1"/>
  <c r="N10" i="1" s="1"/>
  <c r="O11" i="1"/>
  <c r="N11" i="1" s="1"/>
  <c r="O12" i="1"/>
  <c r="N12" i="1" s="1"/>
  <c r="O13" i="1"/>
  <c r="N13" i="1" s="1"/>
  <c r="O14" i="1"/>
  <c r="N14" i="1" s="1"/>
  <c r="O15" i="1"/>
  <c r="N15" i="1" s="1"/>
  <c r="O16" i="1"/>
  <c r="N16" i="1" s="1"/>
  <c r="O17" i="1"/>
  <c r="N17" i="1" s="1"/>
  <c r="O18" i="1"/>
  <c r="N18" i="1" s="1"/>
  <c r="O19" i="1"/>
  <c r="N19" i="1" s="1"/>
  <c r="O20" i="1"/>
  <c r="N20" i="1" s="1"/>
  <c r="O21" i="1"/>
  <c r="N21" i="1" s="1"/>
  <c r="O22" i="1"/>
  <c r="N22" i="1" s="1"/>
  <c r="O23" i="1"/>
  <c r="N23" i="1" s="1"/>
  <c r="O24" i="1"/>
  <c r="N24" i="1" s="1"/>
  <c r="O25" i="1"/>
  <c r="N25" i="1" s="1"/>
  <c r="O26" i="1"/>
  <c r="N26" i="1" s="1"/>
  <c r="U26" i="1"/>
  <c r="T26" i="1" s="1"/>
  <c r="I26" i="1"/>
  <c r="H26" i="1" s="1"/>
  <c r="C26" i="1"/>
  <c r="B26" i="1" s="1"/>
  <c r="U25" i="1"/>
  <c r="T25" i="1" s="1"/>
  <c r="I25" i="1"/>
  <c r="H25" i="1" s="1"/>
  <c r="C25" i="1"/>
  <c r="B25" i="1" s="1"/>
  <c r="U24" i="1"/>
  <c r="T24" i="1" s="1"/>
  <c r="I24" i="1"/>
  <c r="H24" i="1" s="1"/>
  <c r="C24" i="1"/>
  <c r="B24" i="1" s="1"/>
  <c r="U23" i="1"/>
  <c r="T23" i="1" s="1"/>
  <c r="I23" i="1"/>
  <c r="H23" i="1" s="1"/>
  <c r="C23" i="1"/>
  <c r="B23" i="1" s="1"/>
  <c r="U22" i="1"/>
  <c r="T22" i="1" s="1"/>
  <c r="I22" i="1"/>
  <c r="H22" i="1" s="1"/>
  <c r="C22" i="1"/>
  <c r="B22" i="1" s="1"/>
  <c r="U21" i="1"/>
  <c r="T21" i="1" s="1"/>
  <c r="I21" i="1"/>
  <c r="H21" i="1" s="1"/>
  <c r="C21" i="1"/>
  <c r="B21" i="1" s="1"/>
  <c r="U20" i="1"/>
  <c r="T20" i="1" s="1"/>
  <c r="I20" i="1"/>
  <c r="H20" i="1" s="1"/>
  <c r="C20" i="1"/>
  <c r="B20" i="1" s="1"/>
  <c r="U19" i="1"/>
  <c r="T19" i="1" s="1"/>
  <c r="I19" i="1"/>
  <c r="H19" i="1" s="1"/>
  <c r="C19" i="1"/>
  <c r="B19" i="1" s="1"/>
  <c r="U18" i="1"/>
  <c r="T18" i="1" s="1"/>
  <c r="I18" i="1"/>
  <c r="H18" i="1" s="1"/>
  <c r="C18" i="1"/>
  <c r="B18" i="1" s="1"/>
  <c r="U17" i="1"/>
  <c r="T17" i="1" s="1"/>
  <c r="I17" i="1"/>
  <c r="H17" i="1" s="1"/>
  <c r="C17" i="1"/>
  <c r="B17" i="1" s="1"/>
  <c r="U16" i="1"/>
  <c r="T16" i="1" s="1"/>
  <c r="I16" i="1"/>
  <c r="H16" i="1" s="1"/>
  <c r="C16" i="1"/>
  <c r="B16" i="1" s="1"/>
  <c r="U15" i="1"/>
  <c r="T15" i="1" s="1"/>
  <c r="I15" i="1"/>
  <c r="H15" i="1" s="1"/>
  <c r="C15" i="1"/>
  <c r="B15" i="1" s="1"/>
  <c r="U14" i="1"/>
  <c r="T14" i="1" s="1"/>
  <c r="I14" i="1"/>
  <c r="H14" i="1" s="1"/>
  <c r="C14" i="1"/>
  <c r="B14" i="1" s="1"/>
  <c r="U13" i="1"/>
  <c r="T13" i="1" s="1"/>
  <c r="I13" i="1"/>
  <c r="H13" i="1" s="1"/>
  <c r="C13" i="1"/>
  <c r="B13" i="1" s="1"/>
  <c r="U12" i="1"/>
  <c r="T12" i="1" s="1"/>
  <c r="I12" i="1"/>
  <c r="H12" i="1" s="1"/>
  <c r="C12" i="1"/>
  <c r="B12" i="1" s="1"/>
  <c r="U11" i="1"/>
  <c r="T11" i="1" s="1"/>
  <c r="I11" i="1"/>
  <c r="H11" i="1" s="1"/>
  <c r="C11" i="1"/>
  <c r="B11" i="1" s="1"/>
  <c r="U10" i="1"/>
  <c r="T10" i="1" s="1"/>
  <c r="I10" i="1"/>
  <c r="H10" i="1" s="1"/>
  <c r="C10" i="1"/>
  <c r="B10" i="1" s="1"/>
  <c r="U9" i="1"/>
  <c r="T9" i="1" s="1"/>
  <c r="I9" i="1"/>
  <c r="H9" i="1" s="1"/>
  <c r="C9" i="1"/>
  <c r="B9" i="1" s="1"/>
  <c r="U8" i="1"/>
  <c r="T8" i="1" s="1"/>
  <c r="I8" i="1"/>
  <c r="H8" i="1" s="1"/>
  <c r="C8" i="1"/>
  <c r="B8" i="1" s="1"/>
  <c r="U7" i="1"/>
  <c r="T7" i="1" s="1"/>
  <c r="I7" i="1"/>
  <c r="H7" i="1" s="1"/>
  <c r="C7" i="1"/>
  <c r="B7" i="1" s="1"/>
  <c r="U6" i="1"/>
  <c r="T6" i="1" s="1"/>
  <c r="I6" i="1"/>
  <c r="H6" i="1" s="1"/>
  <c r="C6" i="1"/>
  <c r="B6" i="1" s="1"/>
  <c r="U5" i="1"/>
  <c r="T5" i="1" s="1"/>
  <c r="I5" i="1"/>
  <c r="H5" i="1" s="1"/>
  <c r="C5" i="1"/>
  <c r="B5" i="1" s="1"/>
  <c r="U4" i="1"/>
  <c r="T4" i="1" s="1"/>
  <c r="I4" i="1"/>
  <c r="H4" i="1" s="1"/>
  <c r="C4" i="1"/>
  <c r="B4" i="1" s="1"/>
  <c r="K93" i="1" s="1"/>
  <c r="O3" i="1"/>
  <c r="I3" i="1"/>
  <c r="C3" i="1"/>
  <c r="B3" i="1" s="1"/>
  <c r="K111" i="1" l="1"/>
  <c r="S93" i="1"/>
  <c r="R93" i="1"/>
  <c r="K98" i="1"/>
  <c r="K110" i="1"/>
  <c r="K106" i="1"/>
  <c r="K114" i="1"/>
  <c r="K94" i="1"/>
  <c r="K95" i="1"/>
  <c r="K102" i="1"/>
  <c r="K99" i="1"/>
  <c r="K97" i="1"/>
  <c r="K109" i="1"/>
  <c r="K115" i="1"/>
  <c r="K107" i="1"/>
  <c r="K103" i="1"/>
  <c r="K96" i="1"/>
  <c r="K104" i="1"/>
  <c r="K108" i="1"/>
  <c r="K112" i="1"/>
  <c r="K100" i="1"/>
  <c r="Q114" i="1"/>
  <c r="K105" i="1"/>
  <c r="K101" i="1"/>
  <c r="K113" i="1"/>
  <c r="B57" i="1"/>
  <c r="J57" i="1"/>
  <c r="N57" i="1"/>
  <c r="B87" i="1"/>
  <c r="F57" i="1"/>
  <c r="T27" i="1"/>
  <c r="N3" i="1"/>
  <c r="N27" i="1" s="1"/>
  <c r="H3" i="1"/>
  <c r="H27" i="1" s="1"/>
  <c r="B27" i="1"/>
  <c r="I27" i="1"/>
  <c r="I28" i="1" s="1"/>
  <c r="U27" i="1"/>
  <c r="U28" i="1" s="1"/>
  <c r="O27" i="1"/>
  <c r="O28" i="1" s="1"/>
  <c r="C27" i="1"/>
  <c r="C28" i="1" s="1"/>
  <c r="S114" i="1" l="1"/>
  <c r="R114" i="1"/>
  <c r="R99" i="1"/>
  <c r="S99" i="1"/>
  <c r="S94" i="1"/>
  <c r="R94" i="1"/>
  <c r="S106" i="1"/>
  <c r="R106" i="1"/>
  <c r="R102" i="1"/>
  <c r="S102" i="1"/>
  <c r="R110" i="1"/>
  <c r="S110" i="1"/>
  <c r="R100" i="1"/>
  <c r="S100" i="1"/>
  <c r="R95" i="1"/>
  <c r="S95" i="1"/>
  <c r="R103" i="1"/>
  <c r="S103" i="1"/>
  <c r="Q110" i="1"/>
  <c r="R98" i="1"/>
  <c r="S98" i="1"/>
  <c r="R97" i="1"/>
  <c r="S97" i="1"/>
  <c r="R108" i="1"/>
  <c r="S108" i="1"/>
  <c r="R115" i="1"/>
  <c r="S115" i="1"/>
  <c r="S112" i="1"/>
  <c r="R112" i="1"/>
  <c r="R104" i="1"/>
  <c r="S104" i="1"/>
  <c r="R107" i="1"/>
  <c r="S107" i="1"/>
  <c r="S101" i="1"/>
  <c r="R101" i="1"/>
  <c r="Q98" i="1"/>
  <c r="R96" i="1"/>
  <c r="S96" i="1"/>
  <c r="R113" i="1"/>
  <c r="S113" i="1"/>
  <c r="S105" i="1"/>
  <c r="R105" i="1"/>
  <c r="R109" i="1"/>
  <c r="S109" i="1"/>
  <c r="Q111" i="1"/>
  <c r="S111" i="1"/>
  <c r="R111" i="1"/>
  <c r="Q99" i="1"/>
  <c r="Q95" i="1"/>
  <c r="Q106" i="1"/>
  <c r="Q102" i="1"/>
  <c r="Q93" i="1"/>
  <c r="Q94" i="1"/>
  <c r="Q108" i="1"/>
  <c r="Q104" i="1"/>
  <c r="Q96" i="1"/>
  <c r="Q112" i="1"/>
  <c r="Q103" i="1"/>
  <c r="Q115" i="1"/>
  <c r="K92" i="1"/>
  <c r="Q107" i="1"/>
  <c r="Q105" i="1"/>
  <c r="Q113" i="1"/>
  <c r="Q97" i="1"/>
  <c r="Q100" i="1"/>
  <c r="Q101" i="1"/>
  <c r="Q109" i="1"/>
  <c r="S92" i="1" l="1"/>
  <c r="R92" i="1"/>
  <c r="S116" i="1"/>
  <c r="R116" i="1"/>
  <c r="Q92" i="1"/>
  <c r="Q116" i="1" l="1"/>
  <c r="Q119" i="1"/>
  <c r="Q121" i="1"/>
</calcChain>
</file>

<file path=xl/sharedStrings.xml><?xml version="1.0" encoding="utf-8"?>
<sst xmlns="http://purl.oclc.org/ooxml/spreadsheetml/main" count="469" uniqueCount="232">
  <si>
    <t>Fridge</t>
  </si>
  <si>
    <t>Washing Machine</t>
  </si>
  <si>
    <t>Dyer</t>
  </si>
  <si>
    <t>Dishwasher</t>
  </si>
  <si>
    <t>Lighting</t>
  </si>
  <si>
    <t>Time</t>
  </si>
  <si>
    <t>Voltage (V)</t>
  </si>
  <si>
    <t>Current (A)</t>
  </si>
  <si>
    <t>For Household</t>
  </si>
  <si>
    <t>TV</t>
  </si>
  <si>
    <t>Laptop</t>
  </si>
  <si>
    <t>Charging Phone</t>
  </si>
  <si>
    <t>GWh</t>
  </si>
  <si>
    <t>Broadband</t>
  </si>
  <si>
    <t>Individual</t>
  </si>
  <si>
    <t>Services</t>
  </si>
  <si>
    <t>Cooking</t>
  </si>
  <si>
    <t>Total energy for Services per year (GWh)</t>
  </si>
  <si>
    <t>Days in year</t>
  </si>
  <si>
    <t>Total energy for Services per day (GWh)</t>
  </si>
  <si>
    <t>Transport</t>
  </si>
  <si>
    <t>Heating</t>
  </si>
  <si>
    <t>Total energy for Heating per year (GWh)</t>
  </si>
  <si>
    <t>Daily</t>
  </si>
  <si>
    <t>Services per Hour</t>
  </si>
  <si>
    <t>Per Month</t>
  </si>
  <si>
    <t>Dec</t>
  </si>
  <si>
    <t>Apr/Oct</t>
  </si>
  <si>
    <t>June</t>
  </si>
  <si>
    <t>Total without Heating and Lighting</t>
  </si>
  <si>
    <t>GW</t>
  </si>
  <si>
    <t>Total GW</t>
  </si>
  <si>
    <t>W</t>
  </si>
  <si>
    <t>Kettle (GW)</t>
  </si>
  <si>
    <t>Hobb (GW)</t>
  </si>
  <si>
    <t>Oven (GW)</t>
  </si>
  <si>
    <t>Microwave (GW)</t>
  </si>
  <si>
    <t>Combined Vehicals Charging (GW)</t>
  </si>
  <si>
    <t>GW (Dec-Feb)</t>
  </si>
  <si>
    <t>GW (Mar-May, Sep-Nov)</t>
  </si>
  <si>
    <t>GW (June-Aug)</t>
  </si>
  <si>
    <t>GW (Nov-Mar)</t>
  </si>
  <si>
    <t>GW (April-Oct)</t>
  </si>
  <si>
    <t>Days in winter when Heating is used</t>
  </si>
  <si>
    <t>Energy in winter for Heating per day (GWh)</t>
  </si>
  <si>
    <t>Days in summer when Heating is used</t>
  </si>
  <si>
    <t>Energy in summer for Heating per day (GWh)</t>
  </si>
  <si>
    <t>Heating Per Hour in Summer</t>
  </si>
  <si>
    <t>Heating Per Hour in Winter</t>
  </si>
  <si>
    <t>GW2</t>
  </si>
  <si>
    <t>GW3</t>
  </si>
  <si>
    <t>Reactor Type</t>
  </si>
  <si>
    <t>Manufacturer</t>
  </si>
  <si>
    <t>Output</t>
  </si>
  <si>
    <t>Refueling</t>
  </si>
  <si>
    <t>Framatome</t>
  </si>
  <si>
    <t>1.6GW electric</t>
  </si>
  <si>
    <t>36% efficient</t>
  </si>
  <si>
    <t>EPR advanced pressureised water reactor</t>
  </si>
  <si>
    <t>3-4 weeks, every 6 months</t>
  </si>
  <si>
    <t>https://www.framatome.com/EN/us_platform-793/framatome-u-s-flexible-fuel-cycle-solutions.html</t>
  </si>
  <si>
    <t>https://www.framatome.com/EN/businessnews-136/areva-np-large-projects--management-and-execution-of-nuclear-reactor-new-build-projects.html</t>
  </si>
  <si>
    <t>Avg</t>
  </si>
  <si>
    <t>Median</t>
  </si>
  <si>
    <t>Output Capacity</t>
  </si>
  <si>
    <t>Size of the Turbine</t>
  </si>
  <si>
    <t>Hub Height</t>
  </si>
  <si>
    <t>Dia (m)</t>
  </si>
  <si>
    <t>Expected Wind Speed</t>
  </si>
  <si>
    <t>8-10 m/s</t>
  </si>
  <si>
    <t>https://gis.seai.ie/wind/</t>
  </si>
  <si>
    <t>No of Turbines</t>
  </si>
  <si>
    <t>Power Efficiency (W)</t>
  </si>
  <si>
    <r>
      <t>Air Density (kg/m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</si>
  <si>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Area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</si>
  <si>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πd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/4</t>
    </r>
  </si>
  <si>
    <t>Power Ourput (W)</t>
  </si>
  <si>
    <t>Cp</t>
  </si>
  <si>
    <t>Min Tidal Range</t>
  </si>
  <si>
    <t>m</t>
  </si>
  <si>
    <t>Max Tidal Range</t>
  </si>
  <si>
    <t>Desnsity of Water</t>
  </si>
  <si>
    <t>g</t>
  </si>
  <si>
    <t>Area</t>
  </si>
  <si>
    <t>m2</t>
  </si>
  <si>
    <t>Tidal Range</t>
  </si>
  <si>
    <t>Energy</t>
  </si>
  <si>
    <t>J</t>
  </si>
  <si>
    <t xml:space="preserve">Avg Energy </t>
  </si>
  <si>
    <t>GWh per cycle</t>
  </si>
  <si>
    <t>GWh per day</t>
  </si>
  <si>
    <t>Area of Farm</t>
  </si>
  <si>
    <t>Panel Size</t>
  </si>
  <si>
    <t>Type of Solar</t>
  </si>
  <si>
    <t>Basin Area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</si>
  <si>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</si>
  <si>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kg/m^3</t>
  </si>
  <si>
    <t>m/s^2</t>
  </si>
  <si>
    <t>https://www.seai.ie/technologies/ocean-energy/ocean-energy-technologies/</t>
  </si>
  <si>
    <t>https://www.marine.ie/Home/site-area/infrastructure-facilities/ocean-energy/marine-renewable-energy-resource</t>
  </si>
  <si>
    <t>Output Speed (low)</t>
  </si>
  <si>
    <t>Output Speed (high)</t>
  </si>
  <si>
    <t>Power Efficiency (GW)</t>
  </si>
  <si>
    <t>150m</t>
  </si>
  <si>
    <t>Derate Factor</t>
  </si>
  <si>
    <t>Sun Hours in Summer</t>
  </si>
  <si>
    <t>Wh</t>
  </si>
  <si>
    <t>Panel Area</t>
  </si>
  <si>
    <t>https://www.siemensgamesa.com/products-and-services/onshore/wind-turbine-sg-4-7-155</t>
  </si>
  <si>
    <t>OnShore</t>
  </si>
  <si>
    <t>125m</t>
  </si>
  <si>
    <t>OffShore</t>
  </si>
  <si>
    <t>https://www.siemensgamesa.com/products-and-services/offshore/wind-turbine-sg-8-0-167-dd</t>
  </si>
  <si>
    <t>Min</t>
  </si>
  <si>
    <t>Max</t>
  </si>
  <si>
    <t>https://www.solarelectricsupply.com/rec360aa-360w-rec-alpha-black-solar-panel</t>
  </si>
  <si>
    <t>67.8x40</t>
  </si>
  <si>
    <t>inch</t>
  </si>
  <si>
    <t>REC Alpha</t>
  </si>
  <si>
    <t>Output Capcity per year</t>
  </si>
  <si>
    <t>1.6GW*24hr*335days</t>
  </si>
  <si>
    <t>% Energy Generated</t>
  </si>
  <si>
    <t>3202.6044/12864</t>
  </si>
  <si>
    <t>1.6*0.248958675</t>
  </si>
  <si>
    <t>Output Power Required</t>
  </si>
  <si>
    <t>Total (GW)</t>
  </si>
  <si>
    <t>70% for Onshore</t>
  </si>
  <si>
    <t>30% for Offshore</t>
  </si>
  <si>
    <t>GWh per year per turbine</t>
  </si>
  <si>
    <t>No of Turbines required</t>
  </si>
  <si>
    <t>10-12 m/s</t>
  </si>
  <si>
    <t>2 cycles per day</t>
  </si>
  <si>
    <t>Total per day</t>
  </si>
  <si>
    <t>No of Turbines implied</t>
  </si>
  <si>
    <t>Total</t>
  </si>
  <si>
    <r>
      <t>km</t>
    </r>
    <r>
      <rPr>
        <vertAlign val="superscript"/>
        <sz val="11"/>
        <color theme="1"/>
        <rFont val="Calibri"/>
        <family val="2"/>
        <scheme val="minor"/>
      </rPr>
      <t>2</t>
    </r>
  </si>
  <si>
    <t>5% of GW requirement</t>
  </si>
  <si>
    <t>Generator</t>
  </si>
  <si>
    <t>MW</t>
  </si>
  <si>
    <t>Fall (m)</t>
  </si>
  <si>
    <t>Flow m³/s</t>
  </si>
  <si>
    <t xml:space="preserve">Rainfall (mm) </t>
  </si>
  <si>
    <t>Catchment Area (km²)</t>
  </si>
  <si>
    <t>Ardnacrusha</t>
  </si>
  <si>
    <t>Erne - Cathleen's Falls</t>
  </si>
  <si>
    <t>Liffey - Pollaphuca</t>
  </si>
  <si>
    <t>Erne - Cliff</t>
  </si>
  <si>
    <t>Lee - Inniscara</t>
  </si>
  <si>
    <t>Lee - Carrigadrohid</t>
  </si>
  <si>
    <t>Total per year (GWh)</t>
  </si>
  <si>
    <t>25% of GWh requirement</t>
  </si>
  <si>
    <t>30% of Daily GWh requirement</t>
  </si>
  <si>
    <t>30% of GWh requirement</t>
  </si>
  <si>
    <t>Total (GWh)</t>
  </si>
  <si>
    <t>Annual energy per pannel</t>
  </si>
  <si>
    <t>No of Panels required</t>
  </si>
  <si>
    <t>Area required</t>
  </si>
  <si>
    <t>No of Panels Used</t>
  </si>
  <si>
    <t>Area utilised</t>
  </si>
  <si>
    <t>km2</t>
  </si>
  <si>
    <t>PV Panel Farm</t>
  </si>
  <si>
    <t>Capacity (GW)</t>
  </si>
  <si>
    <t>30% of 10675.348 GWh requirement</t>
  </si>
  <si>
    <t>5% of 10675.348 GWh requirement</t>
  </si>
  <si>
    <t>Month</t>
  </si>
  <si>
    <t>April</t>
  </si>
  <si>
    <t>May</t>
  </si>
  <si>
    <t>July</t>
  </si>
  <si>
    <t>Sept</t>
  </si>
  <si>
    <t>Aug</t>
  </si>
  <si>
    <t>https://weather-and-climate.com/average-monthly-hours-Sunshine,Dublin,Ireland</t>
  </si>
  <si>
    <t>https://dusac.org/divinginireland/tides/</t>
  </si>
  <si>
    <t>5% of GWh requirement</t>
  </si>
  <si>
    <t xml:space="preserve"> Annual output GWh </t>
  </si>
  <si>
    <t>New Output GWh</t>
  </si>
  <si>
    <t>Turbines</t>
  </si>
  <si>
    <t>Requiremnt</t>
  </si>
  <si>
    <t>Wattage (W)</t>
  </si>
  <si>
    <t>Time (hr) per day</t>
  </si>
  <si>
    <t>Wh/day</t>
  </si>
  <si>
    <t>People No.</t>
  </si>
  <si>
    <t>Quantity</t>
  </si>
  <si>
    <t>Total per day (GWh)</t>
  </si>
  <si>
    <t>Household</t>
  </si>
  <si>
    <t>Dryer</t>
  </si>
  <si>
    <t>varies</t>
  </si>
  <si>
    <t>Charging</t>
  </si>
  <si>
    <t xml:space="preserve"> </t>
  </si>
  <si>
    <t>Households</t>
  </si>
  <si>
    <t>Household Type</t>
  </si>
  <si>
    <t>House No.</t>
  </si>
  <si>
    <t>Single</t>
  </si>
  <si>
    <t>Couple</t>
  </si>
  <si>
    <t>Family</t>
  </si>
  <si>
    <t>GWh per year</t>
  </si>
  <si>
    <t>Hosehold type</t>
  </si>
  <si>
    <t>Watt</t>
  </si>
  <si>
    <t>Meal Type</t>
  </si>
  <si>
    <t>Kettle</t>
  </si>
  <si>
    <t>Breakfast</t>
  </si>
  <si>
    <t>Lunch</t>
  </si>
  <si>
    <t>Dinner</t>
  </si>
  <si>
    <t>Hobb</t>
  </si>
  <si>
    <t>Small - 1200W</t>
  </si>
  <si>
    <t>Single &amp; Couple</t>
  </si>
  <si>
    <t>Big - 1800W</t>
  </si>
  <si>
    <t>Oven</t>
  </si>
  <si>
    <t>Microwave</t>
  </si>
  <si>
    <t>km per charge</t>
  </si>
  <si>
    <t>Distance</t>
  </si>
  <si>
    <t>Charging Time (hr)</t>
  </si>
  <si>
    <t>Tesla Model 3</t>
  </si>
  <si>
    <t>Family and Couples</t>
  </si>
  <si>
    <t>Volkswagen e-Up</t>
  </si>
  <si>
    <t>Dec-Feb</t>
  </si>
  <si>
    <t>Mar-May</t>
  </si>
  <si>
    <t>Jun-Aug</t>
  </si>
  <si>
    <t>Sept-Nov</t>
  </si>
  <si>
    <t>Storage</t>
  </si>
  <si>
    <t xml:space="preserve">Excess Amount of energy Generated </t>
  </si>
  <si>
    <t>Pumped Storage</t>
  </si>
  <si>
    <t>Battery</t>
  </si>
  <si>
    <t>MWh</t>
  </si>
  <si>
    <t>Maximum Shortage if one of the supply fails</t>
  </si>
  <si>
    <t>... wind</t>
  </si>
  <si>
    <t>Maximum Power to Store</t>
  </si>
  <si>
    <t>Time period</t>
  </si>
  <si>
    <t>h</t>
  </si>
  <si>
    <t>Energy to be stored</t>
  </si>
  <si>
    <t>Storage Type</t>
  </si>
  <si>
    <t>%</t>
  </si>
  <si>
    <t>Amount to Store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</si>
</sst>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start/>
      <end/>
      <top/>
      <bottom/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2" fillId="3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2" borderId="1" xfId="1" applyFont="1"/>
    <xf numFmtId="0" fontId="5" fillId="0" borderId="0" xfId="2"/>
    <xf numFmtId="9" fontId="0" fillId="0" borderId="0" xfId="0" applyNumberFormat="1"/>
    <xf numFmtId="3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5" borderId="0" xfId="0" applyFont="1" applyFill="1"/>
    <xf numFmtId="0" fontId="1" fillId="6" borderId="0" xfId="0" applyFont="1" applyFill="1"/>
    <xf numFmtId="0" fontId="2" fillId="3" borderId="0" xfId="3"/>
    <xf numFmtId="0" fontId="1" fillId="3" borderId="0" xfId="3" applyFont="1"/>
    <xf numFmtId="0" fontId="1" fillId="7" borderId="0" xfId="0" applyFont="1" applyFill="1"/>
    <xf numFmtId="0" fontId="1" fillId="4" borderId="0" xfId="0" applyFont="1" applyFill="1"/>
    <xf numFmtId="0" fontId="0" fillId="0" borderId="0" xfId="0"/>
    <xf numFmtId="0" fontId="0" fillId="0" borderId="0" xfId="0" applyFill="1" applyBorder="1"/>
  </cellXfs>
  <cellStyles count="4">
    <cellStyle name="40% - Accent6" xfId="3" builtinId="51"/>
    <cellStyle name="Hyperlink" xfId="2" builtinId="8"/>
    <cellStyle name="Normal" xfId="0" builtinId="0"/>
    <cellStyle name="Note" xfId="1" builtinId="10"/>
  </cellStyles>
  <dxfs count="2">
    <dxf>
      <alignment horizontal="center" vertical="bottom" textRotation="0" wrapText="0" indent="0" justifyLastLine="0" shrinkToFit="0" readingOrder="0"/>
    </dxf>
    <dxf>
      <border>
        <start style="thin">
          <color auto="1"/>
        </start>
        <end style="thin">
          <color auto="1"/>
        </end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1" xr9:uid="{61F99847-358A-40D4-AEF0-2846D969C4D4}">
      <tableStyleElement type="wholeTabl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 Req in Winter</a:t>
            </a:r>
            <a:r>
              <a:rPr lang="en-GB" baseline="0%"/>
              <a:t> (Dec)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'daily requirement'!$Q$90:$S$90</c:f>
              <c:strCache>
                <c:ptCount val="1"/>
                <c:pt idx="0">
                  <c:v>GW GW2 GW3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07F-47B3-BEA7-E719B463E323}"/>
                </c:ext>
              </c:extLst>
            </c:dLbl>
            <c:dLbl>
              <c:idx val="1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07F-47B3-BEA7-E719B463E3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'daily requirement'!$P$92:$P$115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'daily requirement'!$Q$92:$Q$115</c:f>
              <c:numCache>
                <c:formatCode>General</c:formatCode>
                <c:ptCount val="24"/>
                <c:pt idx="0">
                  <c:v>2.062518300209951</c:v>
                </c:pt>
                <c:pt idx="1">
                  <c:v>2.062518300209951</c:v>
                </c:pt>
                <c:pt idx="2">
                  <c:v>1.6312683002099506</c:v>
                </c:pt>
                <c:pt idx="3">
                  <c:v>1.2291611573528078</c:v>
                </c:pt>
                <c:pt idx="4">
                  <c:v>1.2291611573528078</c:v>
                </c:pt>
                <c:pt idx="5">
                  <c:v>1.2291611573528078</c:v>
                </c:pt>
                <c:pt idx="6">
                  <c:v>1.4447861573528078</c:v>
                </c:pt>
                <c:pt idx="7">
                  <c:v>1.298161157352808</c:v>
                </c:pt>
                <c:pt idx="8">
                  <c:v>2.421661157352808</c:v>
                </c:pt>
                <c:pt idx="9">
                  <c:v>1.6649111573528079</c:v>
                </c:pt>
                <c:pt idx="10">
                  <c:v>1.0734169520547945</c:v>
                </c:pt>
                <c:pt idx="11">
                  <c:v>0.64216695205479457</c:v>
                </c:pt>
                <c:pt idx="12">
                  <c:v>2.3733919520547944</c:v>
                </c:pt>
                <c:pt idx="13">
                  <c:v>0.84424909491193745</c:v>
                </c:pt>
                <c:pt idx="14">
                  <c:v>1.0598740949119374</c:v>
                </c:pt>
                <c:pt idx="15">
                  <c:v>0.84424909491193745</c:v>
                </c:pt>
                <c:pt idx="16">
                  <c:v>0.69901695205479453</c:v>
                </c:pt>
                <c:pt idx="17">
                  <c:v>0.85329195205479469</c:v>
                </c:pt>
                <c:pt idx="18">
                  <c:v>1.9750361573528079</c:v>
                </c:pt>
                <c:pt idx="19">
                  <c:v>3.2594111573528077</c:v>
                </c:pt>
                <c:pt idx="20">
                  <c:v>1.543786157352808</c:v>
                </c:pt>
                <c:pt idx="21">
                  <c:v>1.3281611573528078</c:v>
                </c:pt>
                <c:pt idx="22">
                  <c:v>1.9750361573528079</c:v>
                </c:pt>
                <c:pt idx="23">
                  <c:v>2.1315183002099509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47-486A-B53E-44CD58F50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4619647"/>
        <c:axId val="1554616735"/>
      </c:lineChart>
      <c:catAx>
        <c:axId val="1554619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616735"/>
        <c:crosses val="autoZero"/>
        <c:auto val="1"/>
        <c:lblAlgn val="ctr"/>
        <c:lblOffset val="100"/>
        <c:noMultiLvlLbl val="0"/>
      </c:catAx>
      <c:valAx>
        <c:axId val="155461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619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 Req in Summer (June)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'daily requirement'!$Q$90:$S$90</c:f>
              <c:strCache>
                <c:ptCount val="1"/>
                <c:pt idx="0">
                  <c:v>GW GW2 GW3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0FA-443C-B0AA-8AF12DDFAABF}"/>
                </c:ext>
              </c:extLst>
            </c:dLbl>
            <c:dLbl>
              <c:idx val="1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0FA-443C-B0AA-8AF12DDFAA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'daily requirement'!$P$92:$P$115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'daily requirement'!$S$92:$S$115</c:f>
              <c:numCache>
                <c:formatCode>General</c:formatCode>
                <c:ptCount val="24"/>
                <c:pt idx="0">
                  <c:v>1.5808330067944476</c:v>
                </c:pt>
                <c:pt idx="1">
                  <c:v>1.5808330067944476</c:v>
                </c:pt>
                <c:pt idx="2">
                  <c:v>1.1495830067944475</c:v>
                </c:pt>
                <c:pt idx="3">
                  <c:v>0.74747586393730447</c:v>
                </c:pt>
                <c:pt idx="4">
                  <c:v>0.74747586393730447</c:v>
                </c:pt>
                <c:pt idx="5">
                  <c:v>0.42204195205479456</c:v>
                </c:pt>
                <c:pt idx="6">
                  <c:v>0.63766695205479451</c:v>
                </c:pt>
                <c:pt idx="7">
                  <c:v>0.42204195205479456</c:v>
                </c:pt>
                <c:pt idx="8">
                  <c:v>1.6145419520547946</c:v>
                </c:pt>
                <c:pt idx="9">
                  <c:v>0.85779195205479464</c:v>
                </c:pt>
                <c:pt idx="10">
                  <c:v>1.0734169520547945</c:v>
                </c:pt>
                <c:pt idx="11">
                  <c:v>0.64216695205479457</c:v>
                </c:pt>
                <c:pt idx="12">
                  <c:v>2.3733919520547944</c:v>
                </c:pt>
                <c:pt idx="13">
                  <c:v>0.84424909491193745</c:v>
                </c:pt>
                <c:pt idx="14">
                  <c:v>1.0598740949119374</c:v>
                </c:pt>
                <c:pt idx="15">
                  <c:v>0.84424909491193745</c:v>
                </c:pt>
                <c:pt idx="16">
                  <c:v>0.69901695205479453</c:v>
                </c:pt>
                <c:pt idx="17">
                  <c:v>0.85329195205479469</c:v>
                </c:pt>
                <c:pt idx="18">
                  <c:v>1.0989169520547946</c:v>
                </c:pt>
                <c:pt idx="19">
                  <c:v>2.3832919520547944</c:v>
                </c:pt>
                <c:pt idx="20">
                  <c:v>0.7366669520547946</c:v>
                </c:pt>
                <c:pt idx="21">
                  <c:v>0.52104195205479464</c:v>
                </c:pt>
                <c:pt idx="22">
                  <c:v>1.1679169520547945</c:v>
                </c:pt>
                <c:pt idx="23">
                  <c:v>1.5808330067944476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FA-443C-B0AA-8AF12DDFA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4619647"/>
        <c:axId val="1554616735"/>
      </c:lineChart>
      <c:catAx>
        <c:axId val="1554619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616735"/>
        <c:crosses val="autoZero"/>
        <c:auto val="1"/>
        <c:lblAlgn val="ctr"/>
        <c:lblOffset val="100"/>
        <c:noMultiLvlLbl val="0"/>
      </c:catAx>
      <c:valAx>
        <c:axId val="155461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619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8469</xdr:colOff>
      <xdr:row>116</xdr:row>
      <xdr:rowOff>4235</xdr:rowOff>
    </xdr:from>
    <xdr:to>
      <xdr:col>7</xdr:col>
      <xdr:colOff>414869</xdr:colOff>
      <xdr:row>130</xdr:row>
      <xdr:rowOff>139701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4E1B16-364E-46D8-8FA3-6FC74DD58C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9</xdr:col>
      <xdr:colOff>8466</xdr:colOff>
      <xdr:row>116</xdr:row>
      <xdr:rowOff>8468</xdr:rowOff>
    </xdr:from>
    <xdr:to>
      <xdr:col>15</xdr:col>
      <xdr:colOff>414866</xdr:colOff>
      <xdr:row>130</xdr:row>
      <xdr:rowOff>143934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7D5BC5-8927-4662-A0F5-CD1AA40ED8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1C2D8AFF-A321-4E81-A5EC-98E048E6B551}" name="Table1" displayName="Table1" ref="P90:S115" totalsRowShown="0" headerRowDxfId="0">
  <autoFilter ref="P90:S115" xr:uid="{1C2D8AFF-A321-4E81-A5EC-98E048E6B551}"/>
  <tableColumns count="4">
    <tableColumn id="1" xr3:uid="{3A11ADA3-B1F4-486F-A4DE-691C7BD2F775}" name="Per Month"/>
    <tableColumn id="2" xr3:uid="{A06A0A57-D8DD-43CF-8B19-C92ABB9BFBAA}" name="GW">
      <calculatedColumnFormula>B91+N62+K91</calculatedColumnFormula>
    </tableColumn>
    <tableColumn id="3" xr3:uid="{DEA0564A-7FC9-4962-943D-FEDAFC7D760E}" name="GW2">
      <calculatedColumnFormula>D91+K91+O62</calculatedColumnFormula>
    </tableColumn>
    <tableColumn id="4" xr3:uid="{88317B90-F13B-4752-8ECB-DD9A43FC7951}" name="GW3">
      <calculatedColumnFormula>F91+K91+O62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table" Target="../tables/table1.x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hyperlink" Target="https://www.framatome.com/EN/us_platform-793/framatome-u-s-flexible-fuel-cycle-solutions.html" TargetMode="External"/><Relationship Id="rId1" Type="http://purl.oclc.org/ooxml/officeDocument/relationships/hyperlink" Target="https://www.framatome.com/EN/businessnews-136/areva-np-large-projects--management-and-execution-of-nuclear-reactor-new-build-projects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purl.oclc.org/ooxml/officeDocument/relationships/hyperlink" Target="https://www.siemensgamesa.com/products-and-services/offshore/wind-turbine-sg-8-0-167-dd" TargetMode="External"/><Relationship Id="rId2" Type="http://purl.oclc.org/ooxml/officeDocument/relationships/hyperlink" Target="https://gis.seai.ie/wind/" TargetMode="External"/><Relationship Id="rId1" Type="http://purl.oclc.org/ooxml/officeDocument/relationships/hyperlink" Target="https://gis.seai.ie/wind/" TargetMode="External"/><Relationship Id="rId4" Type="http://purl.oclc.org/ooxml/officeDocument/relationships/hyperlink" Target="https://www.siemensgamesa.com/products-and-services/onshore/wind-turbine-sg-4-7-155" TargetMode="Externa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purl.oclc.org/ooxml/officeDocument/relationships/hyperlink" Target="https://weather-and-climate.com/average-monthly-hours-Sunshine,Dublin,Ireland" TargetMode="External"/><Relationship Id="rId1" Type="http://purl.oclc.org/ooxml/officeDocument/relationships/hyperlink" Target="https://www.solarelectricsupply.com/rec360aa-360w-rec-alpha-black-solar-panel" TargetMode="Externa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D536-A2CF-4F70-A14D-1455D295009E}">
  <dimension ref="A2:R60"/>
  <sheetViews>
    <sheetView topLeftCell="A19" zoomScale="70" zoomScaleNormal="70" workbookViewId="0">
      <selection activeCell="N54" sqref="N54"/>
    </sheetView>
  </sheetViews>
  <sheetFormatPr defaultColWidth="11.77734375" defaultRowHeight="14.4" x14ac:dyDescent="0.3"/>
  <cols>
    <col min="1" max="1" width="16.109375" style="4" customWidth="1"/>
    <col min="2" max="9" width="11.77734375" style="4"/>
    <col min="10" max="10" width="15.109375" style="4" customWidth="1"/>
    <col min="11" max="16384" width="11.77734375" style="4"/>
  </cols>
  <sheetData>
    <row r="2" spans="1:10" s="1" customFormat="1" x14ac:dyDescent="0.3">
      <c r="A2" s="1" t="s">
        <v>176</v>
      </c>
      <c r="B2" s="1" t="s">
        <v>6</v>
      </c>
      <c r="C2" s="1" t="s">
        <v>7</v>
      </c>
      <c r="D2" s="1" t="s">
        <v>177</v>
      </c>
      <c r="E2" s="1" t="s">
        <v>178</v>
      </c>
      <c r="F2" s="1" t="s">
        <v>179</v>
      </c>
      <c r="G2" s="1" t="s">
        <v>180</v>
      </c>
      <c r="H2" s="1" t="s">
        <v>181</v>
      </c>
      <c r="I2" s="1" t="s">
        <v>182</v>
      </c>
      <c r="J2" s="1" t="s">
        <v>149</v>
      </c>
    </row>
    <row r="3" spans="1:10" x14ac:dyDescent="0.3">
      <c r="A3" s="4" t="s">
        <v>0</v>
      </c>
      <c r="B3" s="4">
        <v>230</v>
      </c>
      <c r="C3" s="4">
        <v>5</v>
      </c>
      <c r="D3" s="4">
        <f>B3*C3</f>
        <v>1150</v>
      </c>
      <c r="E3" s="4">
        <v>15</v>
      </c>
      <c r="F3" s="4">
        <f>D3*E3</f>
        <v>17250</v>
      </c>
      <c r="G3" s="4" t="s">
        <v>183</v>
      </c>
      <c r="H3" s="4">
        <v>187500</v>
      </c>
      <c r="I3" s="4">
        <f>(F3*H3)/1000000000</f>
        <v>3.234375</v>
      </c>
      <c r="J3" s="4">
        <f>I3*365</f>
        <v>1180.546875</v>
      </c>
    </row>
    <row r="4" spans="1:10" x14ac:dyDescent="0.3">
      <c r="B4" s="4">
        <v>230</v>
      </c>
      <c r="C4" s="4">
        <v>10</v>
      </c>
      <c r="D4" s="4">
        <f t="shared" ref="D4:D8" si="0">B4*C4</f>
        <v>2300</v>
      </c>
      <c r="E4" s="4">
        <v>9</v>
      </c>
      <c r="F4" s="4">
        <f t="shared" ref="F4:F12" si="1">D4*E4</f>
        <v>20700</v>
      </c>
      <c r="G4" s="4" t="s">
        <v>183</v>
      </c>
      <c r="H4" s="4">
        <v>187500</v>
      </c>
      <c r="I4" s="4">
        <f t="shared" ref="I4:I11" si="2">(F4*H4)/1000000000</f>
        <v>3.8812500000000001</v>
      </c>
      <c r="J4" s="4">
        <f t="shared" ref="J4:J11" si="3">I4*365</f>
        <v>1416.65625</v>
      </c>
    </row>
    <row r="5" spans="1:10" x14ac:dyDescent="0.3">
      <c r="A5" s="4" t="s">
        <v>1</v>
      </c>
      <c r="B5" s="4">
        <v>230</v>
      </c>
      <c r="C5" s="4">
        <v>10</v>
      </c>
      <c r="D5" s="4">
        <f t="shared" si="0"/>
        <v>2300</v>
      </c>
      <c r="E5" s="4">
        <v>2</v>
      </c>
      <c r="F5" s="4">
        <f t="shared" si="1"/>
        <v>4600</v>
      </c>
      <c r="G5" s="4" t="s">
        <v>183</v>
      </c>
      <c r="H5" s="4">
        <v>187500</v>
      </c>
      <c r="I5" s="4">
        <f t="shared" si="2"/>
        <v>0.86250000000000004</v>
      </c>
      <c r="J5" s="4">
        <f t="shared" si="3"/>
        <v>314.8125</v>
      </c>
    </row>
    <row r="6" spans="1:10" x14ac:dyDescent="0.3">
      <c r="A6" s="4" t="s">
        <v>184</v>
      </c>
      <c r="B6" s="4">
        <v>230</v>
      </c>
      <c r="C6" s="4">
        <v>10</v>
      </c>
      <c r="D6" s="4">
        <f t="shared" si="0"/>
        <v>2300</v>
      </c>
      <c r="E6" s="4">
        <v>3</v>
      </c>
      <c r="F6" s="4">
        <f t="shared" si="1"/>
        <v>6900</v>
      </c>
      <c r="G6" s="4" t="s">
        <v>183</v>
      </c>
      <c r="H6" s="4">
        <v>187500</v>
      </c>
      <c r="I6" s="4">
        <f t="shared" si="2"/>
        <v>1.29375</v>
      </c>
      <c r="J6" s="4">
        <f>I6*365</f>
        <v>472.21875</v>
      </c>
    </row>
    <row r="7" spans="1:10" x14ac:dyDescent="0.3">
      <c r="A7" s="4" t="s">
        <v>3</v>
      </c>
      <c r="B7" s="4">
        <v>230</v>
      </c>
      <c r="C7" s="4">
        <v>10</v>
      </c>
      <c r="D7" s="4">
        <f t="shared" si="0"/>
        <v>2300</v>
      </c>
      <c r="E7" s="4">
        <v>1.25</v>
      </c>
      <c r="F7" s="4">
        <f t="shared" si="1"/>
        <v>2875</v>
      </c>
      <c r="G7" s="4" t="s">
        <v>183</v>
      </c>
      <c r="H7" s="4">
        <v>187500</v>
      </c>
      <c r="I7" s="4">
        <f t="shared" si="2"/>
        <v>0.5390625</v>
      </c>
      <c r="J7" s="4">
        <f t="shared" si="3"/>
        <v>196.7578125</v>
      </c>
    </row>
    <row r="8" spans="1:10" x14ac:dyDescent="0.3">
      <c r="A8" s="12" t="s">
        <v>4</v>
      </c>
      <c r="B8" s="12">
        <v>230</v>
      </c>
      <c r="C8" s="12">
        <v>1</v>
      </c>
      <c r="D8" s="12">
        <f t="shared" si="0"/>
        <v>230</v>
      </c>
      <c r="E8" s="12" t="s">
        <v>185</v>
      </c>
      <c r="F8" s="12">
        <v>5750</v>
      </c>
      <c r="G8" s="12" t="s">
        <v>14</v>
      </c>
      <c r="H8" s="12">
        <v>300000</v>
      </c>
      <c r="I8" s="12">
        <f>SUM(I56:I59)</f>
        <v>1.38</v>
      </c>
      <c r="J8" s="12">
        <f>SUM(J56:J59)</f>
        <v>100.87799999999999</v>
      </c>
    </row>
    <row r="9" spans="1:10" x14ac:dyDescent="0.3">
      <c r="A9" s="4" t="s">
        <v>13</v>
      </c>
      <c r="D9" s="4">
        <v>5</v>
      </c>
      <c r="E9" s="4">
        <v>24</v>
      </c>
      <c r="F9" s="4">
        <f t="shared" si="1"/>
        <v>120</v>
      </c>
      <c r="G9" s="4" t="s">
        <v>183</v>
      </c>
      <c r="H9" s="4">
        <v>187500</v>
      </c>
      <c r="I9" s="4">
        <f t="shared" si="2"/>
        <v>2.2499999999999999E-2</v>
      </c>
      <c r="J9" s="4">
        <f t="shared" si="3"/>
        <v>8.2125000000000004</v>
      </c>
    </row>
    <row r="10" spans="1:10" x14ac:dyDescent="0.3">
      <c r="A10" s="4" t="s">
        <v>9</v>
      </c>
      <c r="D10" s="4">
        <v>100</v>
      </c>
      <c r="E10" s="4">
        <v>5</v>
      </c>
      <c r="F10" s="4">
        <f t="shared" si="1"/>
        <v>500</v>
      </c>
      <c r="G10" s="4" t="s">
        <v>14</v>
      </c>
      <c r="H10" s="4">
        <v>300000</v>
      </c>
      <c r="I10" s="4">
        <f t="shared" si="2"/>
        <v>0.15</v>
      </c>
      <c r="J10" s="4">
        <f t="shared" si="3"/>
        <v>54.75</v>
      </c>
    </row>
    <row r="11" spans="1:10" x14ac:dyDescent="0.3">
      <c r="A11" s="4" t="s">
        <v>10</v>
      </c>
      <c r="D11" s="4">
        <v>67</v>
      </c>
      <c r="E11" s="4">
        <v>5</v>
      </c>
      <c r="F11" s="4">
        <f t="shared" si="1"/>
        <v>335</v>
      </c>
      <c r="G11" s="4" t="s">
        <v>14</v>
      </c>
      <c r="H11" s="4">
        <v>300000</v>
      </c>
      <c r="I11" s="4">
        <f t="shared" si="2"/>
        <v>0.10050000000000001</v>
      </c>
      <c r="J11" s="4">
        <f t="shared" si="3"/>
        <v>36.682500000000005</v>
      </c>
    </row>
    <row r="12" spans="1:10" x14ac:dyDescent="0.3">
      <c r="A12" s="4" t="s">
        <v>186</v>
      </c>
      <c r="D12" s="4">
        <v>15</v>
      </c>
      <c r="E12" s="4">
        <v>3</v>
      </c>
      <c r="F12" s="4">
        <f t="shared" si="1"/>
        <v>45</v>
      </c>
      <c r="G12" s="4" t="s">
        <v>14</v>
      </c>
      <c r="H12" s="4">
        <v>300000</v>
      </c>
      <c r="I12" s="4">
        <f>(F12*H12)/1000000000</f>
        <v>1.35E-2</v>
      </c>
      <c r="J12" s="4">
        <f>I12*365</f>
        <v>4.9275000000000002</v>
      </c>
    </row>
    <row r="13" spans="1:10" x14ac:dyDescent="0.3">
      <c r="A13" s="13" t="s">
        <v>21</v>
      </c>
      <c r="B13" s="13"/>
      <c r="C13" s="13"/>
      <c r="D13" s="13" t="s">
        <v>185</v>
      </c>
      <c r="E13" s="13" t="s">
        <v>185</v>
      </c>
      <c r="F13" s="13"/>
      <c r="G13" s="13" t="s">
        <v>183</v>
      </c>
      <c r="H13" s="13">
        <v>187500</v>
      </c>
      <c r="I13" s="13">
        <f>J13/365</f>
        <v>6.6780821917808222</v>
      </c>
      <c r="J13" s="13">
        <f>J26+J27+J28</f>
        <v>2437.5</v>
      </c>
    </row>
    <row r="14" spans="1:10" x14ac:dyDescent="0.3">
      <c r="A14" s="14" t="s">
        <v>16</v>
      </c>
      <c r="B14" s="14"/>
      <c r="C14" s="14"/>
      <c r="D14" s="14" t="s">
        <v>185</v>
      </c>
      <c r="E14" s="14" t="s">
        <v>185</v>
      </c>
      <c r="F14" s="14">
        <f>F36+F40+F44+N40</f>
        <v>0</v>
      </c>
      <c r="G14" s="14" t="s">
        <v>183</v>
      </c>
      <c r="H14" s="14">
        <v>187500</v>
      </c>
      <c r="I14" s="14">
        <f>I36+I40+Q40+I44+I48</f>
        <v>4.4493749999999999</v>
      </c>
      <c r="J14" s="14">
        <f>J36+J40+R40+J44+J48</f>
        <v>1624.0218750000001</v>
      </c>
    </row>
    <row r="15" spans="1:10" x14ac:dyDescent="0.3">
      <c r="A15" s="15" t="s">
        <v>20</v>
      </c>
      <c r="B15" s="15"/>
      <c r="C15" s="15"/>
      <c r="D15" s="15" t="s">
        <v>185</v>
      </c>
      <c r="E15" s="15" t="s">
        <v>185</v>
      </c>
      <c r="F15" s="15"/>
      <c r="G15" s="15" t="s">
        <v>183</v>
      </c>
      <c r="H15" s="15">
        <v>67500</v>
      </c>
      <c r="I15" s="15">
        <f>SUM(I51:I52)</f>
        <v>2.8147500000000001</v>
      </c>
      <c r="J15" s="15">
        <f>J51+J52</f>
        <v>1027.38375</v>
      </c>
    </row>
    <row r="16" spans="1:10" x14ac:dyDescent="0.3">
      <c r="A16" s="4" t="s">
        <v>15</v>
      </c>
      <c r="F16" s="4">
        <v>6000000</v>
      </c>
      <c r="G16" s="4" t="s">
        <v>14</v>
      </c>
      <c r="H16" s="4">
        <v>300000</v>
      </c>
      <c r="I16" s="4">
        <f>J16/365</f>
        <v>4.9315068493150687</v>
      </c>
      <c r="J16" s="4">
        <f>(F16*H16)/1000000000</f>
        <v>1800</v>
      </c>
    </row>
    <row r="17" spans="1:10" x14ac:dyDescent="0.3">
      <c r="C17" s="4" t="s">
        <v>187</v>
      </c>
      <c r="I17" s="1"/>
      <c r="J17" s="1">
        <f>SUM(J3:J16)</f>
        <v>10675.3483125</v>
      </c>
    </row>
    <row r="18" spans="1:10" x14ac:dyDescent="0.3">
      <c r="A18" s="1" t="s">
        <v>188</v>
      </c>
    </row>
    <row r="19" spans="1:10" x14ac:dyDescent="0.3">
      <c r="A19" s="4" t="s">
        <v>189</v>
      </c>
      <c r="B19" s="4" t="s">
        <v>180</v>
      </c>
      <c r="C19" s="4" t="s">
        <v>190</v>
      </c>
    </row>
    <row r="20" spans="1:10" x14ac:dyDescent="0.3">
      <c r="A20" s="4" t="s">
        <v>191</v>
      </c>
      <c r="B20" s="4">
        <v>120000</v>
      </c>
      <c r="C20" s="4">
        <v>120000</v>
      </c>
    </row>
    <row r="21" spans="1:10" x14ac:dyDescent="0.3">
      <c r="A21" s="4" t="s">
        <v>192</v>
      </c>
      <c r="B21" s="4">
        <v>90000</v>
      </c>
      <c r="C21" s="4">
        <f>B21/2</f>
        <v>45000</v>
      </c>
    </row>
    <row r="22" spans="1:10" x14ac:dyDescent="0.3">
      <c r="A22" s="4" t="s">
        <v>193</v>
      </c>
      <c r="B22" s="4">
        <v>90000</v>
      </c>
      <c r="C22" s="4">
        <f>B22/4</f>
        <v>22500</v>
      </c>
    </row>
    <row r="23" spans="1:10" x14ac:dyDescent="0.3">
      <c r="C23" s="1">
        <f>SUM(C20:C22)</f>
        <v>187500</v>
      </c>
    </row>
    <row r="24" spans="1:10" x14ac:dyDescent="0.3">
      <c r="C24" s="1"/>
    </row>
    <row r="25" spans="1:10" x14ac:dyDescent="0.3">
      <c r="A25" s="16" t="s">
        <v>21</v>
      </c>
      <c r="B25" s="13"/>
      <c r="C25" s="13"/>
      <c r="D25" s="13"/>
      <c r="E25" s="13"/>
      <c r="F25" s="13" t="s">
        <v>194</v>
      </c>
      <c r="G25" s="13" t="s">
        <v>195</v>
      </c>
      <c r="H25" s="13" t="s">
        <v>181</v>
      </c>
      <c r="I25" s="13"/>
      <c r="J25" s="13" t="s">
        <v>149</v>
      </c>
    </row>
    <row r="26" spans="1:10" x14ac:dyDescent="0.3">
      <c r="A26" s="13"/>
      <c r="B26" s="13"/>
      <c r="C26" s="13"/>
      <c r="D26" s="13"/>
      <c r="E26" s="13"/>
      <c r="F26" s="13">
        <v>0.01</v>
      </c>
      <c r="G26" s="13" t="s">
        <v>191</v>
      </c>
      <c r="H26" s="13">
        <v>120000</v>
      </c>
      <c r="I26" s="13"/>
      <c r="J26" s="13">
        <f>H26*F26</f>
        <v>1200</v>
      </c>
    </row>
    <row r="27" spans="1:10" x14ac:dyDescent="0.3">
      <c r="A27" s="13"/>
      <c r="B27" s="13"/>
      <c r="C27" s="13"/>
      <c r="D27" s="13"/>
      <c r="E27" s="13"/>
      <c r="F27" s="13">
        <v>1.4999999999999999E-2</v>
      </c>
      <c r="G27" s="13" t="s">
        <v>192</v>
      </c>
      <c r="H27" s="13">
        <v>45000</v>
      </c>
      <c r="I27" s="13"/>
      <c r="J27" s="13">
        <f t="shared" ref="J27:J28" si="4">H27*F27</f>
        <v>675</v>
      </c>
    </row>
    <row r="28" spans="1:10" x14ac:dyDescent="0.3">
      <c r="A28" s="13"/>
      <c r="B28" s="13"/>
      <c r="C28" s="13"/>
      <c r="D28" s="13"/>
      <c r="E28" s="13"/>
      <c r="F28" s="13">
        <v>2.5000000000000001E-2</v>
      </c>
      <c r="G28" s="13" t="s">
        <v>193</v>
      </c>
      <c r="H28" s="13">
        <v>22500</v>
      </c>
      <c r="I28" s="13"/>
      <c r="J28" s="13">
        <f t="shared" si="4"/>
        <v>562.5</v>
      </c>
    </row>
    <row r="29" spans="1:10" x14ac:dyDescent="0.3">
      <c r="A29" s="13"/>
      <c r="B29" s="13"/>
      <c r="C29" s="13"/>
      <c r="D29" s="13"/>
      <c r="E29" s="13"/>
      <c r="F29" s="13"/>
      <c r="G29" s="13"/>
      <c r="H29" s="13"/>
      <c r="I29" s="13"/>
      <c r="J29" s="16">
        <f>SUM(J26:J28)</f>
        <v>2437.5</v>
      </c>
    </row>
    <row r="30" spans="1:10" x14ac:dyDescent="0.3">
      <c r="C30" s="1"/>
    </row>
    <row r="31" spans="1:10" x14ac:dyDescent="0.3">
      <c r="A31" s="17" t="s">
        <v>16</v>
      </c>
      <c r="B31" s="14"/>
      <c r="C31" s="14"/>
      <c r="D31" s="14" t="s">
        <v>196</v>
      </c>
      <c r="E31" s="14" t="s">
        <v>178</v>
      </c>
      <c r="F31" s="14" t="s">
        <v>179</v>
      </c>
      <c r="G31" s="14" t="s">
        <v>180</v>
      </c>
      <c r="H31" s="14" t="s">
        <v>181</v>
      </c>
      <c r="I31" s="14" t="s">
        <v>182</v>
      </c>
      <c r="J31" s="14" t="s">
        <v>182</v>
      </c>
    </row>
    <row r="32" spans="1:10" x14ac:dyDescent="0.3">
      <c r="A32" s="14" t="s">
        <v>197</v>
      </c>
      <c r="B32" s="14"/>
      <c r="C32" s="14"/>
      <c r="D32" s="17" t="s">
        <v>198</v>
      </c>
      <c r="E32" s="14"/>
      <c r="F32" s="14"/>
      <c r="G32" s="14"/>
      <c r="H32" s="14"/>
      <c r="I32" s="14"/>
      <c r="J32" s="14"/>
    </row>
    <row r="33" spans="1:18" x14ac:dyDescent="0.3">
      <c r="A33" s="14" t="s">
        <v>199</v>
      </c>
      <c r="B33" s="14"/>
      <c r="C33" s="14"/>
      <c r="D33" s="14">
        <v>2200</v>
      </c>
      <c r="E33" s="14">
        <v>0.05</v>
      </c>
      <c r="F33" s="14">
        <f>D33*E33</f>
        <v>110</v>
      </c>
      <c r="G33" s="14" t="s">
        <v>183</v>
      </c>
      <c r="H33" s="14">
        <v>187500</v>
      </c>
      <c r="I33" s="14">
        <f>(F33*H33)/1000000000</f>
        <v>2.0625000000000001E-2</v>
      </c>
      <c r="J33" s="14">
        <f>I33*365</f>
        <v>7.5281250000000002</v>
      </c>
    </row>
    <row r="34" spans="1:18" x14ac:dyDescent="0.3">
      <c r="A34" s="14" t="s">
        <v>200</v>
      </c>
      <c r="B34" s="14"/>
      <c r="C34" s="14"/>
      <c r="D34" s="14">
        <v>2200</v>
      </c>
      <c r="E34" s="14">
        <v>0.05</v>
      </c>
      <c r="F34" s="14">
        <f t="shared" ref="F34:F39" si="5">D34*E34</f>
        <v>110</v>
      </c>
      <c r="G34" s="14" t="s">
        <v>183</v>
      </c>
      <c r="H34" s="14">
        <v>187500</v>
      </c>
      <c r="I34" s="14">
        <f t="shared" ref="I34:I35" si="6">(F34*H34)/1000000000</f>
        <v>2.0625000000000001E-2</v>
      </c>
      <c r="J34" s="14">
        <f t="shared" ref="J34:J35" si="7">I34*365</f>
        <v>7.5281250000000002</v>
      </c>
    </row>
    <row r="35" spans="1:18" x14ac:dyDescent="0.3">
      <c r="A35" s="14" t="s">
        <v>201</v>
      </c>
      <c r="B35" s="14"/>
      <c r="C35" s="14"/>
      <c r="D35" s="14">
        <v>2200</v>
      </c>
      <c r="E35" s="14">
        <v>0.05</v>
      </c>
      <c r="F35" s="14">
        <f t="shared" si="5"/>
        <v>110</v>
      </c>
      <c r="G35" s="14" t="s">
        <v>183</v>
      </c>
      <c r="H35" s="14">
        <v>187500</v>
      </c>
      <c r="I35" s="14">
        <f t="shared" si="6"/>
        <v>2.0625000000000001E-2</v>
      </c>
      <c r="J35" s="14">
        <f t="shared" si="7"/>
        <v>7.5281250000000002</v>
      </c>
    </row>
    <row r="36" spans="1:18" x14ac:dyDescent="0.3">
      <c r="A36" s="14" t="s">
        <v>197</v>
      </c>
      <c r="B36" s="14"/>
      <c r="C36" s="14"/>
      <c r="D36" s="17" t="s">
        <v>202</v>
      </c>
      <c r="E36" s="14"/>
      <c r="F36" s="17"/>
      <c r="G36" s="14"/>
      <c r="H36" s="14"/>
      <c r="I36" s="17">
        <f>SUM(I33:I35)</f>
        <v>6.1874999999999999E-2</v>
      </c>
      <c r="J36" s="17">
        <f>SUM(J33:J35)</f>
        <v>22.584375000000001</v>
      </c>
      <c r="K36" s="14"/>
      <c r="L36" s="18" t="s">
        <v>196</v>
      </c>
      <c r="M36" s="18" t="s">
        <v>178</v>
      </c>
      <c r="N36" s="18" t="s">
        <v>179</v>
      </c>
      <c r="O36" s="18" t="s">
        <v>180</v>
      </c>
      <c r="P36" s="18" t="s">
        <v>181</v>
      </c>
      <c r="Q36" s="18" t="s">
        <v>182</v>
      </c>
      <c r="R36" s="18" t="s">
        <v>149</v>
      </c>
    </row>
    <row r="37" spans="1:18" x14ac:dyDescent="0.3">
      <c r="A37" s="14" t="s">
        <v>199</v>
      </c>
      <c r="B37" s="14"/>
      <c r="C37" s="14" t="s">
        <v>203</v>
      </c>
      <c r="D37" s="14">
        <v>3000</v>
      </c>
      <c r="E37" s="14">
        <v>0.5</v>
      </c>
      <c r="F37" s="14">
        <f t="shared" si="5"/>
        <v>1500</v>
      </c>
      <c r="G37" s="14" t="s">
        <v>204</v>
      </c>
      <c r="H37" s="14">
        <v>165000</v>
      </c>
      <c r="I37" s="14">
        <f>(F37*H37)/1000000000</f>
        <v>0.2475</v>
      </c>
      <c r="J37" s="14">
        <f>I37*365</f>
        <v>90.337500000000006</v>
      </c>
      <c r="K37" s="14"/>
      <c r="L37" s="18">
        <v>6000</v>
      </c>
      <c r="M37" s="18">
        <v>0.5</v>
      </c>
      <c r="N37" s="18">
        <f>L37*M37</f>
        <v>3000</v>
      </c>
      <c r="O37" s="18" t="s">
        <v>193</v>
      </c>
      <c r="P37" s="18">
        <v>225000</v>
      </c>
      <c r="Q37" s="18">
        <f>(N37*P37)/1000000000</f>
        <v>0.67500000000000004</v>
      </c>
      <c r="R37" s="18">
        <f>Q37*365</f>
        <v>246.37500000000003</v>
      </c>
    </row>
    <row r="38" spans="1:18" x14ac:dyDescent="0.3">
      <c r="A38" s="14" t="s">
        <v>200</v>
      </c>
      <c r="B38" s="14"/>
      <c r="C38" s="14" t="s">
        <v>205</v>
      </c>
      <c r="D38" s="14">
        <v>3000</v>
      </c>
      <c r="E38" s="14">
        <v>0.5</v>
      </c>
      <c r="F38" s="14">
        <f t="shared" si="5"/>
        <v>1500</v>
      </c>
      <c r="G38" s="14" t="s">
        <v>204</v>
      </c>
      <c r="H38" s="14">
        <v>165000</v>
      </c>
      <c r="I38" s="14">
        <f t="shared" ref="I38:I39" si="8">(F38*H38)/1000000000</f>
        <v>0.2475</v>
      </c>
      <c r="J38" s="14">
        <f t="shared" ref="J38:J39" si="9">I38*365</f>
        <v>90.337500000000006</v>
      </c>
      <c r="K38" s="14"/>
      <c r="L38" s="18">
        <v>6000</v>
      </c>
      <c r="M38" s="18">
        <v>0.75</v>
      </c>
      <c r="N38" s="18">
        <f t="shared" ref="N38:N39" si="10">L38*M38</f>
        <v>4500</v>
      </c>
      <c r="O38" s="18" t="s">
        <v>193</v>
      </c>
      <c r="P38" s="18">
        <v>225000</v>
      </c>
      <c r="Q38" s="18">
        <f t="shared" ref="Q38:Q39" si="11">(N38*P38)/1000000000</f>
        <v>1.0125</v>
      </c>
      <c r="R38" s="18">
        <f t="shared" ref="R38:R39" si="12">Q38*365</f>
        <v>369.5625</v>
      </c>
    </row>
    <row r="39" spans="1:18" x14ac:dyDescent="0.3">
      <c r="A39" s="14" t="s">
        <v>201</v>
      </c>
      <c r="B39" s="14"/>
      <c r="C39" s="14"/>
      <c r="D39" s="14">
        <v>3000</v>
      </c>
      <c r="E39" s="14">
        <v>0.5</v>
      </c>
      <c r="F39" s="14">
        <f t="shared" si="5"/>
        <v>1500</v>
      </c>
      <c r="G39" s="14" t="s">
        <v>204</v>
      </c>
      <c r="H39" s="14">
        <v>165000</v>
      </c>
      <c r="I39" s="14">
        <f t="shared" si="8"/>
        <v>0.2475</v>
      </c>
      <c r="J39" s="14">
        <f t="shared" si="9"/>
        <v>90.337500000000006</v>
      </c>
      <c r="K39" s="14"/>
      <c r="L39" s="18">
        <v>6000</v>
      </c>
      <c r="M39" s="18">
        <v>0.75</v>
      </c>
      <c r="N39" s="18">
        <f t="shared" si="10"/>
        <v>4500</v>
      </c>
      <c r="O39" s="18" t="s">
        <v>193</v>
      </c>
      <c r="P39" s="18">
        <v>225000</v>
      </c>
      <c r="Q39" s="18">
        <f t="shared" si="11"/>
        <v>1.0125</v>
      </c>
      <c r="R39" s="18">
        <f t="shared" si="12"/>
        <v>369.5625</v>
      </c>
    </row>
    <row r="40" spans="1:18" x14ac:dyDescent="0.3">
      <c r="A40" s="14" t="s">
        <v>197</v>
      </c>
      <c r="B40" s="14"/>
      <c r="C40" s="14"/>
      <c r="D40" s="17" t="s">
        <v>206</v>
      </c>
      <c r="E40" s="14"/>
      <c r="F40" s="17"/>
      <c r="G40" s="14"/>
      <c r="H40" s="14"/>
      <c r="I40" s="17">
        <f>SUM(I37:I39)</f>
        <v>0.74249999999999994</v>
      </c>
      <c r="J40" s="17">
        <f>SUM(J37:J39)</f>
        <v>271.01250000000005</v>
      </c>
      <c r="K40" s="14"/>
      <c r="L40" s="18"/>
      <c r="M40" s="18"/>
      <c r="N40" s="18"/>
      <c r="O40" s="18"/>
      <c r="P40" s="18"/>
      <c r="Q40" s="19">
        <f>SUM(Q37:Q39)</f>
        <v>2.7</v>
      </c>
      <c r="R40" s="19">
        <f>SUM(R37:R39)</f>
        <v>985.5</v>
      </c>
    </row>
    <row r="41" spans="1:18" x14ac:dyDescent="0.3">
      <c r="A41" s="14" t="s">
        <v>199</v>
      </c>
      <c r="B41" s="14"/>
      <c r="C41" s="14"/>
      <c r="D41" s="14">
        <v>0</v>
      </c>
      <c r="E41" s="14">
        <v>0</v>
      </c>
      <c r="F41" s="14">
        <f>D41*E41</f>
        <v>0</v>
      </c>
      <c r="G41" s="14" t="s">
        <v>183</v>
      </c>
      <c r="H41" s="14">
        <v>187500</v>
      </c>
      <c r="I41" s="14">
        <f t="shared" ref="I41:I43" si="13">(F41*H41)/1000000000</f>
        <v>0</v>
      </c>
      <c r="J41" s="14">
        <f t="shared" ref="J41:J43" si="14">I41*365</f>
        <v>0</v>
      </c>
    </row>
    <row r="42" spans="1:18" x14ac:dyDescent="0.3">
      <c r="A42" s="14" t="s">
        <v>200</v>
      </c>
      <c r="B42" s="14"/>
      <c r="C42" s="14"/>
      <c r="D42" s="14">
        <v>3000</v>
      </c>
      <c r="E42" s="14">
        <v>0.75</v>
      </c>
      <c r="F42" s="14">
        <f t="shared" ref="F42:F43" si="15">D42*E42</f>
        <v>2250</v>
      </c>
      <c r="G42" s="14" t="s">
        <v>183</v>
      </c>
      <c r="H42" s="14">
        <v>187500</v>
      </c>
      <c r="I42" s="14">
        <f>(F42*H42)/1000000000</f>
        <v>0.421875</v>
      </c>
      <c r="J42" s="14">
        <f t="shared" si="14"/>
        <v>153.984375</v>
      </c>
    </row>
    <row r="43" spans="1:18" x14ac:dyDescent="0.3">
      <c r="A43" s="14" t="s">
        <v>201</v>
      </c>
      <c r="B43" s="14"/>
      <c r="C43" s="14"/>
      <c r="D43" s="14">
        <v>3000</v>
      </c>
      <c r="E43" s="14">
        <v>0.75</v>
      </c>
      <c r="F43" s="14">
        <f t="shared" si="15"/>
        <v>2250</v>
      </c>
      <c r="G43" s="14" t="s">
        <v>183</v>
      </c>
      <c r="H43" s="14">
        <v>187500</v>
      </c>
      <c r="I43" s="14">
        <f t="shared" si="13"/>
        <v>0.421875</v>
      </c>
      <c r="J43" s="14">
        <f t="shared" si="14"/>
        <v>153.984375</v>
      </c>
    </row>
    <row r="44" spans="1:18" x14ac:dyDescent="0.3">
      <c r="A44" s="14" t="s">
        <v>197</v>
      </c>
      <c r="B44" s="14"/>
      <c r="C44" s="14"/>
      <c r="D44" s="17" t="s">
        <v>207</v>
      </c>
      <c r="E44" s="14"/>
      <c r="F44" s="17"/>
      <c r="G44" s="14"/>
      <c r="H44" s="14"/>
      <c r="I44" s="17">
        <f>SUM(I41:I43)</f>
        <v>0.84375</v>
      </c>
      <c r="J44" s="17">
        <f>SUM(J41:J43)</f>
        <v>307.96875</v>
      </c>
    </row>
    <row r="45" spans="1:18" x14ac:dyDescent="0.3">
      <c r="A45" s="14" t="s">
        <v>199</v>
      </c>
      <c r="B45" s="14"/>
      <c r="C45" s="14"/>
      <c r="D45" s="14">
        <v>1200</v>
      </c>
      <c r="E45" s="14">
        <v>0.15</v>
      </c>
      <c r="F45" s="14">
        <f>D45*E45</f>
        <v>180</v>
      </c>
      <c r="G45" s="14" t="s">
        <v>183</v>
      </c>
      <c r="H45" s="14">
        <v>187500</v>
      </c>
      <c r="I45" s="14">
        <f>(F45*H45)/1000000000</f>
        <v>3.3750000000000002E-2</v>
      </c>
      <c r="J45" s="14">
        <f>I45*365</f>
        <v>12.318750000000001</v>
      </c>
    </row>
    <row r="46" spans="1:18" x14ac:dyDescent="0.3">
      <c r="A46" s="14" t="s">
        <v>200</v>
      </c>
      <c r="B46" s="14"/>
      <c r="C46" s="14"/>
      <c r="D46" s="14">
        <v>1200</v>
      </c>
      <c r="E46" s="14">
        <v>0.15</v>
      </c>
      <c r="F46" s="14">
        <f t="shared" ref="F46:F47" si="16">D46*E46</f>
        <v>180</v>
      </c>
      <c r="G46" s="14" t="s">
        <v>183</v>
      </c>
      <c r="H46" s="14">
        <v>187500</v>
      </c>
      <c r="I46" s="14">
        <f t="shared" ref="I46:I47" si="17">(F46*H46)/1000000000</f>
        <v>3.3750000000000002E-2</v>
      </c>
      <c r="J46" s="14">
        <f t="shared" ref="J46:J47" si="18">I46*365</f>
        <v>12.318750000000001</v>
      </c>
    </row>
    <row r="47" spans="1:18" x14ac:dyDescent="0.3">
      <c r="A47" s="14" t="s">
        <v>201</v>
      </c>
      <c r="B47" s="14"/>
      <c r="C47" s="14"/>
      <c r="D47" s="14">
        <v>1200</v>
      </c>
      <c r="E47" s="14">
        <v>0.15</v>
      </c>
      <c r="F47" s="14">
        <f t="shared" si="16"/>
        <v>180</v>
      </c>
      <c r="G47" s="14" t="s">
        <v>183</v>
      </c>
      <c r="H47" s="14">
        <v>187500</v>
      </c>
      <c r="I47" s="14">
        <f t="shared" si="17"/>
        <v>3.3750000000000002E-2</v>
      </c>
      <c r="J47" s="14">
        <f t="shared" si="18"/>
        <v>12.318750000000001</v>
      </c>
    </row>
    <row r="48" spans="1:18" x14ac:dyDescent="0.3">
      <c r="A48" s="14"/>
      <c r="B48" s="14"/>
      <c r="C48" s="14"/>
      <c r="D48" s="14"/>
      <c r="E48" s="14"/>
      <c r="F48" s="17"/>
      <c r="G48" s="14"/>
      <c r="H48" s="14"/>
      <c r="I48" s="17">
        <f>SUM(I45:I47)</f>
        <v>0.10125000000000001</v>
      </c>
      <c r="J48" s="17">
        <f>SUM(J45:J47)</f>
        <v>36.956250000000004</v>
      </c>
    </row>
    <row r="50" spans="1:10" x14ac:dyDescent="0.3">
      <c r="A50" s="20" t="s">
        <v>20</v>
      </c>
      <c r="B50" s="15" t="s">
        <v>208</v>
      </c>
      <c r="C50" s="15" t="s">
        <v>209</v>
      </c>
      <c r="D50" s="15" t="s">
        <v>196</v>
      </c>
      <c r="E50" s="15" t="s">
        <v>210</v>
      </c>
      <c r="F50" s="15" t="s">
        <v>178</v>
      </c>
      <c r="G50" s="15"/>
      <c r="H50" s="15" t="s">
        <v>181</v>
      </c>
      <c r="I50" s="15" t="s">
        <v>182</v>
      </c>
      <c r="J50" s="15" t="s">
        <v>149</v>
      </c>
    </row>
    <row r="51" spans="1:10" x14ac:dyDescent="0.3">
      <c r="A51" s="15" t="s">
        <v>211</v>
      </c>
      <c r="B51" s="15">
        <v>265</v>
      </c>
      <c r="C51" s="15">
        <v>100</v>
      </c>
      <c r="D51" s="15">
        <v>11000</v>
      </c>
      <c r="E51" s="15">
        <v>12.5</v>
      </c>
      <c r="F51" s="15">
        <v>4.5</v>
      </c>
      <c r="G51" s="15" t="s">
        <v>212</v>
      </c>
      <c r="H51" s="15">
        <v>22500</v>
      </c>
      <c r="I51" s="15">
        <f>(D51*F51*H51)/1000000000</f>
        <v>1.11375</v>
      </c>
      <c r="J51" s="15">
        <f>I51*365</f>
        <v>406.51875000000001</v>
      </c>
    </row>
    <row r="52" spans="1:10" x14ac:dyDescent="0.3">
      <c r="A52" s="15" t="s">
        <v>213</v>
      </c>
      <c r="B52" s="15">
        <v>200</v>
      </c>
      <c r="C52" s="15">
        <v>100</v>
      </c>
      <c r="D52" s="15">
        <v>7200</v>
      </c>
      <c r="E52" s="15">
        <v>10.5</v>
      </c>
      <c r="F52" s="15">
        <v>5.25</v>
      </c>
      <c r="G52" s="15" t="s">
        <v>212</v>
      </c>
      <c r="H52" s="15">
        <v>45000</v>
      </c>
      <c r="I52" s="15">
        <f>(D52*F52*H52)/1000000000</f>
        <v>1.7010000000000001</v>
      </c>
      <c r="J52" s="15">
        <f>I52*365</f>
        <v>620.86500000000001</v>
      </c>
    </row>
    <row r="53" spans="1:10" x14ac:dyDescent="0.3">
      <c r="A53" s="15"/>
      <c r="B53" s="15"/>
      <c r="C53" s="15"/>
      <c r="D53" s="15"/>
      <c r="E53" s="15"/>
      <c r="F53" s="15"/>
      <c r="G53" s="15"/>
      <c r="H53" s="20">
        <f>SUM(H51:H52)</f>
        <v>67500</v>
      </c>
      <c r="I53" s="20">
        <f>SUM(I51:I52)</f>
        <v>2.8147500000000001</v>
      </c>
      <c r="J53" s="20">
        <f>SUM(J51:J52)</f>
        <v>1027.38375</v>
      </c>
    </row>
    <row r="54" spans="1:10" x14ac:dyDescent="0.3">
      <c r="H54" s="1"/>
      <c r="J54" s="1"/>
    </row>
    <row r="55" spans="1:10" x14ac:dyDescent="0.3">
      <c r="A55" s="21" t="s">
        <v>4</v>
      </c>
      <c r="B55" s="12"/>
      <c r="C55" s="12"/>
      <c r="D55" s="12" t="s">
        <v>177</v>
      </c>
      <c r="E55" s="12" t="s">
        <v>178</v>
      </c>
      <c r="F55" s="12" t="s">
        <v>179</v>
      </c>
      <c r="G55" s="12" t="s">
        <v>180</v>
      </c>
      <c r="H55" s="12" t="s">
        <v>181</v>
      </c>
      <c r="I55" s="12" t="s">
        <v>182</v>
      </c>
      <c r="J55" s="12" t="s">
        <v>149</v>
      </c>
    </row>
    <row r="56" spans="1:10" x14ac:dyDescent="0.3">
      <c r="A56" s="12" t="s">
        <v>214</v>
      </c>
      <c r="B56" s="12">
        <v>230</v>
      </c>
      <c r="C56" s="12">
        <v>1</v>
      </c>
      <c r="D56" s="12">
        <v>230</v>
      </c>
      <c r="E56" s="12">
        <v>7</v>
      </c>
      <c r="F56" s="12">
        <f>D56*E56</f>
        <v>1610</v>
      </c>
      <c r="G56" s="12" t="s">
        <v>14</v>
      </c>
      <c r="H56" s="12">
        <v>300000</v>
      </c>
      <c r="I56" s="12">
        <f>(F56*H56)/1000000000</f>
        <v>0.48299999999999998</v>
      </c>
      <c r="J56" s="12">
        <f>I56*62</f>
        <v>29.945999999999998</v>
      </c>
    </row>
    <row r="57" spans="1:10" x14ac:dyDescent="0.3">
      <c r="A57" s="12" t="s">
        <v>215</v>
      </c>
      <c r="B57" s="12">
        <v>230</v>
      </c>
      <c r="C57" s="12">
        <v>1</v>
      </c>
      <c r="D57" s="12">
        <v>230</v>
      </c>
      <c r="E57" s="12">
        <v>5</v>
      </c>
      <c r="F57" s="12">
        <f t="shared" ref="F57:F59" si="19">D57*E57</f>
        <v>1150</v>
      </c>
      <c r="G57" s="12" t="s">
        <v>14</v>
      </c>
      <c r="H57" s="12">
        <v>300000</v>
      </c>
      <c r="I57" s="12">
        <f t="shared" ref="I57:I59" si="20">(F57*H57)/1000000000</f>
        <v>0.34499999999999997</v>
      </c>
      <c r="J57" s="12">
        <f>I57*59</f>
        <v>20.354999999999997</v>
      </c>
    </row>
    <row r="58" spans="1:10" x14ac:dyDescent="0.3">
      <c r="A58" s="12" t="s">
        <v>216</v>
      </c>
      <c r="B58" s="12">
        <v>230</v>
      </c>
      <c r="C58" s="12">
        <v>1</v>
      </c>
      <c r="D58" s="12">
        <v>230</v>
      </c>
      <c r="E58" s="12">
        <v>3</v>
      </c>
      <c r="F58" s="12">
        <f t="shared" si="19"/>
        <v>690</v>
      </c>
      <c r="G58" s="12" t="s">
        <v>14</v>
      </c>
      <c r="H58" s="12">
        <v>300000</v>
      </c>
      <c r="I58" s="12">
        <f t="shared" si="20"/>
        <v>0.20699999999999999</v>
      </c>
      <c r="J58" s="12">
        <f>I58*91</f>
        <v>18.837</v>
      </c>
    </row>
    <row r="59" spans="1:10" x14ac:dyDescent="0.3">
      <c r="A59" s="12" t="s">
        <v>217</v>
      </c>
      <c r="B59" s="12">
        <v>230</v>
      </c>
      <c r="C59" s="12">
        <v>1</v>
      </c>
      <c r="D59" s="12">
        <v>230</v>
      </c>
      <c r="E59" s="12">
        <v>5</v>
      </c>
      <c r="F59" s="12">
        <f t="shared" si="19"/>
        <v>1150</v>
      </c>
      <c r="G59" s="12" t="s">
        <v>14</v>
      </c>
      <c r="H59" s="12">
        <v>300000</v>
      </c>
      <c r="I59" s="12">
        <f t="shared" si="20"/>
        <v>0.34499999999999997</v>
      </c>
      <c r="J59" s="12">
        <f>I59*92</f>
        <v>31.74</v>
      </c>
    </row>
    <row r="60" spans="1:10" x14ac:dyDescent="0.3">
      <c r="A60" s="12"/>
      <c r="B60" s="12"/>
      <c r="C60" s="12"/>
      <c r="D60" s="12"/>
      <c r="E60" s="12"/>
      <c r="F60" s="21"/>
      <c r="G60" s="12"/>
      <c r="H60" s="12"/>
      <c r="I60" s="21">
        <f>SUM(I56:I59)</f>
        <v>1.38</v>
      </c>
      <c r="J60" s="21">
        <f>SUM(J56:J59)</f>
        <v>100.87799999999999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0"/>
  <sheetViews>
    <sheetView topLeftCell="A127" zoomScale="90" zoomScaleNormal="90" workbookViewId="0">
      <selection activeCell="G139" sqref="G139"/>
    </sheetView>
  </sheetViews>
  <sheetFormatPr defaultColWidth="10.109375" defaultRowHeight="14.4" x14ac:dyDescent="0.3"/>
  <cols>
    <col min="16" max="16" width="12.33203125" customWidth="1"/>
    <col min="18" max="19" width="10.77734375" customWidth="1"/>
  </cols>
  <sheetData>
    <row r="1" spans="1:23" x14ac:dyDescent="0.3">
      <c r="A1" s="1" t="s">
        <v>0</v>
      </c>
      <c r="G1" s="1" t="s">
        <v>1</v>
      </c>
      <c r="M1" s="1" t="s">
        <v>2</v>
      </c>
      <c r="S1" s="1" t="s">
        <v>3</v>
      </c>
    </row>
    <row r="2" spans="1:23" x14ac:dyDescent="0.3">
      <c r="A2" t="s">
        <v>5</v>
      </c>
      <c r="B2" t="s">
        <v>31</v>
      </c>
      <c r="C2" t="s">
        <v>32</v>
      </c>
      <c r="D2" t="s">
        <v>6</v>
      </c>
      <c r="E2" t="s">
        <v>7</v>
      </c>
      <c r="G2" t="s">
        <v>5</v>
      </c>
      <c r="H2" t="s">
        <v>31</v>
      </c>
      <c r="I2" t="s">
        <v>32</v>
      </c>
      <c r="J2" t="s">
        <v>6</v>
      </c>
      <c r="K2" t="s">
        <v>7</v>
      </c>
      <c r="M2" t="s">
        <v>5</v>
      </c>
      <c r="N2" t="s">
        <v>31</v>
      </c>
      <c r="O2" t="s">
        <v>32</v>
      </c>
      <c r="P2" t="s">
        <v>6</v>
      </c>
      <c r="Q2" t="s">
        <v>7</v>
      </c>
      <c r="S2" t="s">
        <v>5</v>
      </c>
      <c r="T2" t="s">
        <v>31</v>
      </c>
      <c r="U2" t="s">
        <v>32</v>
      </c>
      <c r="V2" t="s">
        <v>6</v>
      </c>
      <c r="W2" t="s">
        <v>7</v>
      </c>
    </row>
    <row r="3" spans="1:23" x14ac:dyDescent="0.3">
      <c r="A3">
        <v>0</v>
      </c>
      <c r="B3">
        <f>C3*187500/1000000000</f>
        <v>0.21562500000000001</v>
      </c>
      <c r="C3">
        <f>E3*D3</f>
        <v>1150</v>
      </c>
      <c r="D3">
        <v>230</v>
      </c>
      <c r="E3">
        <v>5</v>
      </c>
      <c r="G3">
        <v>0</v>
      </c>
      <c r="H3">
        <f>I3*187500/1000000000</f>
        <v>0</v>
      </c>
      <c r="I3">
        <f>J3*K3</f>
        <v>0</v>
      </c>
      <c r="J3">
        <v>230</v>
      </c>
      <c r="K3">
        <v>0</v>
      </c>
      <c r="M3">
        <v>0</v>
      </c>
      <c r="N3">
        <f>O3*187500/1000000000</f>
        <v>0</v>
      </c>
      <c r="O3">
        <f>P3*Q3</f>
        <v>0</v>
      </c>
      <c r="P3">
        <v>230</v>
      </c>
      <c r="Q3">
        <v>0</v>
      </c>
      <c r="S3">
        <v>0</v>
      </c>
      <c r="T3">
        <f>U3*187500/1000000000</f>
        <v>0.43125000000000002</v>
      </c>
      <c r="U3">
        <f>V3*W3</f>
        <v>2300</v>
      </c>
      <c r="V3">
        <v>230</v>
      </c>
      <c r="W3">
        <v>10</v>
      </c>
    </row>
    <row r="4" spans="1:23" x14ac:dyDescent="0.3">
      <c r="A4">
        <v>1</v>
      </c>
      <c r="B4">
        <f t="shared" ref="B4:B26" si="0">C4*187500/1000000000</f>
        <v>0.21562500000000001</v>
      </c>
      <c r="C4">
        <f t="shared" ref="C4:C26" si="1">E4*D4</f>
        <v>1150</v>
      </c>
      <c r="D4">
        <v>230</v>
      </c>
      <c r="E4">
        <v>5</v>
      </c>
      <c r="G4">
        <v>1</v>
      </c>
      <c r="H4">
        <f t="shared" ref="H4:H26" si="2">I4*187500/1000000000</f>
        <v>0</v>
      </c>
      <c r="I4">
        <f t="shared" ref="I4:I26" si="3">J4*K4</f>
        <v>0</v>
      </c>
      <c r="J4">
        <v>230</v>
      </c>
      <c r="K4">
        <v>0</v>
      </c>
      <c r="M4">
        <v>1</v>
      </c>
      <c r="N4">
        <f t="shared" ref="N4:N26" si="4">O4*187500/1000000000</f>
        <v>0</v>
      </c>
      <c r="O4">
        <f t="shared" ref="O4:O26" si="5">P4*Q4</f>
        <v>0</v>
      </c>
      <c r="P4">
        <v>230</v>
      </c>
      <c r="Q4">
        <v>0</v>
      </c>
      <c r="S4">
        <v>1</v>
      </c>
      <c r="T4">
        <f t="shared" ref="T4:T26" si="6">U4*187500/1000000000</f>
        <v>0.43125000000000002</v>
      </c>
      <c r="U4">
        <f t="shared" ref="U4:U26" si="7">V4*W4</f>
        <v>2300</v>
      </c>
      <c r="V4">
        <v>230</v>
      </c>
      <c r="W4">
        <v>10</v>
      </c>
    </row>
    <row r="5" spans="1:23" x14ac:dyDescent="0.3">
      <c r="A5">
        <v>2</v>
      </c>
      <c r="B5">
        <f t="shared" si="0"/>
        <v>0.21562500000000001</v>
      </c>
      <c r="C5">
        <f t="shared" si="1"/>
        <v>1150</v>
      </c>
      <c r="D5">
        <v>230</v>
      </c>
      <c r="E5">
        <v>5</v>
      </c>
      <c r="G5">
        <v>2</v>
      </c>
      <c r="H5">
        <f t="shared" si="2"/>
        <v>0</v>
      </c>
      <c r="I5">
        <f t="shared" si="3"/>
        <v>0</v>
      </c>
      <c r="J5">
        <v>230</v>
      </c>
      <c r="K5">
        <v>0</v>
      </c>
      <c r="M5">
        <v>2</v>
      </c>
      <c r="N5">
        <f t="shared" si="4"/>
        <v>0</v>
      </c>
      <c r="O5">
        <f t="shared" si="5"/>
        <v>0</v>
      </c>
      <c r="P5">
        <v>230</v>
      </c>
      <c r="Q5">
        <v>0</v>
      </c>
      <c r="S5">
        <v>2</v>
      </c>
      <c r="T5">
        <f t="shared" si="6"/>
        <v>0</v>
      </c>
      <c r="U5">
        <f t="shared" si="7"/>
        <v>0</v>
      </c>
      <c r="V5">
        <v>230</v>
      </c>
      <c r="W5">
        <v>0</v>
      </c>
    </row>
    <row r="6" spans="1:23" x14ac:dyDescent="0.3">
      <c r="A6">
        <v>3</v>
      </c>
      <c r="B6">
        <f t="shared" si="0"/>
        <v>0.21562500000000001</v>
      </c>
      <c r="C6">
        <f t="shared" si="1"/>
        <v>1150</v>
      </c>
      <c r="D6">
        <v>230</v>
      </c>
      <c r="E6">
        <v>5</v>
      </c>
      <c r="G6">
        <v>3</v>
      </c>
      <c r="H6">
        <f t="shared" si="2"/>
        <v>0</v>
      </c>
      <c r="I6">
        <f t="shared" si="3"/>
        <v>0</v>
      </c>
      <c r="J6">
        <v>230</v>
      </c>
      <c r="K6">
        <v>0</v>
      </c>
      <c r="M6">
        <v>3</v>
      </c>
      <c r="N6">
        <f t="shared" si="4"/>
        <v>0</v>
      </c>
      <c r="O6">
        <f t="shared" si="5"/>
        <v>0</v>
      </c>
      <c r="P6">
        <v>230</v>
      </c>
      <c r="Q6">
        <v>0</v>
      </c>
      <c r="S6">
        <v>3</v>
      </c>
      <c r="T6">
        <f t="shared" si="6"/>
        <v>0</v>
      </c>
      <c r="U6">
        <f t="shared" si="7"/>
        <v>0</v>
      </c>
      <c r="V6">
        <v>230</v>
      </c>
      <c r="W6">
        <v>0</v>
      </c>
    </row>
    <row r="7" spans="1:23" x14ac:dyDescent="0.3">
      <c r="A7">
        <v>4</v>
      </c>
      <c r="B7">
        <f t="shared" si="0"/>
        <v>0.21562500000000001</v>
      </c>
      <c r="C7">
        <f t="shared" si="1"/>
        <v>1150</v>
      </c>
      <c r="D7">
        <v>230</v>
      </c>
      <c r="E7">
        <v>5</v>
      </c>
      <c r="G7">
        <v>4</v>
      </c>
      <c r="H7">
        <f t="shared" si="2"/>
        <v>0</v>
      </c>
      <c r="I7">
        <f t="shared" si="3"/>
        <v>0</v>
      </c>
      <c r="J7">
        <v>230</v>
      </c>
      <c r="K7">
        <v>0</v>
      </c>
      <c r="M7">
        <v>4</v>
      </c>
      <c r="N7">
        <f t="shared" si="4"/>
        <v>0</v>
      </c>
      <c r="O7">
        <f t="shared" si="5"/>
        <v>0</v>
      </c>
      <c r="P7">
        <v>230</v>
      </c>
      <c r="Q7">
        <v>0</v>
      </c>
      <c r="S7">
        <v>4</v>
      </c>
      <c r="T7">
        <f t="shared" si="6"/>
        <v>0</v>
      </c>
      <c r="U7">
        <f t="shared" si="7"/>
        <v>0</v>
      </c>
      <c r="V7">
        <v>230</v>
      </c>
      <c r="W7">
        <v>0</v>
      </c>
    </row>
    <row r="8" spans="1:23" x14ac:dyDescent="0.3">
      <c r="A8">
        <v>5</v>
      </c>
      <c r="B8">
        <f t="shared" si="0"/>
        <v>0.21562500000000001</v>
      </c>
      <c r="C8">
        <f t="shared" si="1"/>
        <v>1150</v>
      </c>
      <c r="D8">
        <v>230</v>
      </c>
      <c r="E8">
        <v>5</v>
      </c>
      <c r="G8">
        <v>5</v>
      </c>
      <c r="H8">
        <f t="shared" si="2"/>
        <v>0</v>
      </c>
      <c r="I8">
        <f t="shared" si="3"/>
        <v>0</v>
      </c>
      <c r="J8">
        <v>230</v>
      </c>
      <c r="K8">
        <v>0</v>
      </c>
      <c r="M8">
        <v>5</v>
      </c>
      <c r="N8">
        <f t="shared" si="4"/>
        <v>0</v>
      </c>
      <c r="O8">
        <f t="shared" si="5"/>
        <v>0</v>
      </c>
      <c r="P8">
        <v>230</v>
      </c>
      <c r="Q8">
        <v>0</v>
      </c>
      <c r="S8">
        <v>5</v>
      </c>
      <c r="T8">
        <f t="shared" si="6"/>
        <v>0</v>
      </c>
      <c r="U8">
        <f t="shared" si="7"/>
        <v>0</v>
      </c>
      <c r="V8">
        <v>230</v>
      </c>
      <c r="W8">
        <v>0</v>
      </c>
    </row>
    <row r="9" spans="1:23" x14ac:dyDescent="0.3">
      <c r="A9">
        <v>6</v>
      </c>
      <c r="B9">
        <f t="shared" si="0"/>
        <v>0.43125000000000002</v>
      </c>
      <c r="C9">
        <f t="shared" si="1"/>
        <v>2300</v>
      </c>
      <c r="D9">
        <v>230</v>
      </c>
      <c r="E9">
        <v>10</v>
      </c>
      <c r="G9">
        <v>6</v>
      </c>
      <c r="H9">
        <f t="shared" si="2"/>
        <v>0</v>
      </c>
      <c r="I9">
        <f t="shared" si="3"/>
        <v>0</v>
      </c>
      <c r="J9">
        <v>230</v>
      </c>
      <c r="K9">
        <v>0</v>
      </c>
      <c r="M9">
        <v>6</v>
      </c>
      <c r="N9">
        <f t="shared" si="4"/>
        <v>0</v>
      </c>
      <c r="O9">
        <f t="shared" si="5"/>
        <v>0</v>
      </c>
      <c r="P9">
        <v>230</v>
      </c>
      <c r="Q9">
        <v>0</v>
      </c>
      <c r="S9">
        <v>6</v>
      </c>
      <c r="T9">
        <f t="shared" si="6"/>
        <v>0</v>
      </c>
      <c r="U9">
        <f t="shared" si="7"/>
        <v>0</v>
      </c>
      <c r="V9">
        <v>230</v>
      </c>
      <c r="W9">
        <v>0</v>
      </c>
    </row>
    <row r="10" spans="1:23" x14ac:dyDescent="0.3">
      <c r="A10">
        <v>7</v>
      </c>
      <c r="B10">
        <f t="shared" si="0"/>
        <v>0.21562500000000001</v>
      </c>
      <c r="C10">
        <f t="shared" si="1"/>
        <v>1150</v>
      </c>
      <c r="D10">
        <v>230</v>
      </c>
      <c r="E10">
        <v>5</v>
      </c>
      <c r="G10">
        <v>7</v>
      </c>
      <c r="H10">
        <f t="shared" si="2"/>
        <v>0</v>
      </c>
      <c r="I10">
        <f t="shared" si="3"/>
        <v>0</v>
      </c>
      <c r="J10">
        <v>230</v>
      </c>
      <c r="K10">
        <v>0</v>
      </c>
      <c r="M10">
        <v>7</v>
      </c>
      <c r="N10">
        <f t="shared" si="4"/>
        <v>0</v>
      </c>
      <c r="O10">
        <f t="shared" si="5"/>
        <v>0</v>
      </c>
      <c r="P10">
        <v>230</v>
      </c>
      <c r="Q10">
        <v>0</v>
      </c>
      <c r="S10">
        <v>7</v>
      </c>
      <c r="T10">
        <f t="shared" si="6"/>
        <v>0</v>
      </c>
      <c r="U10">
        <f t="shared" si="7"/>
        <v>0</v>
      </c>
      <c r="V10">
        <v>230</v>
      </c>
      <c r="W10">
        <v>0</v>
      </c>
    </row>
    <row r="11" spans="1:23" x14ac:dyDescent="0.3">
      <c r="A11">
        <v>8</v>
      </c>
      <c r="B11">
        <f t="shared" si="0"/>
        <v>0.43125000000000002</v>
      </c>
      <c r="C11">
        <f t="shared" si="1"/>
        <v>2300</v>
      </c>
      <c r="D11">
        <v>230</v>
      </c>
      <c r="E11">
        <v>10</v>
      </c>
      <c r="G11">
        <v>8</v>
      </c>
      <c r="H11">
        <f t="shared" si="2"/>
        <v>0</v>
      </c>
      <c r="I11">
        <f t="shared" si="3"/>
        <v>0</v>
      </c>
      <c r="J11">
        <v>230</v>
      </c>
      <c r="K11">
        <v>0</v>
      </c>
      <c r="M11">
        <v>8</v>
      </c>
      <c r="N11">
        <f t="shared" si="4"/>
        <v>0</v>
      </c>
      <c r="O11">
        <f t="shared" si="5"/>
        <v>0</v>
      </c>
      <c r="P11">
        <v>230</v>
      </c>
      <c r="Q11">
        <v>0</v>
      </c>
      <c r="S11">
        <v>8</v>
      </c>
      <c r="T11">
        <f t="shared" si="6"/>
        <v>0</v>
      </c>
      <c r="U11">
        <f t="shared" si="7"/>
        <v>0</v>
      </c>
      <c r="V11">
        <v>230</v>
      </c>
      <c r="W11">
        <v>0</v>
      </c>
    </row>
    <row r="12" spans="1:23" x14ac:dyDescent="0.3">
      <c r="A12">
        <v>9</v>
      </c>
      <c r="B12">
        <f t="shared" si="0"/>
        <v>0.21562500000000001</v>
      </c>
      <c r="C12">
        <f t="shared" si="1"/>
        <v>1150</v>
      </c>
      <c r="D12">
        <v>230</v>
      </c>
      <c r="E12">
        <v>5</v>
      </c>
      <c r="G12">
        <v>9</v>
      </c>
      <c r="H12">
        <f t="shared" si="2"/>
        <v>0.43125000000000002</v>
      </c>
      <c r="I12">
        <f t="shared" si="3"/>
        <v>2300</v>
      </c>
      <c r="J12">
        <v>230</v>
      </c>
      <c r="K12">
        <v>10</v>
      </c>
      <c r="M12">
        <v>9</v>
      </c>
      <c r="N12">
        <f t="shared" si="4"/>
        <v>0</v>
      </c>
      <c r="O12">
        <f t="shared" si="5"/>
        <v>0</v>
      </c>
      <c r="P12">
        <v>230</v>
      </c>
      <c r="Q12">
        <v>0</v>
      </c>
      <c r="S12">
        <v>9</v>
      </c>
      <c r="T12">
        <f t="shared" si="6"/>
        <v>0</v>
      </c>
      <c r="U12">
        <f t="shared" si="7"/>
        <v>0</v>
      </c>
      <c r="V12">
        <v>230</v>
      </c>
      <c r="W12">
        <v>0</v>
      </c>
    </row>
    <row r="13" spans="1:23" x14ac:dyDescent="0.3">
      <c r="A13">
        <v>10</v>
      </c>
      <c r="B13">
        <f t="shared" si="0"/>
        <v>0.43125000000000002</v>
      </c>
      <c r="C13">
        <f t="shared" si="1"/>
        <v>2300</v>
      </c>
      <c r="D13">
        <v>230</v>
      </c>
      <c r="E13">
        <v>10</v>
      </c>
      <c r="G13">
        <v>10</v>
      </c>
      <c r="H13">
        <f t="shared" si="2"/>
        <v>0</v>
      </c>
      <c r="I13">
        <f t="shared" si="3"/>
        <v>0</v>
      </c>
      <c r="J13">
        <v>230</v>
      </c>
      <c r="K13">
        <v>0</v>
      </c>
      <c r="M13">
        <v>10</v>
      </c>
      <c r="N13">
        <f t="shared" si="4"/>
        <v>0.43125000000000002</v>
      </c>
      <c r="O13">
        <f t="shared" si="5"/>
        <v>2300</v>
      </c>
      <c r="P13">
        <v>230</v>
      </c>
      <c r="Q13">
        <v>10</v>
      </c>
      <c r="S13">
        <v>10</v>
      </c>
      <c r="T13">
        <f t="shared" si="6"/>
        <v>0</v>
      </c>
      <c r="U13">
        <f t="shared" si="7"/>
        <v>0</v>
      </c>
      <c r="V13">
        <v>230</v>
      </c>
      <c r="W13">
        <v>0</v>
      </c>
    </row>
    <row r="14" spans="1:23" x14ac:dyDescent="0.3">
      <c r="A14">
        <v>11</v>
      </c>
      <c r="B14">
        <f t="shared" si="0"/>
        <v>0.21562500000000001</v>
      </c>
      <c r="C14">
        <f t="shared" si="1"/>
        <v>1150</v>
      </c>
      <c r="D14">
        <v>230</v>
      </c>
      <c r="E14">
        <v>5</v>
      </c>
      <c r="G14">
        <v>11</v>
      </c>
      <c r="H14">
        <f t="shared" si="2"/>
        <v>0</v>
      </c>
      <c r="I14">
        <f t="shared" si="3"/>
        <v>0</v>
      </c>
      <c r="J14">
        <v>230</v>
      </c>
      <c r="K14">
        <v>0</v>
      </c>
      <c r="M14">
        <v>11</v>
      </c>
      <c r="N14">
        <f t="shared" si="4"/>
        <v>0.21562500000000001</v>
      </c>
      <c r="O14">
        <f t="shared" si="5"/>
        <v>1150</v>
      </c>
      <c r="P14">
        <v>230</v>
      </c>
      <c r="Q14">
        <v>5</v>
      </c>
      <c r="S14">
        <v>11</v>
      </c>
      <c r="T14">
        <f t="shared" si="6"/>
        <v>0</v>
      </c>
      <c r="U14">
        <f t="shared" si="7"/>
        <v>0</v>
      </c>
      <c r="V14">
        <v>230</v>
      </c>
      <c r="W14">
        <v>0</v>
      </c>
    </row>
    <row r="15" spans="1:23" x14ac:dyDescent="0.3">
      <c r="A15">
        <v>12</v>
      </c>
      <c r="B15">
        <f t="shared" si="0"/>
        <v>0.43125000000000002</v>
      </c>
      <c r="C15">
        <f t="shared" si="1"/>
        <v>2300</v>
      </c>
      <c r="D15">
        <v>230</v>
      </c>
      <c r="E15">
        <v>10</v>
      </c>
      <c r="G15">
        <v>12</v>
      </c>
      <c r="H15">
        <f t="shared" si="2"/>
        <v>0</v>
      </c>
      <c r="I15">
        <f t="shared" si="3"/>
        <v>0</v>
      </c>
      <c r="J15">
        <v>230</v>
      </c>
      <c r="K15">
        <v>0</v>
      </c>
      <c r="M15">
        <v>12</v>
      </c>
      <c r="N15">
        <f t="shared" si="4"/>
        <v>0</v>
      </c>
      <c r="O15">
        <f t="shared" si="5"/>
        <v>0</v>
      </c>
      <c r="P15">
        <v>230</v>
      </c>
      <c r="Q15">
        <v>0</v>
      </c>
      <c r="S15">
        <v>12</v>
      </c>
      <c r="T15">
        <f t="shared" si="6"/>
        <v>0</v>
      </c>
      <c r="U15">
        <f t="shared" si="7"/>
        <v>0</v>
      </c>
      <c r="V15">
        <v>230</v>
      </c>
      <c r="W15">
        <v>0</v>
      </c>
    </row>
    <row r="16" spans="1:23" x14ac:dyDescent="0.3">
      <c r="A16">
        <v>13</v>
      </c>
      <c r="B16">
        <f t="shared" si="0"/>
        <v>0.21562500000000001</v>
      </c>
      <c r="C16">
        <f t="shared" si="1"/>
        <v>1150</v>
      </c>
      <c r="D16">
        <v>230</v>
      </c>
      <c r="E16">
        <v>5</v>
      </c>
      <c r="G16">
        <v>13</v>
      </c>
      <c r="H16">
        <f t="shared" si="2"/>
        <v>0</v>
      </c>
      <c r="I16">
        <f t="shared" si="3"/>
        <v>0</v>
      </c>
      <c r="J16">
        <v>230</v>
      </c>
      <c r="K16">
        <v>0</v>
      </c>
      <c r="M16">
        <v>13</v>
      </c>
      <c r="N16">
        <f t="shared" si="4"/>
        <v>0</v>
      </c>
      <c r="O16">
        <f t="shared" si="5"/>
        <v>0</v>
      </c>
      <c r="P16">
        <v>230</v>
      </c>
      <c r="Q16">
        <v>0</v>
      </c>
      <c r="S16">
        <v>13</v>
      </c>
      <c r="T16">
        <f t="shared" si="6"/>
        <v>0</v>
      </c>
      <c r="U16">
        <f t="shared" si="7"/>
        <v>0</v>
      </c>
      <c r="V16">
        <v>230</v>
      </c>
      <c r="W16">
        <v>0</v>
      </c>
    </row>
    <row r="17" spans="1:23" x14ac:dyDescent="0.3">
      <c r="A17">
        <v>14</v>
      </c>
      <c r="B17">
        <f t="shared" si="0"/>
        <v>0.43125000000000002</v>
      </c>
      <c r="C17">
        <f t="shared" si="1"/>
        <v>2300</v>
      </c>
      <c r="D17">
        <v>230</v>
      </c>
      <c r="E17">
        <v>10</v>
      </c>
      <c r="G17">
        <v>14</v>
      </c>
      <c r="H17">
        <f t="shared" si="2"/>
        <v>0</v>
      </c>
      <c r="I17">
        <f t="shared" si="3"/>
        <v>0</v>
      </c>
      <c r="J17">
        <v>230</v>
      </c>
      <c r="K17">
        <v>0</v>
      </c>
      <c r="M17">
        <v>14</v>
      </c>
      <c r="N17">
        <f t="shared" si="4"/>
        <v>0</v>
      </c>
      <c r="O17">
        <f t="shared" si="5"/>
        <v>0</v>
      </c>
      <c r="P17">
        <v>230</v>
      </c>
      <c r="Q17">
        <v>0</v>
      </c>
      <c r="S17">
        <v>14</v>
      </c>
      <c r="T17">
        <f t="shared" si="6"/>
        <v>0</v>
      </c>
      <c r="U17">
        <f t="shared" si="7"/>
        <v>0</v>
      </c>
      <c r="V17">
        <v>230</v>
      </c>
      <c r="W17">
        <v>0</v>
      </c>
    </row>
    <row r="18" spans="1:23" x14ac:dyDescent="0.3">
      <c r="A18">
        <v>15</v>
      </c>
      <c r="B18">
        <f t="shared" si="0"/>
        <v>0.21562500000000001</v>
      </c>
      <c r="C18">
        <f t="shared" si="1"/>
        <v>1150</v>
      </c>
      <c r="D18">
        <v>230</v>
      </c>
      <c r="E18">
        <v>5</v>
      </c>
      <c r="G18">
        <v>15</v>
      </c>
      <c r="H18">
        <f t="shared" si="2"/>
        <v>0</v>
      </c>
      <c r="I18">
        <f t="shared" si="3"/>
        <v>0</v>
      </c>
      <c r="J18">
        <v>230</v>
      </c>
      <c r="K18">
        <v>0</v>
      </c>
      <c r="M18">
        <v>15</v>
      </c>
      <c r="N18">
        <f t="shared" si="4"/>
        <v>0</v>
      </c>
      <c r="O18">
        <f t="shared" si="5"/>
        <v>0</v>
      </c>
      <c r="P18">
        <v>230</v>
      </c>
      <c r="Q18">
        <v>0</v>
      </c>
      <c r="S18">
        <v>15</v>
      </c>
      <c r="T18">
        <f t="shared" si="6"/>
        <v>0</v>
      </c>
      <c r="U18">
        <f t="shared" si="7"/>
        <v>0</v>
      </c>
      <c r="V18">
        <v>230</v>
      </c>
      <c r="W18">
        <v>0</v>
      </c>
    </row>
    <row r="19" spans="1:23" x14ac:dyDescent="0.3">
      <c r="A19">
        <v>16</v>
      </c>
      <c r="B19">
        <f t="shared" si="0"/>
        <v>0.43125000000000002</v>
      </c>
      <c r="C19">
        <f t="shared" si="1"/>
        <v>2300</v>
      </c>
      <c r="D19">
        <v>230</v>
      </c>
      <c r="E19">
        <v>10</v>
      </c>
      <c r="G19">
        <v>16</v>
      </c>
      <c r="H19">
        <f t="shared" si="2"/>
        <v>0</v>
      </c>
      <c r="I19">
        <f t="shared" si="3"/>
        <v>0</v>
      </c>
      <c r="J19">
        <v>230</v>
      </c>
      <c r="K19">
        <v>0</v>
      </c>
      <c r="M19">
        <v>16</v>
      </c>
      <c r="N19">
        <f t="shared" si="4"/>
        <v>0</v>
      </c>
      <c r="O19">
        <f t="shared" si="5"/>
        <v>0</v>
      </c>
      <c r="P19">
        <v>230</v>
      </c>
      <c r="Q19">
        <v>0</v>
      </c>
      <c r="S19">
        <v>16</v>
      </c>
      <c r="T19">
        <f t="shared" si="6"/>
        <v>0</v>
      </c>
      <c r="U19">
        <f t="shared" si="7"/>
        <v>0</v>
      </c>
      <c r="V19">
        <v>230</v>
      </c>
      <c r="W19">
        <v>0</v>
      </c>
    </row>
    <row r="20" spans="1:23" x14ac:dyDescent="0.3">
      <c r="A20">
        <v>17</v>
      </c>
      <c r="B20">
        <f t="shared" si="0"/>
        <v>0.21562500000000001</v>
      </c>
      <c r="C20">
        <f t="shared" si="1"/>
        <v>1150</v>
      </c>
      <c r="D20">
        <v>230</v>
      </c>
      <c r="E20">
        <v>5</v>
      </c>
      <c r="G20">
        <v>17</v>
      </c>
      <c r="H20">
        <f t="shared" si="2"/>
        <v>0.43125000000000002</v>
      </c>
      <c r="I20">
        <f t="shared" si="3"/>
        <v>2300</v>
      </c>
      <c r="J20">
        <v>230</v>
      </c>
      <c r="K20" s="3">
        <v>10</v>
      </c>
      <c r="M20">
        <v>17</v>
      </c>
      <c r="N20">
        <f t="shared" si="4"/>
        <v>0</v>
      </c>
      <c r="O20">
        <f t="shared" si="5"/>
        <v>0</v>
      </c>
      <c r="P20">
        <v>230</v>
      </c>
      <c r="Q20">
        <v>0</v>
      </c>
      <c r="S20">
        <v>17</v>
      </c>
      <c r="T20">
        <f t="shared" si="6"/>
        <v>0</v>
      </c>
      <c r="U20">
        <f t="shared" si="7"/>
        <v>0</v>
      </c>
      <c r="V20">
        <v>230</v>
      </c>
      <c r="W20">
        <v>0</v>
      </c>
    </row>
    <row r="21" spans="1:23" x14ac:dyDescent="0.3">
      <c r="A21">
        <v>18</v>
      </c>
      <c r="B21">
        <f t="shared" si="0"/>
        <v>0.43125000000000002</v>
      </c>
      <c r="C21">
        <f t="shared" si="1"/>
        <v>2300</v>
      </c>
      <c r="D21">
        <v>230</v>
      </c>
      <c r="E21">
        <v>10</v>
      </c>
      <c r="G21">
        <v>18</v>
      </c>
      <c r="H21">
        <f t="shared" si="2"/>
        <v>0</v>
      </c>
      <c r="I21">
        <f t="shared" si="3"/>
        <v>0</v>
      </c>
      <c r="J21">
        <v>230</v>
      </c>
      <c r="K21">
        <v>0</v>
      </c>
      <c r="M21">
        <v>18</v>
      </c>
      <c r="N21">
        <f t="shared" si="4"/>
        <v>0.43125000000000002</v>
      </c>
      <c r="O21">
        <f t="shared" si="5"/>
        <v>2300</v>
      </c>
      <c r="P21">
        <v>230</v>
      </c>
      <c r="Q21">
        <v>10</v>
      </c>
      <c r="S21">
        <v>18</v>
      </c>
      <c r="T21">
        <f t="shared" si="6"/>
        <v>0</v>
      </c>
      <c r="U21">
        <f t="shared" si="7"/>
        <v>0</v>
      </c>
      <c r="V21">
        <v>230</v>
      </c>
      <c r="W21">
        <v>0</v>
      </c>
    </row>
    <row r="22" spans="1:23" x14ac:dyDescent="0.3">
      <c r="A22">
        <v>19</v>
      </c>
      <c r="B22">
        <f t="shared" si="0"/>
        <v>0.21562500000000001</v>
      </c>
      <c r="C22">
        <f t="shared" si="1"/>
        <v>1150</v>
      </c>
      <c r="D22">
        <v>230</v>
      </c>
      <c r="E22">
        <v>5</v>
      </c>
      <c r="G22">
        <v>19</v>
      </c>
      <c r="H22">
        <f t="shared" si="2"/>
        <v>0</v>
      </c>
      <c r="I22">
        <f t="shared" si="3"/>
        <v>0</v>
      </c>
      <c r="J22">
        <v>230</v>
      </c>
      <c r="K22">
        <v>0</v>
      </c>
      <c r="M22">
        <v>19</v>
      </c>
      <c r="N22">
        <f t="shared" si="4"/>
        <v>0.21562500000000001</v>
      </c>
      <c r="O22">
        <f t="shared" si="5"/>
        <v>1150</v>
      </c>
      <c r="P22">
        <v>230</v>
      </c>
      <c r="Q22">
        <v>5</v>
      </c>
      <c r="S22">
        <v>19</v>
      </c>
      <c r="T22">
        <f t="shared" si="6"/>
        <v>0</v>
      </c>
      <c r="U22">
        <f t="shared" si="7"/>
        <v>0</v>
      </c>
      <c r="V22">
        <v>230</v>
      </c>
      <c r="W22">
        <v>0</v>
      </c>
    </row>
    <row r="23" spans="1:23" x14ac:dyDescent="0.3">
      <c r="A23">
        <v>20</v>
      </c>
      <c r="B23">
        <f t="shared" si="0"/>
        <v>0.43125000000000002</v>
      </c>
      <c r="C23">
        <f t="shared" si="1"/>
        <v>2300</v>
      </c>
      <c r="D23">
        <v>230</v>
      </c>
      <c r="E23">
        <v>10</v>
      </c>
      <c r="G23">
        <v>20</v>
      </c>
      <c r="H23">
        <f t="shared" si="2"/>
        <v>0</v>
      </c>
      <c r="I23">
        <f t="shared" si="3"/>
        <v>0</v>
      </c>
      <c r="J23">
        <v>230</v>
      </c>
      <c r="K23">
        <v>0</v>
      </c>
      <c r="M23">
        <v>20</v>
      </c>
      <c r="N23">
        <f t="shared" si="4"/>
        <v>0</v>
      </c>
      <c r="O23">
        <f t="shared" si="5"/>
        <v>0</v>
      </c>
      <c r="P23">
        <v>230</v>
      </c>
      <c r="Q23">
        <v>0</v>
      </c>
      <c r="S23">
        <v>20</v>
      </c>
      <c r="T23">
        <f t="shared" si="6"/>
        <v>0</v>
      </c>
      <c r="U23">
        <f t="shared" si="7"/>
        <v>0</v>
      </c>
      <c r="V23">
        <v>230</v>
      </c>
      <c r="W23">
        <v>0</v>
      </c>
    </row>
    <row r="24" spans="1:23" x14ac:dyDescent="0.3">
      <c r="A24">
        <v>21</v>
      </c>
      <c r="B24">
        <f t="shared" si="0"/>
        <v>0.21562500000000001</v>
      </c>
      <c r="C24">
        <f t="shared" si="1"/>
        <v>1150</v>
      </c>
      <c r="D24">
        <v>230</v>
      </c>
      <c r="E24">
        <v>5</v>
      </c>
      <c r="G24">
        <v>21</v>
      </c>
      <c r="H24">
        <f t="shared" si="2"/>
        <v>0</v>
      </c>
      <c r="I24">
        <f t="shared" si="3"/>
        <v>0</v>
      </c>
      <c r="J24">
        <v>230</v>
      </c>
      <c r="K24">
        <v>0</v>
      </c>
      <c r="M24">
        <v>21</v>
      </c>
      <c r="N24">
        <f t="shared" si="4"/>
        <v>0</v>
      </c>
      <c r="O24">
        <f t="shared" si="5"/>
        <v>0</v>
      </c>
      <c r="P24">
        <v>230</v>
      </c>
      <c r="Q24">
        <v>0</v>
      </c>
      <c r="S24">
        <v>21</v>
      </c>
      <c r="T24">
        <f t="shared" si="6"/>
        <v>0</v>
      </c>
      <c r="U24">
        <f t="shared" si="7"/>
        <v>0</v>
      </c>
      <c r="V24">
        <v>230</v>
      </c>
      <c r="W24">
        <v>0</v>
      </c>
    </row>
    <row r="25" spans="1:23" x14ac:dyDescent="0.3">
      <c r="A25">
        <v>22</v>
      </c>
      <c r="B25">
        <f t="shared" si="0"/>
        <v>0.43125000000000002</v>
      </c>
      <c r="C25">
        <f t="shared" si="1"/>
        <v>2300</v>
      </c>
      <c r="D25">
        <v>230</v>
      </c>
      <c r="E25">
        <v>10</v>
      </c>
      <c r="G25">
        <v>22</v>
      </c>
      <c r="H25">
        <f t="shared" si="2"/>
        <v>0</v>
      </c>
      <c r="I25">
        <f t="shared" si="3"/>
        <v>0</v>
      </c>
      <c r="J25">
        <v>230</v>
      </c>
      <c r="K25">
        <v>0</v>
      </c>
      <c r="M25">
        <v>22</v>
      </c>
      <c r="N25">
        <f t="shared" si="4"/>
        <v>0</v>
      </c>
      <c r="O25">
        <f t="shared" si="5"/>
        <v>0</v>
      </c>
      <c r="P25">
        <v>230</v>
      </c>
      <c r="Q25">
        <v>0</v>
      </c>
      <c r="S25">
        <v>22</v>
      </c>
      <c r="T25">
        <f t="shared" si="6"/>
        <v>0.43125000000000002</v>
      </c>
      <c r="U25">
        <f t="shared" si="7"/>
        <v>2300</v>
      </c>
      <c r="V25">
        <v>230</v>
      </c>
      <c r="W25">
        <v>10</v>
      </c>
    </row>
    <row r="26" spans="1:23" x14ac:dyDescent="0.3">
      <c r="A26">
        <v>23</v>
      </c>
      <c r="B26">
        <f t="shared" si="0"/>
        <v>0.21562500000000001</v>
      </c>
      <c r="C26">
        <f t="shared" si="1"/>
        <v>1150</v>
      </c>
      <c r="D26">
        <v>230</v>
      </c>
      <c r="E26">
        <v>5</v>
      </c>
      <c r="G26">
        <v>23</v>
      </c>
      <c r="H26">
        <f t="shared" si="2"/>
        <v>0</v>
      </c>
      <c r="I26">
        <f t="shared" si="3"/>
        <v>0</v>
      </c>
      <c r="J26">
        <v>230</v>
      </c>
      <c r="K26">
        <v>0</v>
      </c>
      <c r="M26">
        <v>23</v>
      </c>
      <c r="N26">
        <f t="shared" si="4"/>
        <v>0</v>
      </c>
      <c r="O26">
        <f t="shared" si="5"/>
        <v>0</v>
      </c>
      <c r="P26">
        <v>230</v>
      </c>
      <c r="Q26">
        <v>0</v>
      </c>
      <c r="S26">
        <v>23</v>
      </c>
      <c r="T26">
        <f t="shared" si="6"/>
        <v>0.43125000000000002</v>
      </c>
      <c r="U26">
        <f t="shared" si="7"/>
        <v>2300</v>
      </c>
      <c r="V26">
        <v>230</v>
      </c>
      <c r="W26">
        <v>10</v>
      </c>
    </row>
    <row r="27" spans="1:23" x14ac:dyDescent="0.3">
      <c r="B27" s="1">
        <f>SUM(B3:B26)</f>
        <v>7.1156250000000032</v>
      </c>
      <c r="C27" s="1">
        <f>SUM(C3:C26)</f>
        <v>37950</v>
      </c>
      <c r="H27" s="1">
        <f>SUM(H3:H26)</f>
        <v>0.86250000000000004</v>
      </c>
      <c r="I27" s="1">
        <f>SUM(I3:I26)</f>
        <v>4600</v>
      </c>
      <c r="N27" s="1">
        <f>SUM(N3:N26)</f>
        <v>1.29375</v>
      </c>
      <c r="O27" s="1">
        <f>SUM(O3:O26)</f>
        <v>6900</v>
      </c>
      <c r="T27" s="1">
        <f>SUM(T3:T26)</f>
        <v>1.7250000000000001</v>
      </c>
      <c r="U27" s="1">
        <f>SUM(U3:U26)</f>
        <v>9200</v>
      </c>
    </row>
    <row r="28" spans="1:23" x14ac:dyDescent="0.3">
      <c r="A28" t="s">
        <v>8</v>
      </c>
      <c r="C28">
        <f>C27*187500/1000000000</f>
        <v>7.1156249999999996</v>
      </c>
      <c r="D28" t="s">
        <v>12</v>
      </c>
      <c r="G28" t="s">
        <v>8</v>
      </c>
      <c r="I28">
        <f>I27*187500/1000000000</f>
        <v>0.86250000000000004</v>
      </c>
      <c r="J28" t="s">
        <v>12</v>
      </c>
      <c r="M28" t="s">
        <v>8</v>
      </c>
      <c r="O28">
        <f>O27*187500/1000000000</f>
        <v>1.29375</v>
      </c>
      <c r="P28" t="s">
        <v>12</v>
      </c>
      <c r="S28" t="s">
        <v>8</v>
      </c>
      <c r="U28">
        <f>U27*187500/1000000000</f>
        <v>1.7250000000000001</v>
      </c>
      <c r="V28" t="s">
        <v>12</v>
      </c>
    </row>
    <row r="31" spans="1:23" x14ac:dyDescent="0.3">
      <c r="A31" s="1" t="s">
        <v>9</v>
      </c>
      <c r="E31" s="1" t="s">
        <v>10</v>
      </c>
      <c r="I31" s="1" t="s">
        <v>11</v>
      </c>
      <c r="M31" s="1" t="s">
        <v>13</v>
      </c>
      <c r="Q31" s="1" t="s">
        <v>15</v>
      </c>
    </row>
    <row r="32" spans="1:23" x14ac:dyDescent="0.3">
      <c r="A32" t="s">
        <v>5</v>
      </c>
      <c r="B32" t="s">
        <v>31</v>
      </c>
      <c r="C32" t="s">
        <v>32</v>
      </c>
      <c r="E32" t="s">
        <v>5</v>
      </c>
      <c r="F32" t="s">
        <v>31</v>
      </c>
      <c r="G32" t="s">
        <v>32</v>
      </c>
      <c r="I32" t="s">
        <v>5</v>
      </c>
      <c r="J32" t="s">
        <v>31</v>
      </c>
      <c r="K32" t="s">
        <v>32</v>
      </c>
      <c r="M32" t="s">
        <v>5</v>
      </c>
      <c r="N32" t="s">
        <v>31</v>
      </c>
      <c r="O32" t="s">
        <v>32</v>
      </c>
      <c r="Q32" t="s">
        <v>5</v>
      </c>
      <c r="R32" t="s">
        <v>30</v>
      </c>
    </row>
    <row r="33" spans="1:20" x14ac:dyDescent="0.3">
      <c r="A33">
        <v>0</v>
      </c>
      <c r="B33">
        <f>C33*300000/1000000000</f>
        <v>0</v>
      </c>
      <c r="C33">
        <v>0</v>
      </c>
      <c r="E33">
        <v>0</v>
      </c>
      <c r="F33">
        <f>G33*300000/1000000000</f>
        <v>0</v>
      </c>
      <c r="G33">
        <v>0</v>
      </c>
      <c r="I33">
        <v>0</v>
      </c>
      <c r="J33">
        <f>K33*300000/1000000000</f>
        <v>0</v>
      </c>
      <c r="K33">
        <v>0</v>
      </c>
      <c r="M33">
        <v>0</v>
      </c>
      <c r="N33">
        <f>O33*187500/1000000000</f>
        <v>9.3749999999999997E-4</v>
      </c>
      <c r="O33">
        <v>5</v>
      </c>
      <c r="Q33">
        <v>0</v>
      </c>
      <c r="R33">
        <v>0.20547945205479454</v>
      </c>
      <c r="T33" t="s">
        <v>17</v>
      </c>
    </row>
    <row r="34" spans="1:20" x14ac:dyDescent="0.3">
      <c r="A34">
        <v>1</v>
      </c>
      <c r="B34">
        <f t="shared" ref="B34:B56" si="8">C34*300000/1000000000</f>
        <v>0</v>
      </c>
      <c r="C34">
        <v>0</v>
      </c>
      <c r="E34">
        <v>1</v>
      </c>
      <c r="F34">
        <f t="shared" ref="F34:F56" si="9">G34*300000/1000000000</f>
        <v>0</v>
      </c>
      <c r="G34">
        <v>0</v>
      </c>
      <c r="I34">
        <v>1</v>
      </c>
      <c r="J34">
        <f t="shared" ref="J34:J56" si="10">K34*300000/1000000000</f>
        <v>0</v>
      </c>
      <c r="K34">
        <v>0</v>
      </c>
      <c r="M34">
        <v>1</v>
      </c>
      <c r="N34">
        <f t="shared" ref="N34:N56" si="11">O34*187500/1000000000</f>
        <v>9.3749999999999997E-4</v>
      </c>
      <c r="O34">
        <v>5</v>
      </c>
      <c r="Q34">
        <v>1</v>
      </c>
      <c r="R34">
        <v>0.20547945205479454</v>
      </c>
      <c r="T34">
        <v>1800</v>
      </c>
    </row>
    <row r="35" spans="1:20" x14ac:dyDescent="0.3">
      <c r="A35">
        <v>2</v>
      </c>
      <c r="B35">
        <f t="shared" si="8"/>
        <v>0</v>
      </c>
      <c r="C35">
        <v>0</v>
      </c>
      <c r="E35">
        <v>2</v>
      </c>
      <c r="F35">
        <f t="shared" si="9"/>
        <v>0</v>
      </c>
      <c r="G35">
        <v>0</v>
      </c>
      <c r="I35">
        <v>2</v>
      </c>
      <c r="J35">
        <f t="shared" si="10"/>
        <v>0</v>
      </c>
      <c r="K35">
        <v>0</v>
      </c>
      <c r="M35">
        <v>2</v>
      </c>
      <c r="N35">
        <f t="shared" si="11"/>
        <v>9.3749999999999997E-4</v>
      </c>
      <c r="O35">
        <v>5</v>
      </c>
      <c r="Q35">
        <v>2</v>
      </c>
      <c r="R35">
        <v>0.20547945205479454</v>
      </c>
      <c r="T35" t="s">
        <v>18</v>
      </c>
    </row>
    <row r="36" spans="1:20" x14ac:dyDescent="0.3">
      <c r="A36">
        <v>3</v>
      </c>
      <c r="B36">
        <f t="shared" si="8"/>
        <v>0</v>
      </c>
      <c r="C36">
        <v>0</v>
      </c>
      <c r="E36">
        <v>3</v>
      </c>
      <c r="F36">
        <f t="shared" si="9"/>
        <v>0</v>
      </c>
      <c r="G36">
        <v>0</v>
      </c>
      <c r="I36">
        <v>3</v>
      </c>
      <c r="J36">
        <f t="shared" si="10"/>
        <v>0</v>
      </c>
      <c r="K36">
        <v>0</v>
      </c>
      <c r="M36">
        <v>3</v>
      </c>
      <c r="N36">
        <f t="shared" si="11"/>
        <v>9.3749999999999997E-4</v>
      </c>
      <c r="O36">
        <v>5</v>
      </c>
      <c r="Q36">
        <v>3</v>
      </c>
      <c r="R36">
        <v>0.20547945205479454</v>
      </c>
      <c r="T36">
        <v>365</v>
      </c>
    </row>
    <row r="37" spans="1:20" x14ac:dyDescent="0.3">
      <c r="A37">
        <v>4</v>
      </c>
      <c r="B37">
        <f t="shared" si="8"/>
        <v>0</v>
      </c>
      <c r="C37">
        <v>0</v>
      </c>
      <c r="E37">
        <v>4</v>
      </c>
      <c r="F37">
        <f t="shared" si="9"/>
        <v>0</v>
      </c>
      <c r="G37">
        <v>0</v>
      </c>
      <c r="I37">
        <v>4</v>
      </c>
      <c r="J37">
        <f t="shared" si="10"/>
        <v>0</v>
      </c>
      <c r="K37">
        <v>0</v>
      </c>
      <c r="M37">
        <v>4</v>
      </c>
      <c r="N37">
        <f t="shared" si="11"/>
        <v>9.3749999999999997E-4</v>
      </c>
      <c r="O37">
        <v>5</v>
      </c>
      <c r="Q37">
        <v>4</v>
      </c>
      <c r="R37">
        <v>0.20547945205479454</v>
      </c>
      <c r="T37" t="s">
        <v>19</v>
      </c>
    </row>
    <row r="38" spans="1:20" x14ac:dyDescent="0.3">
      <c r="A38">
        <v>5</v>
      </c>
      <c r="B38">
        <f t="shared" si="8"/>
        <v>0</v>
      </c>
      <c r="C38">
        <v>0</v>
      </c>
      <c r="E38">
        <v>5</v>
      </c>
      <c r="F38">
        <f t="shared" si="9"/>
        <v>0</v>
      </c>
      <c r="G38">
        <v>0</v>
      </c>
      <c r="I38">
        <v>5</v>
      </c>
      <c r="J38">
        <f t="shared" si="10"/>
        <v>0</v>
      </c>
      <c r="K38">
        <v>0</v>
      </c>
      <c r="M38">
        <v>5</v>
      </c>
      <c r="N38">
        <f t="shared" si="11"/>
        <v>9.3749999999999997E-4</v>
      </c>
      <c r="O38">
        <v>5</v>
      </c>
      <c r="Q38">
        <v>5</v>
      </c>
      <c r="R38">
        <v>0.20547945205479454</v>
      </c>
      <c r="T38">
        <f>T34/T36</f>
        <v>4.9315068493150687</v>
      </c>
    </row>
    <row r="39" spans="1:20" x14ac:dyDescent="0.3">
      <c r="A39">
        <v>6</v>
      </c>
      <c r="B39">
        <f t="shared" si="8"/>
        <v>0</v>
      </c>
      <c r="C39">
        <v>0</v>
      </c>
      <c r="E39">
        <v>6</v>
      </c>
      <c r="F39">
        <f t="shared" si="9"/>
        <v>0</v>
      </c>
      <c r="G39">
        <v>0</v>
      </c>
      <c r="I39">
        <v>6</v>
      </c>
      <c r="J39">
        <f t="shared" si="10"/>
        <v>0</v>
      </c>
      <c r="K39">
        <v>0</v>
      </c>
      <c r="M39">
        <v>6</v>
      </c>
      <c r="N39">
        <f t="shared" si="11"/>
        <v>9.3749999999999997E-4</v>
      </c>
      <c r="O39">
        <v>5</v>
      </c>
      <c r="Q39">
        <v>6</v>
      </c>
      <c r="R39">
        <v>0.20547945205479454</v>
      </c>
      <c r="T39" t="s">
        <v>24</v>
      </c>
    </row>
    <row r="40" spans="1:20" x14ac:dyDescent="0.3">
      <c r="A40">
        <v>7</v>
      </c>
      <c r="B40">
        <f t="shared" si="8"/>
        <v>0</v>
      </c>
      <c r="C40">
        <v>0</v>
      </c>
      <c r="E40">
        <v>7</v>
      </c>
      <c r="F40">
        <f t="shared" si="9"/>
        <v>0</v>
      </c>
      <c r="G40">
        <v>0</v>
      </c>
      <c r="I40">
        <v>7</v>
      </c>
      <c r="J40">
        <f t="shared" si="10"/>
        <v>0</v>
      </c>
      <c r="K40">
        <v>0</v>
      </c>
      <c r="M40">
        <v>7</v>
      </c>
      <c r="N40">
        <f t="shared" si="11"/>
        <v>9.3749999999999997E-4</v>
      </c>
      <c r="O40">
        <v>5</v>
      </c>
      <c r="Q40">
        <v>7</v>
      </c>
      <c r="R40">
        <v>0.20547945205479454</v>
      </c>
      <c r="T40">
        <f>T38/24</f>
        <v>0.20547945205479454</v>
      </c>
    </row>
    <row r="41" spans="1:20" x14ac:dyDescent="0.3">
      <c r="A41">
        <v>8</v>
      </c>
      <c r="B41">
        <f t="shared" si="8"/>
        <v>0</v>
      </c>
      <c r="C41">
        <v>0</v>
      </c>
      <c r="E41">
        <v>8</v>
      </c>
      <c r="F41">
        <f t="shared" si="9"/>
        <v>0</v>
      </c>
      <c r="G41">
        <v>0</v>
      </c>
      <c r="I41">
        <v>8</v>
      </c>
      <c r="J41">
        <f t="shared" si="10"/>
        <v>0</v>
      </c>
      <c r="K41">
        <v>0</v>
      </c>
      <c r="M41">
        <v>8</v>
      </c>
      <c r="N41">
        <f t="shared" si="11"/>
        <v>9.3749999999999997E-4</v>
      </c>
      <c r="O41">
        <v>5</v>
      </c>
      <c r="Q41">
        <v>8</v>
      </c>
      <c r="R41">
        <v>0.20547945205479454</v>
      </c>
    </row>
    <row r="42" spans="1:20" x14ac:dyDescent="0.3">
      <c r="A42">
        <v>9</v>
      </c>
      <c r="B42">
        <f t="shared" si="8"/>
        <v>0</v>
      </c>
      <c r="C42">
        <v>0</v>
      </c>
      <c r="E42">
        <v>9</v>
      </c>
      <c r="F42">
        <f t="shared" si="9"/>
        <v>0</v>
      </c>
      <c r="G42">
        <v>0</v>
      </c>
      <c r="I42">
        <v>9</v>
      </c>
      <c r="J42">
        <f t="shared" si="10"/>
        <v>4.4999999999999997E-3</v>
      </c>
      <c r="K42">
        <v>15</v>
      </c>
      <c r="M42">
        <v>9</v>
      </c>
      <c r="N42">
        <f t="shared" si="11"/>
        <v>9.3749999999999997E-4</v>
      </c>
      <c r="O42">
        <v>5</v>
      </c>
      <c r="Q42">
        <v>9</v>
      </c>
      <c r="R42">
        <v>0.20547945205479454</v>
      </c>
    </row>
    <row r="43" spans="1:20" x14ac:dyDescent="0.3">
      <c r="A43">
        <v>10</v>
      </c>
      <c r="B43">
        <f t="shared" si="8"/>
        <v>0</v>
      </c>
      <c r="C43">
        <v>0</v>
      </c>
      <c r="E43">
        <v>10</v>
      </c>
      <c r="F43">
        <f>G43*300000/1000000000</f>
        <v>0</v>
      </c>
      <c r="G43">
        <v>0</v>
      </c>
      <c r="I43">
        <v>10</v>
      </c>
      <c r="J43">
        <f t="shared" si="10"/>
        <v>4.4999999999999997E-3</v>
      </c>
      <c r="K43">
        <v>15</v>
      </c>
      <c r="M43">
        <v>10</v>
      </c>
      <c r="N43">
        <f t="shared" si="11"/>
        <v>9.3749999999999997E-4</v>
      </c>
      <c r="O43">
        <v>5</v>
      </c>
      <c r="Q43">
        <v>10</v>
      </c>
      <c r="R43">
        <v>0.20547945205479454</v>
      </c>
    </row>
    <row r="44" spans="1:20" x14ac:dyDescent="0.3">
      <c r="A44">
        <v>11</v>
      </c>
      <c r="B44">
        <f t="shared" si="8"/>
        <v>0</v>
      </c>
      <c r="C44">
        <v>0</v>
      </c>
      <c r="E44">
        <v>11</v>
      </c>
      <c r="F44">
        <f t="shared" si="9"/>
        <v>0</v>
      </c>
      <c r="G44">
        <v>0</v>
      </c>
      <c r="I44">
        <v>11</v>
      </c>
      <c r="J44">
        <f t="shared" si="10"/>
        <v>4.4999999999999997E-3</v>
      </c>
      <c r="K44">
        <v>15</v>
      </c>
      <c r="M44">
        <v>11</v>
      </c>
      <c r="N44">
        <f t="shared" si="11"/>
        <v>9.3749999999999997E-4</v>
      </c>
      <c r="O44">
        <v>5</v>
      </c>
      <c r="Q44">
        <v>11</v>
      </c>
      <c r="R44">
        <v>0.20547945205479454</v>
      </c>
    </row>
    <row r="45" spans="1:20" x14ac:dyDescent="0.3">
      <c r="A45">
        <v>12</v>
      </c>
      <c r="B45">
        <f t="shared" si="8"/>
        <v>0</v>
      </c>
      <c r="C45">
        <v>0</v>
      </c>
      <c r="E45">
        <v>12</v>
      </c>
      <c r="F45">
        <f>G45*300000/1000000000</f>
        <v>2.01E-2</v>
      </c>
      <c r="G45">
        <v>67</v>
      </c>
      <c r="I45">
        <v>12</v>
      </c>
      <c r="J45">
        <f t="shared" si="10"/>
        <v>0</v>
      </c>
      <c r="K45">
        <v>0</v>
      </c>
      <c r="M45">
        <v>12</v>
      </c>
      <c r="N45">
        <f t="shared" si="11"/>
        <v>9.3749999999999997E-4</v>
      </c>
      <c r="O45">
        <v>5</v>
      </c>
      <c r="Q45">
        <v>12</v>
      </c>
      <c r="R45">
        <v>0.20547945205479454</v>
      </c>
    </row>
    <row r="46" spans="1:20" x14ac:dyDescent="0.3">
      <c r="A46">
        <v>13</v>
      </c>
      <c r="B46">
        <f t="shared" si="8"/>
        <v>0</v>
      </c>
      <c r="C46">
        <v>0</v>
      </c>
      <c r="E46">
        <v>13</v>
      </c>
      <c r="F46">
        <f t="shared" si="9"/>
        <v>2.01E-2</v>
      </c>
      <c r="G46">
        <v>67</v>
      </c>
      <c r="I46">
        <v>13</v>
      </c>
      <c r="J46">
        <f t="shared" si="10"/>
        <v>0</v>
      </c>
      <c r="K46">
        <v>0</v>
      </c>
      <c r="M46">
        <v>13</v>
      </c>
      <c r="N46">
        <f t="shared" si="11"/>
        <v>9.3749999999999997E-4</v>
      </c>
      <c r="O46">
        <v>5</v>
      </c>
      <c r="Q46">
        <v>13</v>
      </c>
      <c r="R46">
        <v>0.20547945205479454</v>
      </c>
    </row>
    <row r="47" spans="1:20" x14ac:dyDescent="0.3">
      <c r="A47">
        <v>14</v>
      </c>
      <c r="B47">
        <f t="shared" si="8"/>
        <v>0</v>
      </c>
      <c r="C47">
        <v>0</v>
      </c>
      <c r="E47">
        <v>14</v>
      </c>
      <c r="F47">
        <f t="shared" si="9"/>
        <v>2.01E-2</v>
      </c>
      <c r="G47">
        <v>67</v>
      </c>
      <c r="I47">
        <v>14</v>
      </c>
      <c r="J47">
        <f t="shared" si="10"/>
        <v>0</v>
      </c>
      <c r="K47">
        <v>0</v>
      </c>
      <c r="M47">
        <v>14</v>
      </c>
      <c r="N47">
        <f t="shared" si="11"/>
        <v>9.3749999999999997E-4</v>
      </c>
      <c r="O47">
        <v>5</v>
      </c>
      <c r="Q47">
        <v>14</v>
      </c>
      <c r="R47">
        <v>0.20547945205479454</v>
      </c>
    </row>
    <row r="48" spans="1:20" x14ac:dyDescent="0.3">
      <c r="A48">
        <v>15</v>
      </c>
      <c r="B48">
        <f t="shared" si="8"/>
        <v>0</v>
      </c>
      <c r="C48">
        <v>0</v>
      </c>
      <c r="E48">
        <v>15</v>
      </c>
      <c r="F48">
        <f>G48*300000/1000000000</f>
        <v>2.01E-2</v>
      </c>
      <c r="G48" s="3">
        <v>67</v>
      </c>
      <c r="I48">
        <v>15</v>
      </c>
      <c r="J48">
        <f t="shared" si="10"/>
        <v>0</v>
      </c>
      <c r="K48">
        <v>0</v>
      </c>
      <c r="M48">
        <v>15</v>
      </c>
      <c r="N48">
        <f t="shared" si="11"/>
        <v>9.3749999999999997E-4</v>
      </c>
      <c r="O48">
        <v>5</v>
      </c>
      <c r="Q48">
        <v>15</v>
      </c>
      <c r="R48">
        <v>0.20547945205479454</v>
      </c>
    </row>
    <row r="49" spans="1:18" x14ac:dyDescent="0.3">
      <c r="A49">
        <v>16</v>
      </c>
      <c r="B49">
        <f t="shared" si="8"/>
        <v>0</v>
      </c>
      <c r="C49">
        <v>0</v>
      </c>
      <c r="E49">
        <v>16</v>
      </c>
      <c r="F49">
        <f t="shared" si="9"/>
        <v>2.01E-2</v>
      </c>
      <c r="G49">
        <v>67</v>
      </c>
      <c r="I49">
        <v>16</v>
      </c>
      <c r="J49">
        <f t="shared" si="10"/>
        <v>0</v>
      </c>
      <c r="K49">
        <v>0</v>
      </c>
      <c r="M49">
        <v>16</v>
      </c>
      <c r="N49">
        <f t="shared" si="11"/>
        <v>9.3749999999999997E-4</v>
      </c>
      <c r="O49">
        <v>5</v>
      </c>
      <c r="Q49">
        <v>16</v>
      </c>
      <c r="R49">
        <v>0.20547945205479454</v>
      </c>
    </row>
    <row r="50" spans="1:18" x14ac:dyDescent="0.3">
      <c r="A50">
        <v>17</v>
      </c>
      <c r="B50">
        <f t="shared" si="8"/>
        <v>0</v>
      </c>
      <c r="C50">
        <v>0</v>
      </c>
      <c r="E50">
        <v>17</v>
      </c>
      <c r="F50">
        <f t="shared" si="9"/>
        <v>0</v>
      </c>
      <c r="G50">
        <v>0</v>
      </c>
      <c r="I50">
        <v>17</v>
      </c>
      <c r="J50">
        <f t="shared" si="10"/>
        <v>0</v>
      </c>
      <c r="K50">
        <v>0</v>
      </c>
      <c r="M50">
        <v>17</v>
      </c>
      <c r="N50">
        <f t="shared" si="11"/>
        <v>9.3749999999999997E-4</v>
      </c>
      <c r="O50">
        <v>5</v>
      </c>
      <c r="Q50">
        <v>17</v>
      </c>
      <c r="R50">
        <v>0.20547945205479454</v>
      </c>
    </row>
    <row r="51" spans="1:18" x14ac:dyDescent="0.3">
      <c r="A51">
        <v>18</v>
      </c>
      <c r="B51">
        <f t="shared" si="8"/>
        <v>0.03</v>
      </c>
      <c r="C51">
        <v>100</v>
      </c>
      <c r="E51">
        <v>18</v>
      </c>
      <c r="F51">
        <f t="shared" si="9"/>
        <v>0</v>
      </c>
      <c r="G51">
        <v>0</v>
      </c>
      <c r="I51">
        <v>18</v>
      </c>
      <c r="J51">
        <f t="shared" si="10"/>
        <v>0</v>
      </c>
      <c r="K51">
        <v>0</v>
      </c>
      <c r="M51">
        <v>18</v>
      </c>
      <c r="N51">
        <f t="shared" si="11"/>
        <v>9.3749999999999997E-4</v>
      </c>
      <c r="O51">
        <v>5</v>
      </c>
      <c r="Q51">
        <v>18</v>
      </c>
      <c r="R51">
        <v>0.20547945205479454</v>
      </c>
    </row>
    <row r="52" spans="1:18" x14ac:dyDescent="0.3">
      <c r="A52">
        <v>19</v>
      </c>
      <c r="B52">
        <f t="shared" si="8"/>
        <v>0.03</v>
      </c>
      <c r="C52">
        <v>100</v>
      </c>
      <c r="E52">
        <v>19</v>
      </c>
      <c r="F52">
        <f t="shared" si="9"/>
        <v>0</v>
      </c>
      <c r="G52">
        <v>0</v>
      </c>
      <c r="I52">
        <v>19</v>
      </c>
      <c r="J52">
        <f t="shared" si="10"/>
        <v>0</v>
      </c>
      <c r="K52">
        <v>0</v>
      </c>
      <c r="M52">
        <v>19</v>
      </c>
      <c r="N52">
        <f t="shared" si="11"/>
        <v>9.3749999999999997E-4</v>
      </c>
      <c r="O52">
        <v>5</v>
      </c>
      <c r="Q52">
        <v>19</v>
      </c>
      <c r="R52">
        <v>0.20547945205479454</v>
      </c>
    </row>
    <row r="53" spans="1:18" x14ac:dyDescent="0.3">
      <c r="A53">
        <v>20</v>
      </c>
      <c r="B53">
        <f t="shared" si="8"/>
        <v>0.03</v>
      </c>
      <c r="C53">
        <v>100</v>
      </c>
      <c r="E53">
        <v>20</v>
      </c>
      <c r="F53">
        <f t="shared" si="9"/>
        <v>0</v>
      </c>
      <c r="G53">
        <v>0</v>
      </c>
      <c r="I53">
        <v>20</v>
      </c>
      <c r="J53">
        <f t="shared" si="10"/>
        <v>0</v>
      </c>
      <c r="K53">
        <v>0</v>
      </c>
      <c r="M53">
        <v>20</v>
      </c>
      <c r="N53">
        <f t="shared" si="11"/>
        <v>9.3749999999999997E-4</v>
      </c>
      <c r="O53">
        <v>5</v>
      </c>
      <c r="Q53">
        <v>20</v>
      </c>
      <c r="R53">
        <v>0.20547945205479454</v>
      </c>
    </row>
    <row r="54" spans="1:18" x14ac:dyDescent="0.3">
      <c r="A54">
        <v>21</v>
      </c>
      <c r="B54">
        <f t="shared" si="8"/>
        <v>0.03</v>
      </c>
      <c r="C54">
        <v>100</v>
      </c>
      <c r="E54">
        <v>21</v>
      </c>
      <c r="F54">
        <f t="shared" si="9"/>
        <v>0</v>
      </c>
      <c r="G54">
        <v>0</v>
      </c>
      <c r="I54">
        <v>21</v>
      </c>
      <c r="J54">
        <f t="shared" si="10"/>
        <v>0</v>
      </c>
      <c r="K54">
        <v>0</v>
      </c>
      <c r="M54">
        <v>21</v>
      </c>
      <c r="N54">
        <f t="shared" si="11"/>
        <v>9.3749999999999997E-4</v>
      </c>
      <c r="O54">
        <v>5</v>
      </c>
      <c r="Q54">
        <v>21</v>
      </c>
      <c r="R54">
        <v>0.20547945205479454</v>
      </c>
    </row>
    <row r="55" spans="1:18" x14ac:dyDescent="0.3">
      <c r="A55">
        <v>22</v>
      </c>
      <c r="B55">
        <f t="shared" si="8"/>
        <v>0.03</v>
      </c>
      <c r="C55">
        <v>100</v>
      </c>
      <c r="E55">
        <v>22</v>
      </c>
      <c r="F55">
        <f t="shared" si="9"/>
        <v>0</v>
      </c>
      <c r="G55">
        <v>0</v>
      </c>
      <c r="I55">
        <v>22</v>
      </c>
      <c r="J55">
        <f t="shared" si="10"/>
        <v>0</v>
      </c>
      <c r="K55">
        <v>0</v>
      </c>
      <c r="M55">
        <v>22</v>
      </c>
      <c r="N55">
        <f t="shared" si="11"/>
        <v>9.3749999999999997E-4</v>
      </c>
      <c r="O55">
        <v>5</v>
      </c>
      <c r="Q55">
        <v>22</v>
      </c>
      <c r="R55">
        <v>0.20547945205479454</v>
      </c>
    </row>
    <row r="56" spans="1:18" x14ac:dyDescent="0.3">
      <c r="A56">
        <v>23</v>
      </c>
      <c r="B56">
        <f t="shared" si="8"/>
        <v>0</v>
      </c>
      <c r="C56">
        <v>0</v>
      </c>
      <c r="E56">
        <v>23</v>
      </c>
      <c r="F56">
        <f t="shared" si="9"/>
        <v>0</v>
      </c>
      <c r="G56">
        <v>0</v>
      </c>
      <c r="I56">
        <v>23</v>
      </c>
      <c r="J56">
        <f t="shared" si="10"/>
        <v>0</v>
      </c>
      <c r="K56">
        <v>0</v>
      </c>
      <c r="M56">
        <v>23</v>
      </c>
      <c r="N56">
        <f t="shared" si="11"/>
        <v>9.3749999999999997E-4</v>
      </c>
      <c r="O56">
        <v>5</v>
      </c>
      <c r="Q56">
        <v>23</v>
      </c>
      <c r="R56">
        <v>0.20547945205479454</v>
      </c>
    </row>
    <row r="57" spans="1:18" x14ac:dyDescent="0.3">
      <c r="B57" s="1">
        <f>SUM(B33:B56)</f>
        <v>0.15</v>
      </c>
      <c r="C57" s="1">
        <f>SUM(C33:C56)</f>
        <v>500</v>
      </c>
      <c r="F57" s="1">
        <f>SUM(F33:F56)</f>
        <v>0.10050000000000001</v>
      </c>
      <c r="G57" s="1">
        <f>SUM(G33:G56)</f>
        <v>335</v>
      </c>
      <c r="J57" s="1">
        <f>SUM(J33:J56)</f>
        <v>1.3499999999999998E-2</v>
      </c>
      <c r="K57" s="1">
        <f>SUM(K33:K56)</f>
        <v>45</v>
      </c>
      <c r="N57" s="1">
        <f>SUM(N33:N56)</f>
        <v>2.2500000000000013E-2</v>
      </c>
      <c r="O57" s="1">
        <f>SUM(O33:O56)</f>
        <v>120</v>
      </c>
      <c r="R57" s="1">
        <f>SUM(R33:R56)</f>
        <v>4.9315068493150696</v>
      </c>
    </row>
    <row r="58" spans="1:18" x14ac:dyDescent="0.3">
      <c r="A58" t="s">
        <v>14</v>
      </c>
      <c r="C58">
        <f>C57*300000/1000000000</f>
        <v>0.15</v>
      </c>
      <c r="D58" t="s">
        <v>12</v>
      </c>
      <c r="E58" t="s">
        <v>14</v>
      </c>
      <c r="G58">
        <f>G57*300000/1000000000</f>
        <v>0.10050000000000001</v>
      </c>
      <c r="H58" t="s">
        <v>12</v>
      </c>
      <c r="I58" t="s">
        <v>14</v>
      </c>
      <c r="K58">
        <f>K57*300000/1000000000</f>
        <v>1.35E-2</v>
      </c>
      <c r="L58" t="s">
        <v>12</v>
      </c>
      <c r="M58" t="s">
        <v>8</v>
      </c>
      <c r="O58">
        <f>O57*187500/1000000000</f>
        <v>2.2499999999999999E-2</v>
      </c>
      <c r="P58" t="s">
        <v>12</v>
      </c>
    </row>
    <row r="61" spans="1:18" x14ac:dyDescent="0.3">
      <c r="A61" s="1" t="s">
        <v>16</v>
      </c>
      <c r="H61" s="1" t="s">
        <v>20</v>
      </c>
      <c r="M61" s="1" t="s">
        <v>21</v>
      </c>
    </row>
    <row r="62" spans="1:18" x14ac:dyDescent="0.3">
      <c r="A62" t="s">
        <v>5</v>
      </c>
      <c r="B62" t="s">
        <v>31</v>
      </c>
      <c r="C62" t="s">
        <v>33</v>
      </c>
      <c r="D62" t="s">
        <v>34</v>
      </c>
      <c r="E62" t="s">
        <v>35</v>
      </c>
      <c r="F62" t="s">
        <v>36</v>
      </c>
      <c r="H62" t="s">
        <v>5</v>
      </c>
      <c r="I62" t="s">
        <v>37</v>
      </c>
      <c r="M62" t="s">
        <v>5</v>
      </c>
      <c r="N62" t="s">
        <v>41</v>
      </c>
      <c r="O62" t="s">
        <v>42</v>
      </c>
      <c r="P62" s="3"/>
    </row>
    <row r="63" spans="1:18" x14ac:dyDescent="0.3">
      <c r="A63">
        <v>0</v>
      </c>
      <c r="B63">
        <f>C63+D63+E63+F63</f>
        <v>0</v>
      </c>
      <c r="C63">
        <v>0</v>
      </c>
      <c r="D63">
        <v>0</v>
      </c>
      <c r="E63">
        <v>0</v>
      </c>
      <c r="F63">
        <v>0</v>
      </c>
      <c r="H63">
        <v>0</v>
      </c>
      <c r="I63" s="3">
        <v>0.40210714285714289</v>
      </c>
      <c r="M63">
        <v>0</v>
      </c>
      <c r="N63">
        <v>0.80711920529801329</v>
      </c>
      <c r="O63">
        <v>0.32543391188250997</v>
      </c>
      <c r="P63" s="3"/>
      <c r="Q63" t="s">
        <v>22</v>
      </c>
    </row>
    <row r="64" spans="1:18" x14ac:dyDescent="0.3">
      <c r="A64">
        <v>1</v>
      </c>
      <c r="B64">
        <f t="shared" ref="B64:B86" si="12">C64+D64+E64+F64</f>
        <v>0</v>
      </c>
      <c r="C64">
        <v>0</v>
      </c>
      <c r="D64">
        <v>0</v>
      </c>
      <c r="E64">
        <v>0</v>
      </c>
      <c r="F64">
        <v>0</v>
      </c>
      <c r="H64">
        <v>1</v>
      </c>
      <c r="I64" s="3">
        <v>0.40210714285714289</v>
      </c>
      <c r="M64">
        <v>1</v>
      </c>
      <c r="N64" s="3">
        <v>0.80711920529801329</v>
      </c>
      <c r="O64" s="3">
        <v>0.32543391188250997</v>
      </c>
      <c r="P64" s="3"/>
      <c r="Q64">
        <v>2437.5</v>
      </c>
    </row>
    <row r="65" spans="1:17" x14ac:dyDescent="0.3">
      <c r="A65">
        <v>2</v>
      </c>
      <c r="B65">
        <f t="shared" si="12"/>
        <v>0</v>
      </c>
      <c r="C65">
        <v>0</v>
      </c>
      <c r="D65">
        <v>0</v>
      </c>
      <c r="E65">
        <v>0</v>
      </c>
      <c r="F65">
        <v>0</v>
      </c>
      <c r="H65">
        <v>2</v>
      </c>
      <c r="I65" s="3">
        <v>0.40210714285714289</v>
      </c>
      <c r="M65">
        <v>2</v>
      </c>
      <c r="N65" s="3">
        <v>0.80711920529801329</v>
      </c>
      <c r="O65" s="3">
        <v>0.32543391188250997</v>
      </c>
      <c r="P65" s="3"/>
    </row>
    <row r="66" spans="1:17" x14ac:dyDescent="0.3">
      <c r="A66">
        <v>3</v>
      </c>
      <c r="B66">
        <f t="shared" si="12"/>
        <v>0</v>
      </c>
      <c r="C66">
        <v>0</v>
      </c>
      <c r="D66">
        <v>0</v>
      </c>
      <c r="E66">
        <v>0</v>
      </c>
      <c r="F66">
        <v>0</v>
      </c>
      <c r="H66">
        <v>3</v>
      </c>
      <c r="I66" s="3">
        <v>0</v>
      </c>
      <c r="M66">
        <v>3</v>
      </c>
      <c r="N66" s="3">
        <v>0.80711920529801329</v>
      </c>
      <c r="O66" s="3">
        <v>0.32543391188250997</v>
      </c>
      <c r="P66" s="3"/>
      <c r="Q66" t="s">
        <v>43</v>
      </c>
    </row>
    <row r="67" spans="1:17" x14ac:dyDescent="0.3">
      <c r="A67">
        <v>4</v>
      </c>
      <c r="B67">
        <f t="shared" si="12"/>
        <v>0</v>
      </c>
      <c r="C67">
        <v>0</v>
      </c>
      <c r="D67">
        <v>0</v>
      </c>
      <c r="E67">
        <v>0</v>
      </c>
      <c r="F67">
        <v>0</v>
      </c>
      <c r="H67">
        <v>4</v>
      </c>
      <c r="I67">
        <v>0</v>
      </c>
      <c r="M67">
        <v>4</v>
      </c>
      <c r="N67" s="3">
        <v>0.80711920529801329</v>
      </c>
      <c r="O67" s="3">
        <v>0.32543391188250997</v>
      </c>
      <c r="P67" s="3"/>
      <c r="Q67">
        <v>151</v>
      </c>
    </row>
    <row r="68" spans="1:17" x14ac:dyDescent="0.3">
      <c r="A68">
        <v>5</v>
      </c>
      <c r="B68">
        <f t="shared" si="12"/>
        <v>0</v>
      </c>
      <c r="C68">
        <v>0</v>
      </c>
      <c r="D68">
        <v>0</v>
      </c>
      <c r="E68">
        <v>0</v>
      </c>
      <c r="F68">
        <v>0</v>
      </c>
      <c r="H68">
        <v>5</v>
      </c>
      <c r="I68">
        <v>0</v>
      </c>
      <c r="M68">
        <v>5</v>
      </c>
      <c r="N68" s="3">
        <v>0.80711920529801329</v>
      </c>
      <c r="O68">
        <v>0</v>
      </c>
      <c r="P68" s="3"/>
      <c r="Q68" t="s">
        <v>44</v>
      </c>
    </row>
    <row r="69" spans="1:17" x14ac:dyDescent="0.3">
      <c r="A69">
        <v>6</v>
      </c>
      <c r="B69">
        <f t="shared" si="12"/>
        <v>0</v>
      </c>
      <c r="C69">
        <v>0</v>
      </c>
      <c r="D69">
        <v>0</v>
      </c>
      <c r="E69">
        <v>0</v>
      </c>
      <c r="F69">
        <v>0</v>
      </c>
      <c r="H69">
        <v>6</v>
      </c>
      <c r="I69">
        <v>0</v>
      </c>
      <c r="M69">
        <v>6</v>
      </c>
      <c r="N69" s="3">
        <v>0.80711920529801329</v>
      </c>
      <c r="O69" s="3">
        <v>0</v>
      </c>
      <c r="P69" s="3"/>
      <c r="Q69">
        <f>(4*Q64/5)/Q67</f>
        <v>12.913907284768213</v>
      </c>
    </row>
    <row r="70" spans="1:17" x14ac:dyDescent="0.3">
      <c r="A70">
        <v>7</v>
      </c>
      <c r="B70">
        <f t="shared" si="12"/>
        <v>0</v>
      </c>
      <c r="C70">
        <v>0</v>
      </c>
      <c r="D70">
        <v>0</v>
      </c>
      <c r="E70">
        <v>0</v>
      </c>
      <c r="F70">
        <v>0</v>
      </c>
      <c r="H70">
        <v>7</v>
      </c>
      <c r="I70">
        <v>0</v>
      </c>
      <c r="M70">
        <v>7</v>
      </c>
      <c r="N70" s="3">
        <v>0.80711920529801329</v>
      </c>
      <c r="O70" s="3">
        <v>0</v>
      </c>
      <c r="P70" s="3"/>
      <c r="Q70" t="s">
        <v>48</v>
      </c>
    </row>
    <row r="71" spans="1:17" x14ac:dyDescent="0.3">
      <c r="A71">
        <v>8</v>
      </c>
      <c r="B71">
        <f t="shared" si="12"/>
        <v>0.97687500000000016</v>
      </c>
      <c r="C71">
        <v>2.0625000000000001E-2</v>
      </c>
      <c r="D71">
        <f>0.2475+0.675</f>
        <v>0.9225000000000001</v>
      </c>
      <c r="E71">
        <v>0</v>
      </c>
      <c r="F71">
        <v>3.3750000000000002E-2</v>
      </c>
      <c r="H71">
        <v>8</v>
      </c>
      <c r="I71">
        <v>0</v>
      </c>
      <c r="M71">
        <v>8</v>
      </c>
      <c r="N71" s="3">
        <v>0.80711920529801329</v>
      </c>
      <c r="O71" s="3">
        <v>0</v>
      </c>
      <c r="P71" s="3"/>
      <c r="Q71">
        <f>Q69/16</f>
        <v>0.80711920529801329</v>
      </c>
    </row>
    <row r="72" spans="1:17" x14ac:dyDescent="0.3">
      <c r="A72">
        <v>9</v>
      </c>
      <c r="B72">
        <f t="shared" si="12"/>
        <v>0</v>
      </c>
      <c r="C72">
        <v>0</v>
      </c>
      <c r="D72">
        <v>0</v>
      </c>
      <c r="E72">
        <v>0</v>
      </c>
      <c r="F72">
        <v>0</v>
      </c>
      <c r="H72">
        <v>9</v>
      </c>
      <c r="I72">
        <v>0</v>
      </c>
      <c r="M72">
        <v>9</v>
      </c>
      <c r="N72" s="3">
        <v>0.80711920529801329</v>
      </c>
      <c r="O72" s="3">
        <v>0</v>
      </c>
      <c r="P72" s="3"/>
    </row>
    <row r="73" spans="1:17" x14ac:dyDescent="0.3">
      <c r="A73">
        <v>10</v>
      </c>
      <c r="B73">
        <f t="shared" si="12"/>
        <v>0</v>
      </c>
      <c r="C73">
        <v>0</v>
      </c>
      <c r="D73">
        <v>0</v>
      </c>
      <c r="E73">
        <v>0</v>
      </c>
      <c r="F73">
        <v>0</v>
      </c>
      <c r="H73">
        <v>10</v>
      </c>
      <c r="I73">
        <v>0</v>
      </c>
      <c r="M73">
        <v>10</v>
      </c>
      <c r="N73">
        <v>0</v>
      </c>
      <c r="O73" s="3">
        <v>0</v>
      </c>
      <c r="P73" s="3"/>
    </row>
    <row r="74" spans="1:17" x14ac:dyDescent="0.3">
      <c r="A74">
        <v>11</v>
      </c>
      <c r="B74">
        <f t="shared" si="12"/>
        <v>0</v>
      </c>
      <c r="C74">
        <v>0</v>
      </c>
      <c r="D74">
        <v>0</v>
      </c>
      <c r="E74">
        <v>0</v>
      </c>
      <c r="F74">
        <v>0</v>
      </c>
      <c r="H74">
        <v>11</v>
      </c>
      <c r="I74">
        <v>0</v>
      </c>
      <c r="M74">
        <v>11</v>
      </c>
      <c r="N74">
        <v>0</v>
      </c>
      <c r="O74" s="3">
        <v>0</v>
      </c>
      <c r="P74" s="3"/>
      <c r="Q74" s="3" t="s">
        <v>45</v>
      </c>
    </row>
    <row r="75" spans="1:17" x14ac:dyDescent="0.3">
      <c r="A75">
        <v>12</v>
      </c>
      <c r="B75">
        <f t="shared" si="12"/>
        <v>1.715625</v>
      </c>
      <c r="C75">
        <v>0</v>
      </c>
      <c r="D75">
        <f>1.0125+0.2475</f>
        <v>1.26</v>
      </c>
      <c r="E75">
        <v>0.421875</v>
      </c>
      <c r="F75">
        <v>3.3750000000000002E-2</v>
      </c>
      <c r="H75">
        <v>12</v>
      </c>
      <c r="I75" s="3">
        <v>0</v>
      </c>
      <c r="M75">
        <v>12</v>
      </c>
      <c r="N75">
        <v>0</v>
      </c>
      <c r="O75" s="3">
        <v>0</v>
      </c>
      <c r="P75" s="3"/>
      <c r="Q75">
        <v>214</v>
      </c>
    </row>
    <row r="76" spans="1:17" x14ac:dyDescent="0.3">
      <c r="A76">
        <v>13</v>
      </c>
      <c r="B76">
        <f t="shared" si="12"/>
        <v>0</v>
      </c>
      <c r="C76">
        <v>0</v>
      </c>
      <c r="D76">
        <v>0</v>
      </c>
      <c r="E76">
        <v>0</v>
      </c>
      <c r="F76">
        <v>0</v>
      </c>
      <c r="H76">
        <v>13</v>
      </c>
      <c r="I76" s="3">
        <v>0.40210714285714289</v>
      </c>
      <c r="M76">
        <v>13</v>
      </c>
      <c r="N76">
        <v>0</v>
      </c>
      <c r="O76" s="3">
        <v>0</v>
      </c>
      <c r="P76" s="3"/>
      <c r="Q76" t="s">
        <v>46</v>
      </c>
    </row>
    <row r="77" spans="1:17" x14ac:dyDescent="0.3">
      <c r="A77">
        <v>14</v>
      </c>
      <c r="B77">
        <f t="shared" si="12"/>
        <v>0</v>
      </c>
      <c r="C77">
        <v>0</v>
      </c>
      <c r="D77">
        <v>0</v>
      </c>
      <c r="E77">
        <v>0</v>
      </c>
      <c r="F77">
        <v>0</v>
      </c>
      <c r="H77">
        <v>14</v>
      </c>
      <c r="I77" s="3">
        <v>0.40210714285714289</v>
      </c>
      <c r="M77">
        <v>14</v>
      </c>
      <c r="N77">
        <v>0</v>
      </c>
      <c r="O77" s="3">
        <v>0</v>
      </c>
      <c r="P77" s="3"/>
      <c r="Q77">
        <f>(Q64/5)/Q75</f>
        <v>2.27803738317757</v>
      </c>
    </row>
    <row r="78" spans="1:17" x14ac:dyDescent="0.3">
      <c r="A78">
        <v>15</v>
      </c>
      <c r="B78">
        <f t="shared" si="12"/>
        <v>0</v>
      </c>
      <c r="C78">
        <v>0</v>
      </c>
      <c r="D78">
        <v>0</v>
      </c>
      <c r="E78">
        <v>0</v>
      </c>
      <c r="F78">
        <v>0</v>
      </c>
      <c r="H78">
        <v>15</v>
      </c>
      <c r="I78" s="3">
        <v>0.40210714285714289</v>
      </c>
      <c r="M78">
        <v>15</v>
      </c>
      <c r="N78">
        <v>0</v>
      </c>
      <c r="O78" s="3">
        <v>0</v>
      </c>
      <c r="P78" s="3"/>
      <c r="Q78" s="3" t="s">
        <v>47</v>
      </c>
    </row>
    <row r="79" spans="1:17" x14ac:dyDescent="0.3">
      <c r="A79">
        <v>16</v>
      </c>
      <c r="B79">
        <f t="shared" si="12"/>
        <v>4.1250000000000002E-2</v>
      </c>
      <c r="C79">
        <f>0.020625+0.020625</f>
        <v>4.1250000000000002E-2</v>
      </c>
      <c r="D79">
        <v>0</v>
      </c>
      <c r="E79">
        <v>0</v>
      </c>
      <c r="F79">
        <v>0</v>
      </c>
      <c r="H79">
        <v>16</v>
      </c>
      <c r="I79">
        <v>0</v>
      </c>
      <c r="M79">
        <v>16</v>
      </c>
      <c r="N79">
        <v>0</v>
      </c>
      <c r="O79" s="3">
        <v>0</v>
      </c>
      <c r="P79" s="3"/>
      <c r="Q79">
        <f>Q77/7</f>
        <v>0.32543391188250997</v>
      </c>
    </row>
    <row r="80" spans="1:17" x14ac:dyDescent="0.3">
      <c r="A80">
        <v>17</v>
      </c>
      <c r="B80">
        <f t="shared" si="12"/>
        <v>0</v>
      </c>
      <c r="C80">
        <v>0</v>
      </c>
      <c r="D80">
        <v>0</v>
      </c>
      <c r="E80">
        <v>0</v>
      </c>
      <c r="F80">
        <v>0</v>
      </c>
      <c r="H80">
        <v>17</v>
      </c>
      <c r="I80">
        <v>0</v>
      </c>
      <c r="M80">
        <v>17</v>
      </c>
      <c r="N80">
        <v>0</v>
      </c>
      <c r="O80" s="3">
        <v>0</v>
      </c>
      <c r="P80" s="3"/>
    </row>
    <row r="81" spans="1:20" x14ac:dyDescent="0.3">
      <c r="A81">
        <v>18</v>
      </c>
      <c r="B81">
        <f t="shared" si="12"/>
        <v>0</v>
      </c>
      <c r="C81">
        <v>0</v>
      </c>
      <c r="D81">
        <v>0</v>
      </c>
      <c r="E81">
        <v>0</v>
      </c>
      <c r="F81">
        <v>0</v>
      </c>
      <c r="H81">
        <v>18</v>
      </c>
      <c r="I81">
        <v>0</v>
      </c>
      <c r="M81">
        <v>18</v>
      </c>
      <c r="N81" s="3">
        <v>0.80711920529801329</v>
      </c>
      <c r="O81" s="3">
        <v>0</v>
      </c>
      <c r="P81" s="3"/>
    </row>
    <row r="82" spans="1:20" x14ac:dyDescent="0.3">
      <c r="A82">
        <v>19</v>
      </c>
      <c r="B82">
        <f t="shared" si="12"/>
        <v>1.715625</v>
      </c>
      <c r="C82">
        <v>0</v>
      </c>
      <c r="D82">
        <f>1.0125+0.2475</f>
        <v>1.26</v>
      </c>
      <c r="E82">
        <v>0.421875</v>
      </c>
      <c r="F82">
        <v>3.3750000000000002E-2</v>
      </c>
      <c r="H82">
        <v>19</v>
      </c>
      <c r="I82">
        <v>0</v>
      </c>
      <c r="M82">
        <v>19</v>
      </c>
      <c r="N82" s="3">
        <v>0.80711920529801329</v>
      </c>
      <c r="O82" s="3">
        <v>0</v>
      </c>
      <c r="P82" s="3"/>
    </row>
    <row r="83" spans="1:20" x14ac:dyDescent="0.3">
      <c r="A83">
        <v>20</v>
      </c>
      <c r="B83">
        <f t="shared" si="12"/>
        <v>0</v>
      </c>
      <c r="C83">
        <v>0</v>
      </c>
      <c r="D83">
        <v>0</v>
      </c>
      <c r="E83">
        <v>0</v>
      </c>
      <c r="F83">
        <v>0</v>
      </c>
      <c r="H83">
        <v>20</v>
      </c>
      <c r="I83">
        <v>0</v>
      </c>
      <c r="M83">
        <v>20</v>
      </c>
      <c r="N83" s="3">
        <v>0.80711920529801329</v>
      </c>
      <c r="O83" s="3">
        <v>0</v>
      </c>
      <c r="P83" s="3"/>
    </row>
    <row r="84" spans="1:20" x14ac:dyDescent="0.3">
      <c r="A84">
        <v>21</v>
      </c>
      <c r="B84">
        <f t="shared" si="12"/>
        <v>0</v>
      </c>
      <c r="C84">
        <v>0</v>
      </c>
      <c r="D84">
        <v>0</v>
      </c>
      <c r="E84">
        <v>0</v>
      </c>
      <c r="F84">
        <v>0</v>
      </c>
      <c r="H84">
        <v>21</v>
      </c>
      <c r="I84">
        <v>0</v>
      </c>
      <c r="M84">
        <v>21</v>
      </c>
      <c r="N84" s="3">
        <v>0.80711920529801329</v>
      </c>
      <c r="O84" s="3">
        <v>0</v>
      </c>
      <c r="P84" s="3"/>
    </row>
    <row r="85" spans="1:20" x14ac:dyDescent="0.3">
      <c r="A85">
        <v>22</v>
      </c>
      <c r="B85">
        <f t="shared" si="12"/>
        <v>0</v>
      </c>
      <c r="C85">
        <v>0</v>
      </c>
      <c r="D85">
        <v>0</v>
      </c>
      <c r="E85">
        <v>0</v>
      </c>
      <c r="F85">
        <v>0</v>
      </c>
      <c r="H85">
        <v>22</v>
      </c>
      <c r="I85">
        <v>0</v>
      </c>
      <c r="M85">
        <v>22</v>
      </c>
      <c r="N85" s="3">
        <v>0.80711920529801329</v>
      </c>
      <c r="O85" s="3">
        <v>0</v>
      </c>
      <c r="P85" s="3"/>
    </row>
    <row r="86" spans="1:20" x14ac:dyDescent="0.3">
      <c r="A86">
        <v>23</v>
      </c>
      <c r="B86">
        <f t="shared" si="12"/>
        <v>0</v>
      </c>
      <c r="C86">
        <v>0</v>
      </c>
      <c r="D86">
        <v>0</v>
      </c>
      <c r="E86">
        <v>0</v>
      </c>
      <c r="F86">
        <v>0</v>
      </c>
      <c r="H86">
        <v>23</v>
      </c>
      <c r="I86" s="3">
        <v>0.40210714285714289</v>
      </c>
      <c r="M86">
        <v>23</v>
      </c>
      <c r="N86" s="3">
        <v>0.80711920529801329</v>
      </c>
      <c r="O86" s="3">
        <v>0.32543391188250997</v>
      </c>
      <c r="P86" s="3"/>
    </row>
    <row r="87" spans="1:20" x14ac:dyDescent="0.3">
      <c r="A87" s="3" t="s">
        <v>8</v>
      </c>
      <c r="B87" s="1">
        <f>SUM(B63:B86)</f>
        <v>4.4493749999999999</v>
      </c>
      <c r="H87" s="3" t="s">
        <v>8</v>
      </c>
      <c r="I87" s="1">
        <f>SUM(I63:I86)</f>
        <v>2.8147500000000005</v>
      </c>
      <c r="M87" s="3" t="s">
        <v>8</v>
      </c>
      <c r="N87" s="1">
        <f>SUM(N63:N86)</f>
        <v>12.913907284768213</v>
      </c>
      <c r="O87" s="1">
        <f>SUM(O63:O86)</f>
        <v>1.95260347129506</v>
      </c>
      <c r="P87" s="3"/>
    </row>
    <row r="90" spans="1:20" x14ac:dyDescent="0.3">
      <c r="A90" s="1" t="s">
        <v>4</v>
      </c>
      <c r="J90" s="1" t="s">
        <v>23</v>
      </c>
      <c r="P90" s="1" t="s">
        <v>25</v>
      </c>
      <c r="Q90" s="2" t="s">
        <v>30</v>
      </c>
      <c r="R90" s="2" t="s">
        <v>49</v>
      </c>
      <c r="S90" s="2" t="s">
        <v>50</v>
      </c>
      <c r="T90" s="6" t="s">
        <v>113</v>
      </c>
    </row>
    <row r="91" spans="1:20" x14ac:dyDescent="0.3">
      <c r="A91" t="s">
        <v>5</v>
      </c>
      <c r="B91" s="22" t="s">
        <v>38</v>
      </c>
      <c r="C91" s="22"/>
      <c r="D91" s="22" t="s">
        <v>39</v>
      </c>
      <c r="E91" s="22"/>
      <c r="F91" s="22" t="s">
        <v>40</v>
      </c>
      <c r="G91" s="22"/>
      <c r="J91" t="s">
        <v>5</v>
      </c>
      <c r="K91" t="s">
        <v>29</v>
      </c>
      <c r="P91" s="3" t="s">
        <v>5</v>
      </c>
      <c r="Q91" s="1" t="s">
        <v>26</v>
      </c>
      <c r="R91" s="1" t="s">
        <v>27</v>
      </c>
      <c r="S91" s="1" t="s">
        <v>28</v>
      </c>
      <c r="T91" s="5" t="s">
        <v>114</v>
      </c>
    </row>
    <row r="92" spans="1:20" x14ac:dyDescent="0.3">
      <c r="A92">
        <v>0</v>
      </c>
      <c r="B92" s="22">
        <v>0</v>
      </c>
      <c r="C92" s="22"/>
      <c r="D92" s="22">
        <v>0</v>
      </c>
      <c r="E92" s="22"/>
      <c r="F92" s="22">
        <v>0</v>
      </c>
      <c r="G92" s="22"/>
      <c r="J92">
        <v>0</v>
      </c>
      <c r="K92">
        <f t="shared" ref="K92:K115" si="13">B3+H3+N3+T3+B33+F33+J33+N33+R33+B63+I63</f>
        <v>1.2553990949119376</v>
      </c>
      <c r="P92" s="3">
        <v>0</v>
      </c>
      <c r="Q92" s="3">
        <f t="shared" ref="Q92:Q115" si="14">B92+N63+K92</f>
        <v>2.062518300209951</v>
      </c>
      <c r="R92" s="3">
        <f>D92+K92+O63</f>
        <v>1.5808330067944476</v>
      </c>
      <c r="S92" s="3">
        <f>F92+K92+O63</f>
        <v>1.5808330067944476</v>
      </c>
    </row>
    <row r="93" spans="1:20" x14ac:dyDescent="0.3">
      <c r="A93">
        <v>1</v>
      </c>
      <c r="B93" s="22">
        <v>0</v>
      </c>
      <c r="C93" s="22"/>
      <c r="D93" s="22">
        <v>0</v>
      </c>
      <c r="E93" s="22"/>
      <c r="F93" s="22">
        <v>0</v>
      </c>
      <c r="G93" s="22"/>
      <c r="J93">
        <v>1</v>
      </c>
      <c r="K93">
        <f>B4+H4+N4+T4+B34+F34+J34+N34+R34+B64+I64</f>
        <v>1.2553990949119376</v>
      </c>
      <c r="P93" s="3">
        <v>1</v>
      </c>
      <c r="Q93" s="3">
        <f>B93+N64+K93</f>
        <v>2.062518300209951</v>
      </c>
      <c r="R93" s="3">
        <f t="shared" ref="R93:R115" si="15">D93+K93+O64</f>
        <v>1.5808330067944476</v>
      </c>
      <c r="S93" s="3">
        <f t="shared" ref="S93:S115" si="16">F93+K93+O64</f>
        <v>1.5808330067944476</v>
      </c>
    </row>
    <row r="94" spans="1:20" x14ac:dyDescent="0.3">
      <c r="A94">
        <v>2</v>
      </c>
      <c r="B94" s="22">
        <v>0</v>
      </c>
      <c r="C94" s="22"/>
      <c r="D94" s="22">
        <v>0</v>
      </c>
      <c r="E94" s="22"/>
      <c r="F94" s="22">
        <v>0</v>
      </c>
      <c r="G94" s="22"/>
      <c r="J94">
        <v>2</v>
      </c>
      <c r="K94">
        <f t="shared" si="13"/>
        <v>0.82414909491193744</v>
      </c>
      <c r="P94" s="3">
        <v>2</v>
      </c>
      <c r="Q94" s="3">
        <f t="shared" si="14"/>
        <v>1.6312683002099506</v>
      </c>
      <c r="R94" s="3">
        <f t="shared" si="15"/>
        <v>1.1495830067944475</v>
      </c>
      <c r="S94" s="3">
        <f t="shared" si="16"/>
        <v>1.1495830067944475</v>
      </c>
    </row>
    <row r="95" spans="1:20" x14ac:dyDescent="0.3">
      <c r="A95">
        <v>3</v>
      </c>
      <c r="B95" s="22">
        <v>0</v>
      </c>
      <c r="C95" s="22"/>
      <c r="D95" s="22">
        <v>0</v>
      </c>
      <c r="E95" s="22"/>
      <c r="F95" s="22">
        <v>0</v>
      </c>
      <c r="G95" s="22"/>
      <c r="J95">
        <v>3</v>
      </c>
      <c r="K95">
        <f t="shared" si="13"/>
        <v>0.42204195205479456</v>
      </c>
      <c r="P95" s="3">
        <v>3</v>
      </c>
      <c r="Q95" s="3">
        <f t="shared" si="14"/>
        <v>1.2291611573528078</v>
      </c>
      <c r="R95" s="3">
        <f t="shared" si="15"/>
        <v>0.74747586393730447</v>
      </c>
      <c r="S95" s="3">
        <f t="shared" si="16"/>
        <v>0.74747586393730447</v>
      </c>
    </row>
    <row r="96" spans="1:20" x14ac:dyDescent="0.3">
      <c r="A96">
        <v>4</v>
      </c>
      <c r="B96" s="22">
        <v>0</v>
      </c>
      <c r="C96" s="22"/>
      <c r="D96" s="22">
        <v>0</v>
      </c>
      <c r="E96" s="22"/>
      <c r="F96" s="22">
        <v>0</v>
      </c>
      <c r="G96" s="22"/>
      <c r="J96">
        <v>4</v>
      </c>
      <c r="K96">
        <f t="shared" si="13"/>
        <v>0.42204195205479456</v>
      </c>
      <c r="P96" s="3">
        <v>4</v>
      </c>
      <c r="Q96" s="3">
        <f t="shared" si="14"/>
        <v>1.2291611573528078</v>
      </c>
      <c r="R96" s="3">
        <f t="shared" si="15"/>
        <v>0.74747586393730447</v>
      </c>
      <c r="S96" s="3">
        <f t="shared" si="16"/>
        <v>0.74747586393730447</v>
      </c>
    </row>
    <row r="97" spans="1:19" x14ac:dyDescent="0.3">
      <c r="A97">
        <v>5</v>
      </c>
      <c r="B97" s="22">
        <v>0</v>
      </c>
      <c r="C97" s="22"/>
      <c r="D97" s="22">
        <v>0</v>
      </c>
      <c r="E97" s="22"/>
      <c r="F97" s="22">
        <v>0</v>
      </c>
      <c r="G97" s="22"/>
      <c r="J97">
        <v>5</v>
      </c>
      <c r="K97">
        <f t="shared" si="13"/>
        <v>0.42204195205479456</v>
      </c>
      <c r="P97" s="3">
        <v>5</v>
      </c>
      <c r="Q97" s="3">
        <f t="shared" si="14"/>
        <v>1.2291611573528078</v>
      </c>
      <c r="R97" s="6">
        <f t="shared" si="15"/>
        <v>0.42204195205479456</v>
      </c>
      <c r="S97" s="6">
        <f t="shared" si="16"/>
        <v>0.42204195205479456</v>
      </c>
    </row>
    <row r="98" spans="1:19" x14ac:dyDescent="0.3">
      <c r="A98">
        <v>6</v>
      </c>
      <c r="B98" s="22">
        <v>0</v>
      </c>
      <c r="C98" s="22"/>
      <c r="D98" s="22">
        <v>0</v>
      </c>
      <c r="E98" s="22"/>
      <c r="F98" s="22">
        <v>0</v>
      </c>
      <c r="G98" s="22"/>
      <c r="J98">
        <v>6</v>
      </c>
      <c r="K98">
        <f t="shared" si="13"/>
        <v>0.63766695205479451</v>
      </c>
      <c r="P98" s="3">
        <v>6</v>
      </c>
      <c r="Q98" s="3">
        <f t="shared" si="14"/>
        <v>1.4447861573528078</v>
      </c>
      <c r="R98" s="3">
        <f t="shared" si="15"/>
        <v>0.63766695205479451</v>
      </c>
      <c r="S98" s="3">
        <f t="shared" si="16"/>
        <v>0.63766695205479451</v>
      </c>
    </row>
    <row r="99" spans="1:19" x14ac:dyDescent="0.3">
      <c r="A99">
        <v>7</v>
      </c>
      <c r="B99" s="22">
        <v>6.9000000000000006E-2</v>
      </c>
      <c r="C99" s="22"/>
      <c r="D99" s="22">
        <v>0</v>
      </c>
      <c r="E99" s="22"/>
      <c r="F99" s="22">
        <v>0</v>
      </c>
      <c r="G99" s="22"/>
      <c r="J99">
        <v>7</v>
      </c>
      <c r="K99">
        <f t="shared" si="13"/>
        <v>0.42204195205479456</v>
      </c>
      <c r="P99" s="3">
        <v>7</v>
      </c>
      <c r="Q99" s="3">
        <f t="shared" si="14"/>
        <v>1.298161157352808</v>
      </c>
      <c r="R99" s="6">
        <f t="shared" si="15"/>
        <v>0.42204195205479456</v>
      </c>
      <c r="S99" s="6">
        <f t="shared" si="16"/>
        <v>0.42204195205479456</v>
      </c>
    </row>
    <row r="100" spans="1:19" x14ac:dyDescent="0.3">
      <c r="A100">
        <v>8</v>
      </c>
      <c r="B100" s="22">
        <v>0</v>
      </c>
      <c r="C100" s="22"/>
      <c r="D100" s="22">
        <v>0</v>
      </c>
      <c r="E100" s="22"/>
      <c r="F100" s="22">
        <v>0</v>
      </c>
      <c r="G100" s="22"/>
      <c r="J100">
        <v>8</v>
      </c>
      <c r="K100">
        <f t="shared" si="13"/>
        <v>1.6145419520547946</v>
      </c>
      <c r="P100" s="3">
        <v>8</v>
      </c>
      <c r="Q100" s="3">
        <f t="shared" si="14"/>
        <v>2.421661157352808</v>
      </c>
      <c r="R100" s="3">
        <f t="shared" si="15"/>
        <v>1.6145419520547946</v>
      </c>
      <c r="S100" s="3">
        <f t="shared" si="16"/>
        <v>1.6145419520547946</v>
      </c>
    </row>
    <row r="101" spans="1:19" x14ac:dyDescent="0.3">
      <c r="A101">
        <v>9</v>
      </c>
      <c r="B101" s="22">
        <v>0</v>
      </c>
      <c r="C101" s="22"/>
      <c r="D101" s="22">
        <v>0</v>
      </c>
      <c r="E101" s="22"/>
      <c r="F101" s="22">
        <v>0</v>
      </c>
      <c r="G101" s="22"/>
      <c r="J101">
        <v>9</v>
      </c>
      <c r="K101">
        <f t="shared" si="13"/>
        <v>0.85779195205479464</v>
      </c>
      <c r="P101" s="3">
        <v>9</v>
      </c>
      <c r="Q101" s="3">
        <f t="shared" si="14"/>
        <v>1.6649111573528079</v>
      </c>
      <c r="R101" s="3">
        <f t="shared" si="15"/>
        <v>0.85779195205479464</v>
      </c>
      <c r="S101" s="3">
        <f t="shared" si="16"/>
        <v>0.85779195205479464</v>
      </c>
    </row>
    <row r="102" spans="1:19" x14ac:dyDescent="0.3">
      <c r="A102">
        <v>10</v>
      </c>
      <c r="B102" s="22">
        <v>0</v>
      </c>
      <c r="C102" s="22"/>
      <c r="D102" s="22">
        <v>0</v>
      </c>
      <c r="E102" s="22"/>
      <c r="F102" s="22">
        <v>0</v>
      </c>
      <c r="G102" s="22"/>
      <c r="J102">
        <v>10</v>
      </c>
      <c r="K102">
        <f t="shared" si="13"/>
        <v>1.0734169520547945</v>
      </c>
      <c r="P102" s="3">
        <v>10</v>
      </c>
      <c r="Q102" s="3">
        <f t="shared" si="14"/>
        <v>1.0734169520547945</v>
      </c>
      <c r="R102" s="3">
        <f t="shared" si="15"/>
        <v>1.0734169520547945</v>
      </c>
      <c r="S102" s="3">
        <f t="shared" si="16"/>
        <v>1.0734169520547945</v>
      </c>
    </row>
    <row r="103" spans="1:19" x14ac:dyDescent="0.3">
      <c r="A103">
        <v>11</v>
      </c>
      <c r="B103" s="22">
        <v>0</v>
      </c>
      <c r="C103" s="22"/>
      <c r="D103" s="22">
        <v>0</v>
      </c>
      <c r="E103" s="22"/>
      <c r="F103" s="22">
        <v>0</v>
      </c>
      <c r="G103" s="22"/>
      <c r="J103">
        <v>11</v>
      </c>
      <c r="K103">
        <f t="shared" si="13"/>
        <v>0.64216695205479457</v>
      </c>
      <c r="P103" s="3">
        <v>11</v>
      </c>
      <c r="Q103" s="6">
        <f t="shared" si="14"/>
        <v>0.64216695205479457</v>
      </c>
      <c r="R103" s="7">
        <f t="shared" si="15"/>
        <v>0.64216695205479457</v>
      </c>
      <c r="S103" s="7">
        <f t="shared" si="16"/>
        <v>0.64216695205479457</v>
      </c>
    </row>
    <row r="104" spans="1:19" x14ac:dyDescent="0.3">
      <c r="A104">
        <v>12</v>
      </c>
      <c r="B104" s="22">
        <v>0</v>
      </c>
      <c r="C104" s="22"/>
      <c r="D104" s="22">
        <v>0</v>
      </c>
      <c r="E104" s="22"/>
      <c r="F104" s="22">
        <v>0</v>
      </c>
      <c r="G104" s="22"/>
      <c r="J104">
        <v>12</v>
      </c>
      <c r="K104">
        <f>B15+H15+N15+T15+B45+F45+J45+N45+R45+B75+I75</f>
        <v>2.3733919520547944</v>
      </c>
      <c r="P104" s="3">
        <v>12</v>
      </c>
      <c r="Q104" s="3">
        <f t="shared" si="14"/>
        <v>2.3733919520547944</v>
      </c>
      <c r="R104" s="3">
        <f t="shared" si="15"/>
        <v>2.3733919520547944</v>
      </c>
      <c r="S104" s="3">
        <f t="shared" si="16"/>
        <v>2.3733919520547944</v>
      </c>
    </row>
    <row r="105" spans="1:19" x14ac:dyDescent="0.3">
      <c r="A105">
        <v>13</v>
      </c>
      <c r="B105" s="22">
        <v>0</v>
      </c>
      <c r="C105" s="22"/>
      <c r="D105" s="22">
        <v>0</v>
      </c>
      <c r="E105" s="22"/>
      <c r="F105" s="22">
        <v>0</v>
      </c>
      <c r="G105" s="22"/>
      <c r="J105">
        <v>13</v>
      </c>
      <c r="K105">
        <f t="shared" si="13"/>
        <v>0.84424909491193745</v>
      </c>
      <c r="P105" s="3">
        <v>13</v>
      </c>
      <c r="Q105" s="3">
        <f t="shared" si="14"/>
        <v>0.84424909491193745</v>
      </c>
      <c r="R105" s="3">
        <f t="shared" si="15"/>
        <v>0.84424909491193745</v>
      </c>
      <c r="S105" s="3">
        <f t="shared" si="16"/>
        <v>0.84424909491193745</v>
      </c>
    </row>
    <row r="106" spans="1:19" x14ac:dyDescent="0.3">
      <c r="A106">
        <v>14</v>
      </c>
      <c r="B106" s="22">
        <v>0</v>
      </c>
      <c r="C106" s="22"/>
      <c r="D106" s="22">
        <v>0</v>
      </c>
      <c r="E106" s="22"/>
      <c r="F106" s="22">
        <v>0</v>
      </c>
      <c r="G106" s="22"/>
      <c r="J106">
        <v>14</v>
      </c>
      <c r="K106">
        <f t="shared" si="13"/>
        <v>1.0598740949119374</v>
      </c>
      <c r="P106" s="3">
        <v>14</v>
      </c>
      <c r="Q106" s="3">
        <f t="shared" si="14"/>
        <v>1.0598740949119374</v>
      </c>
      <c r="R106" s="3">
        <f t="shared" si="15"/>
        <v>1.0598740949119374</v>
      </c>
      <c r="S106" s="3">
        <f t="shared" si="16"/>
        <v>1.0598740949119374</v>
      </c>
    </row>
    <row r="107" spans="1:19" x14ac:dyDescent="0.3">
      <c r="A107">
        <v>15</v>
      </c>
      <c r="B107" s="22">
        <v>0</v>
      </c>
      <c r="C107" s="22"/>
      <c r="D107" s="22">
        <v>0</v>
      </c>
      <c r="E107" s="22"/>
      <c r="F107" s="22">
        <v>0</v>
      </c>
      <c r="G107" s="22"/>
      <c r="J107">
        <v>15</v>
      </c>
      <c r="K107">
        <f>B18+H18+N18+T18+B48+F48+J48+N48+R48+B78+I78</f>
        <v>0.84424909491193745</v>
      </c>
      <c r="P107" s="3">
        <v>15</v>
      </c>
      <c r="Q107" s="3">
        <f t="shared" si="14"/>
        <v>0.84424909491193745</v>
      </c>
      <c r="R107" s="3">
        <f t="shared" si="15"/>
        <v>0.84424909491193745</v>
      </c>
      <c r="S107" s="3">
        <f t="shared" si="16"/>
        <v>0.84424909491193745</v>
      </c>
    </row>
    <row r="108" spans="1:19" x14ac:dyDescent="0.3">
      <c r="A108">
        <v>16</v>
      </c>
      <c r="B108" s="22">
        <v>0</v>
      </c>
      <c r="C108" s="22"/>
      <c r="D108" s="22">
        <v>0</v>
      </c>
      <c r="E108" s="22"/>
      <c r="F108" s="22">
        <v>0</v>
      </c>
      <c r="G108" s="22"/>
      <c r="J108">
        <v>16</v>
      </c>
      <c r="K108">
        <f t="shared" si="13"/>
        <v>0.69901695205479453</v>
      </c>
      <c r="P108" s="3">
        <v>16</v>
      </c>
      <c r="Q108" s="3">
        <f t="shared" si="14"/>
        <v>0.69901695205479453</v>
      </c>
      <c r="R108" s="3">
        <f t="shared" si="15"/>
        <v>0.69901695205479453</v>
      </c>
      <c r="S108" s="3">
        <f t="shared" si="16"/>
        <v>0.69901695205479453</v>
      </c>
    </row>
    <row r="109" spans="1:19" x14ac:dyDescent="0.3">
      <c r="A109">
        <v>17</v>
      </c>
      <c r="B109" s="23">
        <v>0</v>
      </c>
      <c r="C109" s="23"/>
      <c r="D109" s="22">
        <v>0</v>
      </c>
      <c r="E109" s="22"/>
      <c r="F109" s="22">
        <v>0</v>
      </c>
      <c r="G109" s="22"/>
      <c r="J109">
        <v>17</v>
      </c>
      <c r="K109">
        <f>B20+H20+N20+T20+B50+F50+J50+N50+R50+B80+I80</f>
        <v>0.85329195205479469</v>
      </c>
      <c r="P109" s="3">
        <v>17</v>
      </c>
      <c r="Q109" s="3">
        <f t="shared" si="14"/>
        <v>0.85329195205479469</v>
      </c>
      <c r="R109" s="3">
        <f t="shared" si="15"/>
        <v>0.85329195205479469</v>
      </c>
      <c r="S109" s="3">
        <f t="shared" si="16"/>
        <v>0.85329195205479469</v>
      </c>
    </row>
    <row r="110" spans="1:19" x14ac:dyDescent="0.3">
      <c r="A110">
        <v>18</v>
      </c>
      <c r="B110" s="22">
        <v>6.9000000000000006E-2</v>
      </c>
      <c r="C110" s="22"/>
      <c r="D110" s="22">
        <v>0</v>
      </c>
      <c r="E110" s="22"/>
      <c r="F110" s="22">
        <v>0</v>
      </c>
      <c r="G110" s="22"/>
      <c r="J110">
        <v>18</v>
      </c>
      <c r="K110">
        <f t="shared" si="13"/>
        <v>1.0989169520547946</v>
      </c>
      <c r="P110" s="3">
        <v>18</v>
      </c>
      <c r="Q110" s="3">
        <f t="shared" si="14"/>
        <v>1.9750361573528079</v>
      </c>
      <c r="R110" s="3">
        <f t="shared" si="15"/>
        <v>1.0989169520547946</v>
      </c>
      <c r="S110" s="3">
        <f t="shared" si="16"/>
        <v>1.0989169520547946</v>
      </c>
    </row>
    <row r="111" spans="1:19" x14ac:dyDescent="0.3">
      <c r="A111">
        <v>19</v>
      </c>
      <c r="B111" s="22">
        <v>6.9000000000000006E-2</v>
      </c>
      <c r="C111" s="22"/>
      <c r="D111" s="22">
        <v>6.9000000000000006E-2</v>
      </c>
      <c r="E111" s="22"/>
      <c r="F111" s="22">
        <v>0</v>
      </c>
      <c r="G111" s="22"/>
      <c r="J111">
        <v>19</v>
      </c>
      <c r="K111">
        <f t="shared" si="13"/>
        <v>2.3832919520547944</v>
      </c>
      <c r="P111" s="3">
        <v>19</v>
      </c>
      <c r="Q111" s="5">
        <f>B111+N82+K111</f>
        <v>3.2594111573528077</v>
      </c>
      <c r="R111" s="5">
        <f>D111+K111+O82</f>
        <v>2.4522919520547943</v>
      </c>
      <c r="S111" s="5">
        <f>F111+K111+O82</f>
        <v>2.3832919520547944</v>
      </c>
    </row>
    <row r="112" spans="1:19" x14ac:dyDescent="0.3">
      <c r="A112">
        <v>20</v>
      </c>
      <c r="B112" s="22">
        <v>6.9000000000000006E-2</v>
      </c>
      <c r="C112" s="22"/>
      <c r="D112" s="22">
        <v>6.9000000000000006E-2</v>
      </c>
      <c r="E112" s="22"/>
      <c r="F112" s="22">
        <v>6.9000000000000006E-2</v>
      </c>
      <c r="G112" s="22"/>
      <c r="J112">
        <v>20</v>
      </c>
      <c r="K112">
        <f t="shared" si="13"/>
        <v>0.66766695205479454</v>
      </c>
      <c r="P112" s="3">
        <v>20</v>
      </c>
      <c r="Q112" s="3">
        <f t="shared" si="14"/>
        <v>1.543786157352808</v>
      </c>
      <c r="R112" s="3">
        <f t="shared" si="15"/>
        <v>0.7366669520547946</v>
      </c>
      <c r="S112" s="3">
        <f t="shared" si="16"/>
        <v>0.7366669520547946</v>
      </c>
    </row>
    <row r="113" spans="1:19" x14ac:dyDescent="0.3">
      <c r="A113">
        <v>21</v>
      </c>
      <c r="B113" s="22">
        <v>6.9000000000000006E-2</v>
      </c>
      <c r="C113" s="22"/>
      <c r="D113" s="22">
        <v>6.9000000000000006E-2</v>
      </c>
      <c r="E113" s="22"/>
      <c r="F113" s="22">
        <v>6.9000000000000006E-2</v>
      </c>
      <c r="G113" s="22"/>
      <c r="J113">
        <v>21</v>
      </c>
      <c r="K113">
        <f t="shared" si="13"/>
        <v>0.45204195205479458</v>
      </c>
      <c r="P113" s="3">
        <v>21</v>
      </c>
      <c r="Q113" s="3">
        <f t="shared" si="14"/>
        <v>1.3281611573528078</v>
      </c>
      <c r="R113" s="3">
        <f t="shared" si="15"/>
        <v>0.52104195205479464</v>
      </c>
      <c r="S113" s="3">
        <f t="shared" si="16"/>
        <v>0.52104195205479464</v>
      </c>
    </row>
    <row r="114" spans="1:19" x14ac:dyDescent="0.3">
      <c r="A114">
        <v>22</v>
      </c>
      <c r="B114" s="22">
        <v>6.9000000000000006E-2</v>
      </c>
      <c r="C114" s="22"/>
      <c r="D114" s="22">
        <v>6.9000000000000006E-2</v>
      </c>
      <c r="E114" s="22"/>
      <c r="F114" s="22">
        <v>6.9000000000000006E-2</v>
      </c>
      <c r="G114" s="22"/>
      <c r="J114">
        <v>22</v>
      </c>
      <c r="K114">
        <f t="shared" si="13"/>
        <v>1.0989169520547946</v>
      </c>
      <c r="P114" s="3">
        <v>22</v>
      </c>
      <c r="Q114" s="3">
        <f t="shared" si="14"/>
        <v>1.9750361573528079</v>
      </c>
      <c r="R114" s="3">
        <f t="shared" si="15"/>
        <v>1.1679169520547945</v>
      </c>
      <c r="S114" s="3">
        <f t="shared" si="16"/>
        <v>1.1679169520547945</v>
      </c>
    </row>
    <row r="115" spans="1:19" x14ac:dyDescent="0.3">
      <c r="A115">
        <v>23</v>
      </c>
      <c r="B115" s="22">
        <v>6.9000000000000006E-2</v>
      </c>
      <c r="C115" s="22"/>
      <c r="D115" s="22">
        <v>6.9000000000000006E-2</v>
      </c>
      <c r="E115" s="22"/>
      <c r="F115" s="22">
        <v>0</v>
      </c>
      <c r="G115" s="22"/>
      <c r="J115">
        <v>23</v>
      </c>
      <c r="K115">
        <f t="shared" si="13"/>
        <v>1.2553990949119376</v>
      </c>
      <c r="P115" s="3">
        <v>23</v>
      </c>
      <c r="Q115" s="3">
        <f t="shared" si="14"/>
        <v>2.1315183002099509</v>
      </c>
      <c r="R115" s="3">
        <f t="shared" si="15"/>
        <v>1.6498330067944476</v>
      </c>
      <c r="S115" s="3">
        <f t="shared" si="16"/>
        <v>1.5808330067944476</v>
      </c>
    </row>
    <row r="116" spans="1:19" x14ac:dyDescent="0.3">
      <c r="Q116" s="1">
        <f>SUM(Q92:Q115)</f>
        <v>36.875914134083288</v>
      </c>
      <c r="R116" s="1">
        <f>SUM(R92:R115)</f>
        <v>25.776610320610128</v>
      </c>
      <c r="S116" s="1">
        <f>SUM(S92:S115)</f>
        <v>25.638610320610127</v>
      </c>
    </row>
    <row r="118" spans="1:19" x14ac:dyDescent="0.3">
      <c r="Q118" t="s">
        <v>62</v>
      </c>
    </row>
    <row r="119" spans="1:19" x14ac:dyDescent="0.3">
      <c r="Q119">
        <f>AVERAGE(Q92:Q115)</f>
        <v>1.5364964222534703</v>
      </c>
    </row>
    <row r="120" spans="1:19" x14ac:dyDescent="0.3">
      <c r="Q120" t="s">
        <v>63</v>
      </c>
    </row>
    <row r="121" spans="1:19" x14ac:dyDescent="0.3">
      <c r="Q121">
        <f>MEDIAN(Q92:Q115)</f>
        <v>1.3864736573528078</v>
      </c>
    </row>
    <row r="140" spans="2:2" x14ac:dyDescent="0.3">
      <c r="B140" s="1"/>
    </row>
  </sheetData>
  <mergeCells count="75">
    <mergeCell ref="B104:C104"/>
    <mergeCell ref="B105:C105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15:C115"/>
    <mergeCell ref="D91:E91"/>
    <mergeCell ref="F91:G91"/>
    <mergeCell ref="D92:E92"/>
    <mergeCell ref="F92:G92"/>
    <mergeCell ref="D93:E93"/>
    <mergeCell ref="D94:E94"/>
    <mergeCell ref="B106:C106"/>
    <mergeCell ref="B107:C107"/>
    <mergeCell ref="B108:C108"/>
    <mergeCell ref="B100:C100"/>
    <mergeCell ref="B110:C110"/>
    <mergeCell ref="B111:C111"/>
    <mergeCell ref="B101:C101"/>
    <mergeCell ref="B102:C102"/>
    <mergeCell ref="B103:C103"/>
    <mergeCell ref="D95:E95"/>
    <mergeCell ref="D96:E96"/>
    <mergeCell ref="D97:E97"/>
    <mergeCell ref="D98:E98"/>
    <mergeCell ref="D99:E99"/>
    <mergeCell ref="D100:E100"/>
    <mergeCell ref="F106:G106"/>
    <mergeCell ref="F107:G107"/>
    <mergeCell ref="F108:G108"/>
    <mergeCell ref="F109:G109"/>
    <mergeCell ref="D107:E107"/>
    <mergeCell ref="D108:E108"/>
    <mergeCell ref="D109:E109"/>
    <mergeCell ref="D101:E101"/>
    <mergeCell ref="D102:E102"/>
    <mergeCell ref="D103:E103"/>
    <mergeCell ref="D104:E104"/>
    <mergeCell ref="D105:E105"/>
    <mergeCell ref="D106:E106"/>
    <mergeCell ref="F105:G105"/>
    <mergeCell ref="F100:G100"/>
    <mergeCell ref="F93:G93"/>
    <mergeCell ref="F94:G94"/>
    <mergeCell ref="F95:G95"/>
    <mergeCell ref="F96:G96"/>
    <mergeCell ref="F97:G97"/>
    <mergeCell ref="F101:G101"/>
    <mergeCell ref="F102:G102"/>
    <mergeCell ref="F103:G103"/>
    <mergeCell ref="F104:G104"/>
    <mergeCell ref="F98:G98"/>
    <mergeCell ref="F99:G99"/>
    <mergeCell ref="F112:G112"/>
    <mergeCell ref="F113:G113"/>
    <mergeCell ref="F114:G114"/>
    <mergeCell ref="F115:G115"/>
    <mergeCell ref="B109:C109"/>
    <mergeCell ref="F110:G110"/>
    <mergeCell ref="F111:G111"/>
    <mergeCell ref="D113:E113"/>
    <mergeCell ref="D114:E114"/>
    <mergeCell ref="D115:E115"/>
    <mergeCell ref="D110:E110"/>
    <mergeCell ref="D111:E111"/>
    <mergeCell ref="D112:E112"/>
    <mergeCell ref="B112:C112"/>
    <mergeCell ref="B113:C113"/>
    <mergeCell ref="B114:C1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4D94-DE5D-4CC4-887F-D5A8F4ADF38C}">
  <dimension ref="A1:O25"/>
  <sheetViews>
    <sheetView zoomScaleNormal="100" workbookViewId="0">
      <selection activeCell="B12" sqref="B12"/>
    </sheetView>
  </sheetViews>
  <sheetFormatPr defaultColWidth="12.44140625" defaultRowHeight="14.4" x14ac:dyDescent="0.3"/>
  <cols>
    <col min="1" max="1" width="14.21875" customWidth="1"/>
    <col min="2" max="2" width="17.5546875" customWidth="1"/>
    <col min="3" max="3" width="12.44140625" customWidth="1"/>
  </cols>
  <sheetData>
    <row r="1" spans="1:6" x14ac:dyDescent="0.3">
      <c r="A1" t="s">
        <v>152</v>
      </c>
      <c r="E1" t="s">
        <v>153</v>
      </c>
      <c r="F1">
        <v>10675.348</v>
      </c>
    </row>
    <row r="2" spans="1:6" s="3" customFormat="1" x14ac:dyDescent="0.3"/>
    <row r="3" spans="1:6" x14ac:dyDescent="0.3">
      <c r="A3" s="8" t="s">
        <v>51</v>
      </c>
      <c r="B3" s="8" t="s">
        <v>58</v>
      </c>
      <c r="C3" s="8"/>
    </row>
    <row r="4" spans="1:6" x14ac:dyDescent="0.3">
      <c r="A4" s="8" t="s">
        <v>52</v>
      </c>
      <c r="B4" s="8" t="s">
        <v>55</v>
      </c>
      <c r="C4" s="8"/>
      <c r="D4" s="9" t="s">
        <v>61</v>
      </c>
    </row>
    <row r="5" spans="1:6" x14ac:dyDescent="0.3">
      <c r="A5" s="8" t="s">
        <v>64</v>
      </c>
      <c r="B5" s="8" t="s">
        <v>56</v>
      </c>
      <c r="C5" s="8" t="s">
        <v>57</v>
      </c>
    </row>
    <row r="6" spans="1:6" x14ac:dyDescent="0.3">
      <c r="A6" s="8" t="s">
        <v>54</v>
      </c>
      <c r="B6" s="8" t="s">
        <v>59</v>
      </c>
      <c r="C6" s="8"/>
      <c r="D6" s="9" t="s">
        <v>60</v>
      </c>
    </row>
    <row r="8" spans="1:6" x14ac:dyDescent="0.3">
      <c r="A8" s="3" t="s">
        <v>162</v>
      </c>
      <c r="C8">
        <f>F1*0.3</f>
        <v>3202.6043999999997</v>
      </c>
      <c r="D8" t="s">
        <v>12</v>
      </c>
    </row>
    <row r="10" spans="1:6" x14ac:dyDescent="0.3">
      <c r="A10" t="s">
        <v>119</v>
      </c>
      <c r="C10" t="s">
        <v>120</v>
      </c>
      <c r="E10">
        <f>1.6*24*335</f>
        <v>12864.000000000002</v>
      </c>
      <c r="F10" t="s">
        <v>12</v>
      </c>
    </row>
    <row r="12" spans="1:6" x14ac:dyDescent="0.3">
      <c r="A12" t="s">
        <v>121</v>
      </c>
      <c r="C12" t="s">
        <v>122</v>
      </c>
      <c r="E12">
        <f>C8/E10</f>
        <v>0.24895867537313426</v>
      </c>
    </row>
    <row r="14" spans="1:6" x14ac:dyDescent="0.3">
      <c r="A14" t="s">
        <v>124</v>
      </c>
      <c r="C14" t="s">
        <v>123</v>
      </c>
      <c r="E14">
        <f>E12*1.6</f>
        <v>0.39833388059701486</v>
      </c>
      <c r="F14" t="s">
        <v>30</v>
      </c>
    </row>
    <row r="23" spans="14:15" x14ac:dyDescent="0.3">
      <c r="N23" s="3"/>
      <c r="O23" s="3"/>
    </row>
    <row r="24" spans="14:15" x14ac:dyDescent="0.3">
      <c r="O24" s="3"/>
    </row>
    <row r="25" spans="14:15" x14ac:dyDescent="0.3">
      <c r="O25" s="3"/>
    </row>
  </sheetData>
  <hyperlinks>
    <hyperlink ref="D4" r:id="rId1" xr:uid="{48CDE8D4-06CA-4562-AF48-3FC466853650}"/>
    <hyperlink ref="D6" r:id="rId2" xr:uid="{ED81A855-7181-43A3-9280-DAB0766B4AFC}"/>
  </hyperlink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E54DC-2AD6-4913-AEBD-9914C2E2BEF4}">
  <dimension ref="A1:R36"/>
  <sheetViews>
    <sheetView zoomScale="90" zoomScaleNormal="90" workbookViewId="0">
      <selection activeCell="A3" sqref="A3:Q24"/>
    </sheetView>
  </sheetViews>
  <sheetFormatPr defaultRowHeight="14.4" x14ac:dyDescent="0.3"/>
  <cols>
    <col min="1" max="1" width="18.6640625" customWidth="1"/>
    <col min="3" max="3" width="11.109375" bestFit="1" customWidth="1"/>
    <col min="5" max="5" width="18.21875" customWidth="1"/>
    <col min="6" max="8" width="7.6640625" customWidth="1"/>
    <col min="11" max="11" width="18.6640625" customWidth="1"/>
    <col min="15" max="15" width="18.21875" customWidth="1"/>
  </cols>
  <sheetData>
    <row r="1" spans="1:18" x14ac:dyDescent="0.3">
      <c r="A1" t="s">
        <v>151</v>
      </c>
      <c r="E1" s="3" t="s">
        <v>153</v>
      </c>
      <c r="F1" s="3">
        <v>10675.348</v>
      </c>
    </row>
    <row r="3" spans="1:18" x14ac:dyDescent="0.3">
      <c r="A3" s="8" t="s">
        <v>109</v>
      </c>
      <c r="B3" s="3"/>
      <c r="C3" s="3"/>
      <c r="D3" s="3"/>
      <c r="K3" s="8" t="s">
        <v>111</v>
      </c>
      <c r="L3" s="3"/>
      <c r="M3" s="3"/>
      <c r="N3" s="3"/>
      <c r="O3" s="3"/>
      <c r="P3" s="3"/>
      <c r="Q3" s="3"/>
      <c r="R3" s="3"/>
    </row>
    <row r="4" spans="1:18" x14ac:dyDescent="0.3">
      <c r="A4" s="8" t="s">
        <v>65</v>
      </c>
      <c r="B4" s="8" t="s">
        <v>66</v>
      </c>
      <c r="C4" s="8" t="s">
        <v>110</v>
      </c>
      <c r="D4" s="9" t="s">
        <v>108</v>
      </c>
      <c r="K4" s="8" t="s">
        <v>65</v>
      </c>
      <c r="L4" s="8" t="s">
        <v>66</v>
      </c>
      <c r="M4" s="8" t="s">
        <v>103</v>
      </c>
      <c r="N4" s="9" t="s">
        <v>112</v>
      </c>
      <c r="O4" s="3"/>
      <c r="P4" s="3"/>
      <c r="Q4" s="3"/>
      <c r="R4" s="3"/>
    </row>
    <row r="5" spans="1:18" x14ac:dyDescent="0.3">
      <c r="A5" s="8"/>
      <c r="B5" s="8" t="s">
        <v>67</v>
      </c>
      <c r="C5" s="8">
        <v>155</v>
      </c>
      <c r="D5" s="3"/>
      <c r="K5" s="8"/>
      <c r="L5" s="8" t="s">
        <v>67</v>
      </c>
      <c r="M5" s="8">
        <v>167</v>
      </c>
      <c r="N5" s="3"/>
      <c r="O5" s="3"/>
      <c r="P5" s="3"/>
      <c r="Q5" s="3"/>
      <c r="R5" s="3"/>
    </row>
    <row r="6" spans="1:18" x14ac:dyDescent="0.3">
      <c r="A6" s="8" t="s">
        <v>68</v>
      </c>
      <c r="B6" s="8" t="s">
        <v>69</v>
      </c>
      <c r="C6" s="8"/>
      <c r="D6" s="9" t="s">
        <v>70</v>
      </c>
      <c r="K6" s="8" t="s">
        <v>68</v>
      </c>
      <c r="L6" s="8" t="s">
        <v>130</v>
      </c>
      <c r="M6" s="8"/>
      <c r="N6" s="9" t="s">
        <v>70</v>
      </c>
      <c r="O6" s="3"/>
      <c r="P6" s="3"/>
      <c r="Q6" s="3"/>
      <c r="R6" s="3"/>
    </row>
    <row r="7" spans="1:18" x14ac:dyDescent="0.3">
      <c r="A7" s="8" t="s">
        <v>71</v>
      </c>
      <c r="B7" s="8">
        <v>150</v>
      </c>
      <c r="C7" s="8"/>
      <c r="D7" s="3"/>
      <c r="K7" s="8" t="s">
        <v>71</v>
      </c>
      <c r="L7" s="8">
        <v>25</v>
      </c>
      <c r="M7" s="8"/>
      <c r="N7" s="3"/>
      <c r="O7" s="3"/>
      <c r="P7" s="3"/>
      <c r="Q7" s="3"/>
      <c r="R7" s="3"/>
    </row>
    <row r="8" spans="1:18" x14ac:dyDescent="0.3">
      <c r="A8" s="8" t="s">
        <v>72</v>
      </c>
      <c r="B8" s="8">
        <f>C13*C14</f>
        <v>2317470.7200000002</v>
      </c>
      <c r="C8" s="8"/>
      <c r="D8" s="3"/>
      <c r="K8" s="8" t="s">
        <v>72</v>
      </c>
      <c r="L8" s="8">
        <f>M13*M14</f>
        <v>5254287.6000000006</v>
      </c>
      <c r="M8" s="8"/>
      <c r="N8" s="3"/>
      <c r="O8" s="3"/>
      <c r="P8" s="3"/>
      <c r="Q8" s="3"/>
      <c r="R8" s="3"/>
    </row>
    <row r="9" spans="1:18" x14ac:dyDescent="0.3">
      <c r="A9" s="3"/>
      <c r="B9" s="3"/>
      <c r="C9" s="3"/>
      <c r="D9" s="3"/>
      <c r="K9" s="3"/>
      <c r="L9" s="3"/>
      <c r="M9" s="3"/>
      <c r="N9" s="3"/>
      <c r="O9" s="3"/>
      <c r="P9" s="3"/>
      <c r="Q9" s="3"/>
      <c r="R9" s="3"/>
    </row>
    <row r="10" spans="1:18" x14ac:dyDescent="0.3">
      <c r="A10" s="3" t="s">
        <v>100</v>
      </c>
      <c r="B10" s="3">
        <v>8</v>
      </c>
      <c r="C10" s="3"/>
      <c r="D10" s="3"/>
      <c r="E10" s="3" t="s">
        <v>101</v>
      </c>
      <c r="F10" s="3">
        <v>10</v>
      </c>
      <c r="G10" s="3"/>
      <c r="K10" s="3" t="s">
        <v>100</v>
      </c>
      <c r="L10" s="3">
        <v>10</v>
      </c>
      <c r="M10" s="3"/>
      <c r="N10" s="3"/>
      <c r="O10" s="3" t="s">
        <v>101</v>
      </c>
      <c r="P10" s="3">
        <v>12</v>
      </c>
      <c r="Q10" s="3"/>
      <c r="R10" s="3"/>
    </row>
    <row r="11" spans="1:18" ht="16.2" x14ac:dyDescent="0.3">
      <c r="A11" s="3" t="s">
        <v>73</v>
      </c>
      <c r="B11" s="3"/>
      <c r="C11" s="3">
        <v>1.2</v>
      </c>
      <c r="D11" s="3"/>
      <c r="E11" s="3" t="s">
        <v>73</v>
      </c>
      <c r="F11" s="3"/>
      <c r="G11" s="3">
        <v>1.2</v>
      </c>
      <c r="K11" s="3" t="s">
        <v>73</v>
      </c>
      <c r="L11" s="3"/>
      <c r="M11" s="3">
        <v>1.2</v>
      </c>
      <c r="N11" s="3"/>
      <c r="O11" s="3" t="s">
        <v>73</v>
      </c>
      <c r="P11" s="3"/>
      <c r="Q11" s="3">
        <v>1.2</v>
      </c>
      <c r="R11" s="3"/>
    </row>
    <row r="12" spans="1:18" ht="16.2" x14ac:dyDescent="0.3">
      <c r="A12" s="3" t="s">
        <v>74</v>
      </c>
      <c r="B12" s="3" t="s">
        <v>75</v>
      </c>
      <c r="C12" s="3">
        <f>(3.14*C5*C5)/4</f>
        <v>18859.625</v>
      </c>
      <c r="D12" s="3"/>
      <c r="E12" s="3" t="s">
        <v>74</v>
      </c>
      <c r="F12" s="3" t="s">
        <v>75</v>
      </c>
      <c r="G12" s="3">
        <f>(3.14*C5*C5)/4</f>
        <v>18859.625</v>
      </c>
      <c r="K12" s="3" t="s">
        <v>74</v>
      </c>
      <c r="L12" s="3" t="s">
        <v>75</v>
      </c>
      <c r="M12" s="3">
        <f>(3.14*M5*M5)/4</f>
        <v>21892.865000000002</v>
      </c>
      <c r="N12" s="3"/>
      <c r="O12" s="3" t="s">
        <v>74</v>
      </c>
      <c r="P12" s="3" t="s">
        <v>75</v>
      </c>
      <c r="Q12" s="3">
        <f>(3.14*M5*M5)/4</f>
        <v>21892.865000000002</v>
      </c>
      <c r="R12" s="3"/>
    </row>
    <row r="13" spans="1:18" x14ac:dyDescent="0.3">
      <c r="A13" s="3" t="s">
        <v>76</v>
      </c>
      <c r="B13" s="3"/>
      <c r="C13" s="3">
        <f>(C11*C12*B10*B10*B10)/2</f>
        <v>5793676.7999999998</v>
      </c>
      <c r="D13" s="3"/>
      <c r="E13" s="3" t="s">
        <v>76</v>
      </c>
      <c r="F13" s="3"/>
      <c r="G13" s="3">
        <f>(G11*G12*F10*F10*F10)/2</f>
        <v>11315775</v>
      </c>
      <c r="K13" s="3" t="s">
        <v>76</v>
      </c>
      <c r="L13" s="3"/>
      <c r="M13" s="3">
        <f>(M11*M12*L10*L10*L10)/2</f>
        <v>13135719</v>
      </c>
      <c r="N13" s="3"/>
      <c r="O13" s="3" t="s">
        <v>76</v>
      </c>
      <c r="P13" s="3"/>
      <c r="Q13" s="3">
        <f>(Q11*Q12*P10*P10*P10)/2</f>
        <v>22698522.432000004</v>
      </c>
      <c r="R13" s="3"/>
    </row>
    <row r="14" spans="1:18" x14ac:dyDescent="0.3">
      <c r="A14" s="3" t="s">
        <v>77</v>
      </c>
      <c r="B14" s="3"/>
      <c r="C14" s="3">
        <v>0.4</v>
      </c>
      <c r="D14" s="3"/>
      <c r="E14" s="3" t="s">
        <v>77</v>
      </c>
      <c r="F14" s="3"/>
      <c r="G14" s="3">
        <v>0.4</v>
      </c>
      <c r="K14" s="3" t="s">
        <v>77</v>
      </c>
      <c r="L14" s="3"/>
      <c r="M14" s="3">
        <v>0.4</v>
      </c>
      <c r="N14" s="3"/>
      <c r="O14" s="3" t="s">
        <v>77</v>
      </c>
      <c r="P14" s="3"/>
      <c r="Q14" s="3">
        <v>0.4</v>
      </c>
      <c r="R14" s="3"/>
    </row>
    <row r="15" spans="1:18" x14ac:dyDescent="0.3">
      <c r="A15" s="3" t="s">
        <v>72</v>
      </c>
      <c r="B15" s="3"/>
      <c r="C15" s="3">
        <f>C13*C14</f>
        <v>2317470.7200000002</v>
      </c>
      <c r="D15" s="3"/>
      <c r="E15" s="3" t="s">
        <v>72</v>
      </c>
      <c r="F15" s="3"/>
      <c r="G15" s="3">
        <f>G13*G14</f>
        <v>4526310</v>
      </c>
      <c r="K15" s="3" t="s">
        <v>72</v>
      </c>
      <c r="L15" s="3"/>
      <c r="M15" s="3">
        <f>M13*M14</f>
        <v>5254287.6000000006</v>
      </c>
      <c r="N15" s="3"/>
      <c r="O15" s="3" t="s">
        <v>72</v>
      </c>
      <c r="P15" s="3"/>
      <c r="Q15" s="3">
        <f>Q13*Q14</f>
        <v>9079408.9728000015</v>
      </c>
      <c r="R15" s="3"/>
    </row>
    <row r="16" spans="1:18" x14ac:dyDescent="0.3">
      <c r="A16" s="3" t="s">
        <v>102</v>
      </c>
      <c r="C16">
        <f>C15/1000000000</f>
        <v>2.31747072E-3</v>
      </c>
      <c r="E16" s="3" t="s">
        <v>102</v>
      </c>
      <c r="F16" s="3"/>
      <c r="G16" s="3">
        <f>G15/1000000000</f>
        <v>4.5263100000000004E-3</v>
      </c>
      <c r="K16" s="3" t="s">
        <v>102</v>
      </c>
      <c r="L16" s="3"/>
      <c r="M16" s="3">
        <f>M15/1000000000</f>
        <v>5.2542876000000009E-3</v>
      </c>
      <c r="N16" s="3"/>
      <c r="O16" s="3" t="s">
        <v>102</v>
      </c>
      <c r="P16" s="3"/>
      <c r="Q16" s="3">
        <f>Q15/1000000000</f>
        <v>9.0794089728000009E-3</v>
      </c>
      <c r="R16" s="3"/>
    </row>
    <row r="17" spans="1:18" s="3" customFormat="1" x14ac:dyDescent="0.3">
      <c r="A17" s="3" t="s">
        <v>128</v>
      </c>
      <c r="C17" s="3">
        <f>C16*8760</f>
        <v>20.301043507199999</v>
      </c>
      <c r="K17" s="3" t="s">
        <v>128</v>
      </c>
      <c r="M17" s="3">
        <f>M16*8760</f>
        <v>46.027559376000006</v>
      </c>
    </row>
    <row r="18" spans="1:18" s="3" customFormat="1" x14ac:dyDescent="0.3">
      <c r="A18" s="3" t="s">
        <v>129</v>
      </c>
      <c r="C18" s="3">
        <f>C23/C17</f>
        <v>110.42895795996454</v>
      </c>
      <c r="K18" s="3" t="s">
        <v>129</v>
      </c>
      <c r="M18" s="3">
        <f>C24/M17</f>
        <v>20.874044442620974</v>
      </c>
    </row>
    <row r="19" spans="1:18" s="3" customFormat="1" x14ac:dyDescent="0.3">
      <c r="A19" s="3" t="s">
        <v>133</v>
      </c>
      <c r="C19" s="3">
        <v>150</v>
      </c>
      <c r="K19" s="3" t="s">
        <v>133</v>
      </c>
      <c r="M19" s="3">
        <v>25</v>
      </c>
    </row>
    <row r="20" spans="1:18" x14ac:dyDescent="0.3">
      <c r="A20" t="s">
        <v>161</v>
      </c>
      <c r="C20">
        <f>C19*C16</f>
        <v>0.347620608</v>
      </c>
      <c r="E20" s="3" t="s">
        <v>161</v>
      </c>
      <c r="F20" s="3"/>
      <c r="G20" s="3">
        <f>C19*G16</f>
        <v>0.67894650000000001</v>
      </c>
      <c r="K20" s="3" t="s">
        <v>161</v>
      </c>
      <c r="L20" s="3"/>
      <c r="M20" s="3">
        <f>M19*M16</f>
        <v>0.13135719000000001</v>
      </c>
      <c r="N20" s="3"/>
      <c r="O20" s="3" t="s">
        <v>161</v>
      </c>
      <c r="P20" s="3"/>
      <c r="Q20" s="3">
        <f>M19*Q16</f>
        <v>0.22698522432000001</v>
      </c>
      <c r="R20" s="3"/>
    </row>
    <row r="21" spans="1:18" s="3" customFormat="1" x14ac:dyDescent="0.3"/>
    <row r="22" spans="1:18" x14ac:dyDescent="0.3">
      <c r="A22" s="3" t="s">
        <v>162</v>
      </c>
      <c r="B22" s="3"/>
      <c r="C22" s="3">
        <f>F1*0.3</f>
        <v>3202.6043999999997</v>
      </c>
      <c r="D22" s="3" t="s">
        <v>12</v>
      </c>
      <c r="K22" s="3"/>
      <c r="L22" s="3"/>
      <c r="M22" s="3"/>
      <c r="N22" s="3"/>
      <c r="O22" s="3"/>
      <c r="P22" s="3"/>
      <c r="Q22" s="3"/>
      <c r="R22" s="3"/>
    </row>
    <row r="23" spans="1:18" x14ac:dyDescent="0.3">
      <c r="A23" t="s">
        <v>126</v>
      </c>
      <c r="C23">
        <f>C22*0.7</f>
        <v>2241.8230799999997</v>
      </c>
      <c r="D23" s="3" t="s">
        <v>12</v>
      </c>
      <c r="E23" s="3"/>
      <c r="K23" s="3"/>
      <c r="L23" s="3"/>
      <c r="M23" s="3"/>
      <c r="N23" s="3"/>
      <c r="O23" s="3"/>
      <c r="P23" s="3"/>
      <c r="Q23" s="3"/>
      <c r="R23" s="3"/>
    </row>
    <row r="24" spans="1:18" x14ac:dyDescent="0.3">
      <c r="A24" s="10" t="s">
        <v>127</v>
      </c>
      <c r="C24" s="3">
        <f>C22*0.3</f>
        <v>960.78131999999982</v>
      </c>
      <c r="D24" s="3" t="s">
        <v>12</v>
      </c>
    </row>
    <row r="25" spans="1:18" x14ac:dyDescent="0.3">
      <c r="C25" s="1"/>
    </row>
    <row r="26" spans="1:18" x14ac:dyDescent="0.3">
      <c r="A26" s="3"/>
      <c r="B26" s="3"/>
      <c r="C26" s="3"/>
      <c r="D26" s="3"/>
      <c r="K26" s="3"/>
      <c r="L26" s="3"/>
      <c r="M26" s="3"/>
      <c r="N26" s="3"/>
    </row>
    <row r="27" spans="1:18" x14ac:dyDescent="0.3">
      <c r="A27" s="3"/>
      <c r="B27" s="3"/>
      <c r="C27" s="3"/>
      <c r="D27" s="3"/>
      <c r="K27" s="3"/>
      <c r="L27" s="3"/>
      <c r="M27" s="3"/>
      <c r="N27" s="3"/>
    </row>
    <row r="28" spans="1:18" x14ac:dyDescent="0.3">
      <c r="A28" s="3"/>
      <c r="B28" s="3"/>
      <c r="C28" s="3"/>
      <c r="D28" s="3"/>
      <c r="K28" s="3"/>
      <c r="L28" s="3"/>
      <c r="M28" s="3"/>
      <c r="N28" s="3"/>
    </row>
    <row r="29" spans="1:18" x14ac:dyDescent="0.3">
      <c r="A29" s="3"/>
      <c r="B29" s="3"/>
      <c r="C29" s="3"/>
      <c r="D29" s="3"/>
      <c r="K29" s="3"/>
      <c r="L29" s="3"/>
      <c r="M29" s="3"/>
      <c r="N29" s="3"/>
    </row>
    <row r="36" spans="3:3" x14ac:dyDescent="0.3">
      <c r="C36" s="1"/>
    </row>
  </sheetData>
  <hyperlinks>
    <hyperlink ref="D6" r:id="rId1" xr:uid="{80F3B9AC-4C3E-4E4A-92E6-5B9439951372}"/>
    <hyperlink ref="N6" r:id="rId2" xr:uid="{7E876425-B499-4028-B414-EB30C2CB311A}"/>
    <hyperlink ref="N4" r:id="rId3" xr:uid="{A930D5C8-C7F7-46B0-A408-75699AC2F74B}"/>
    <hyperlink ref="D4" r:id="rId4" xr:uid="{41F0A66F-B01D-409C-805F-2ADC60ABD57F}"/>
  </hyperlinks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5E4C-86C8-4F82-97EE-6E2A8224025E}">
  <dimension ref="A1:I25"/>
  <sheetViews>
    <sheetView topLeftCell="A4" workbookViewId="0">
      <selection activeCell="B18" sqref="B18"/>
    </sheetView>
  </sheetViews>
  <sheetFormatPr defaultColWidth="12" defaultRowHeight="14.4" x14ac:dyDescent="0.3"/>
  <cols>
    <col min="1" max="1" width="16.33203125" customWidth="1"/>
    <col min="2" max="2" width="13.109375" customWidth="1"/>
    <col min="6" max="6" width="15.33203125" customWidth="1"/>
  </cols>
  <sheetData>
    <row r="1" spans="1:9" x14ac:dyDescent="0.3">
      <c r="A1" t="s">
        <v>150</v>
      </c>
      <c r="D1" s="3" t="s">
        <v>153</v>
      </c>
      <c r="E1" s="3">
        <v>10675.348</v>
      </c>
    </row>
    <row r="3" spans="1:9" x14ac:dyDescent="0.3">
      <c r="A3" s="8" t="s">
        <v>78</v>
      </c>
      <c r="B3" s="8" t="s">
        <v>79</v>
      </c>
      <c r="C3" s="8">
        <v>2</v>
      </c>
      <c r="D3" s="3"/>
      <c r="E3" s="3"/>
      <c r="F3" s="3"/>
    </row>
    <row r="4" spans="1:9" x14ac:dyDescent="0.3">
      <c r="A4" s="8" t="s">
        <v>80</v>
      </c>
      <c r="B4" s="8" t="s">
        <v>79</v>
      </c>
      <c r="C4" s="8">
        <v>4.0999999999999996</v>
      </c>
      <c r="D4" s="3"/>
      <c r="E4" s="3"/>
      <c r="F4" s="3"/>
    </row>
    <row r="5" spans="1:9" ht="16.2" x14ac:dyDescent="0.3">
      <c r="A5" s="8" t="s">
        <v>94</v>
      </c>
      <c r="B5" s="8" t="s">
        <v>135</v>
      </c>
      <c r="C5" s="8">
        <v>9</v>
      </c>
      <c r="D5" s="3"/>
      <c r="E5" s="3"/>
      <c r="F5" s="3"/>
    </row>
    <row r="6" spans="1:9" x14ac:dyDescent="0.3">
      <c r="A6" s="3"/>
      <c r="B6" s="3"/>
      <c r="C6" s="3"/>
      <c r="D6" s="3"/>
      <c r="E6" s="3"/>
      <c r="F6" s="3"/>
    </row>
    <row r="7" spans="1:9" x14ac:dyDescent="0.3">
      <c r="A7" s="3" t="s">
        <v>81</v>
      </c>
      <c r="B7" s="3" t="s">
        <v>96</v>
      </c>
      <c r="C7" s="3">
        <v>1026</v>
      </c>
      <c r="D7" s="3"/>
      <c r="E7" s="3"/>
      <c r="F7" s="3" t="s">
        <v>81</v>
      </c>
      <c r="G7" s="3" t="s">
        <v>96</v>
      </c>
      <c r="H7" s="3">
        <v>1026</v>
      </c>
    </row>
    <row r="8" spans="1:9" x14ac:dyDescent="0.3">
      <c r="A8" s="3" t="s">
        <v>82</v>
      </c>
      <c r="B8" s="3" t="s">
        <v>97</v>
      </c>
      <c r="C8" s="3">
        <v>9.81</v>
      </c>
      <c r="D8" s="3"/>
      <c r="E8" s="3"/>
      <c r="F8" s="3" t="s">
        <v>82</v>
      </c>
      <c r="G8" s="3" t="s">
        <v>97</v>
      </c>
      <c r="H8" s="3">
        <v>9.81</v>
      </c>
    </row>
    <row r="9" spans="1:9" ht="16.2" x14ac:dyDescent="0.3">
      <c r="A9" s="3" t="s">
        <v>83</v>
      </c>
      <c r="B9" s="3" t="s">
        <v>95</v>
      </c>
      <c r="C9" s="3">
        <v>9000000</v>
      </c>
      <c r="D9" s="3"/>
      <c r="E9" s="3"/>
      <c r="F9" s="3" t="s">
        <v>83</v>
      </c>
      <c r="G9" s="3" t="s">
        <v>95</v>
      </c>
      <c r="H9" s="3">
        <v>9000000</v>
      </c>
    </row>
    <row r="10" spans="1:9" x14ac:dyDescent="0.3">
      <c r="A10" s="3" t="s">
        <v>85</v>
      </c>
      <c r="B10" s="3" t="s">
        <v>79</v>
      </c>
      <c r="C10" s="3">
        <v>4.0999999999999996</v>
      </c>
      <c r="D10" s="3"/>
      <c r="E10" s="3"/>
      <c r="F10" s="3" t="s">
        <v>85</v>
      </c>
      <c r="G10" s="3" t="s">
        <v>79</v>
      </c>
      <c r="H10" s="3">
        <v>2</v>
      </c>
    </row>
    <row r="11" spans="1:9" x14ac:dyDescent="0.3">
      <c r="A11" s="3" t="s">
        <v>86</v>
      </c>
      <c r="B11" s="3" t="s">
        <v>87</v>
      </c>
      <c r="C11" s="3">
        <f>C7*C8*C9*C10*C10/2</f>
        <v>761371463699.99988</v>
      </c>
      <c r="D11" s="3"/>
      <c r="E11" s="3"/>
      <c r="F11" s="3" t="s">
        <v>86</v>
      </c>
      <c r="G11" s="3" t="s">
        <v>87</v>
      </c>
      <c r="H11" s="3">
        <f>H7*H8*H9*H10*H10/2</f>
        <v>181171080000.00003</v>
      </c>
    </row>
    <row r="12" spans="1:9" x14ac:dyDescent="0.3">
      <c r="A12" s="3" t="s">
        <v>88</v>
      </c>
      <c r="B12" s="3" t="s">
        <v>89</v>
      </c>
      <c r="C12" s="3">
        <f>2*C11/(3600*1000000000)</f>
        <v>0.42298414649999994</v>
      </c>
      <c r="D12" s="3" t="s">
        <v>131</v>
      </c>
      <c r="E12" s="3"/>
      <c r="F12" s="3" t="s">
        <v>88</v>
      </c>
      <c r="G12" s="3" t="s">
        <v>89</v>
      </c>
      <c r="H12" s="3">
        <f>2*H11/(3600*1000000000)</f>
        <v>0.10065060000000002</v>
      </c>
      <c r="I12" s="3" t="s">
        <v>131</v>
      </c>
    </row>
    <row r="13" spans="1:9" x14ac:dyDescent="0.3">
      <c r="A13" s="3"/>
      <c r="B13" s="3" t="s">
        <v>90</v>
      </c>
      <c r="C13" s="3">
        <f>C12*2</f>
        <v>0.84596829299999987</v>
      </c>
      <c r="E13" s="3"/>
      <c r="F13" s="3"/>
      <c r="G13" s="3" t="s">
        <v>90</v>
      </c>
      <c r="H13" s="3">
        <f>H12*2</f>
        <v>0.20130120000000004</v>
      </c>
    </row>
    <row r="14" spans="1:9" x14ac:dyDescent="0.3">
      <c r="A14" t="s">
        <v>71</v>
      </c>
      <c r="C14">
        <v>15</v>
      </c>
      <c r="D14" s="3"/>
      <c r="E14" s="3"/>
      <c r="F14" s="3" t="s">
        <v>71</v>
      </c>
      <c r="G14" s="3"/>
      <c r="H14" s="3">
        <v>15</v>
      </c>
    </row>
    <row r="15" spans="1:9" x14ac:dyDescent="0.3">
      <c r="A15" t="s">
        <v>134</v>
      </c>
      <c r="C15">
        <f>C13*C14</f>
        <v>12.689524394999998</v>
      </c>
      <c r="D15" s="3" t="s">
        <v>12</v>
      </c>
      <c r="E15" s="3"/>
      <c r="F15" s="3" t="s">
        <v>134</v>
      </c>
      <c r="G15" s="3"/>
      <c r="H15" s="3">
        <f>H13*H14</f>
        <v>3.0195180000000006</v>
      </c>
      <c r="I15" t="s">
        <v>12</v>
      </c>
    </row>
    <row r="16" spans="1:9" x14ac:dyDescent="0.3">
      <c r="D16" s="3"/>
      <c r="E16" s="3"/>
      <c r="F16" s="3"/>
    </row>
    <row r="17" spans="1:6" x14ac:dyDescent="0.3">
      <c r="A17" t="s">
        <v>132</v>
      </c>
      <c r="B17">
        <f>C15+H15</f>
        <v>15.709042394999997</v>
      </c>
      <c r="D17" s="3"/>
      <c r="E17" s="3"/>
      <c r="F17" s="3"/>
    </row>
    <row r="18" spans="1:6" x14ac:dyDescent="0.3">
      <c r="A18" t="s">
        <v>149</v>
      </c>
      <c r="B18">
        <f>B17*365/2</f>
        <v>2866.9002370874996</v>
      </c>
    </row>
    <row r="20" spans="1:6" x14ac:dyDescent="0.3">
      <c r="A20" t="s">
        <v>162</v>
      </c>
      <c r="C20">
        <f>E1*0.25</f>
        <v>2668.837</v>
      </c>
      <c r="D20" t="s">
        <v>12</v>
      </c>
    </row>
    <row r="23" spans="1:6" x14ac:dyDescent="0.3">
      <c r="A23" t="s">
        <v>99</v>
      </c>
    </row>
    <row r="24" spans="1:6" x14ac:dyDescent="0.3">
      <c r="A24" t="s">
        <v>98</v>
      </c>
    </row>
    <row r="25" spans="1:6" x14ac:dyDescent="0.3">
      <c r="A25" t="s">
        <v>171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F65F-3FB3-4C35-9A5F-7A01AE24961D}">
  <dimension ref="A1:J24"/>
  <sheetViews>
    <sheetView workbookViewId="0">
      <selection activeCell="A3" sqref="A3:Q17"/>
    </sheetView>
  </sheetViews>
  <sheetFormatPr defaultRowHeight="14.4" x14ac:dyDescent="0.3"/>
  <cols>
    <col min="1" max="1" width="19.88671875" customWidth="1"/>
    <col min="2" max="2" width="10.77734375" customWidth="1"/>
    <col min="4" max="4" width="11" bestFit="1" customWidth="1"/>
  </cols>
  <sheetData>
    <row r="1" spans="1:10" x14ac:dyDescent="0.3">
      <c r="A1" s="3" t="s">
        <v>136</v>
      </c>
      <c r="D1" s="3" t="s">
        <v>125</v>
      </c>
      <c r="E1" s="3">
        <v>10675.348</v>
      </c>
    </row>
    <row r="3" spans="1:10" x14ac:dyDescent="0.3">
      <c r="A3" s="8" t="s">
        <v>93</v>
      </c>
      <c r="B3" s="8" t="s">
        <v>160</v>
      </c>
      <c r="C3" s="8"/>
    </row>
    <row r="4" spans="1:10" x14ac:dyDescent="0.3">
      <c r="A4" s="8" t="s">
        <v>91</v>
      </c>
      <c r="B4" s="8">
        <v>5.0999999999999996</v>
      </c>
      <c r="C4" s="8" t="s">
        <v>159</v>
      </c>
    </row>
    <row r="5" spans="1:10" x14ac:dyDescent="0.3">
      <c r="A5" s="8" t="s">
        <v>92</v>
      </c>
      <c r="B5" s="8" t="s">
        <v>116</v>
      </c>
      <c r="C5" s="8" t="s">
        <v>117</v>
      </c>
      <c r="E5" s="9" t="s">
        <v>115</v>
      </c>
    </row>
    <row r="6" spans="1:10" s="3" customFormat="1" ht="16.2" x14ac:dyDescent="0.3">
      <c r="A6" s="8" t="s">
        <v>107</v>
      </c>
      <c r="B6" s="8">
        <v>1.746577</v>
      </c>
      <c r="C6" s="8" t="s">
        <v>84</v>
      </c>
    </row>
    <row r="7" spans="1:10" x14ac:dyDescent="0.3">
      <c r="A7" s="8" t="s">
        <v>52</v>
      </c>
      <c r="B7" s="8" t="s">
        <v>118</v>
      </c>
      <c r="C7" s="8"/>
    </row>
    <row r="8" spans="1:10" x14ac:dyDescent="0.3">
      <c r="A8" s="8" t="s">
        <v>53</v>
      </c>
      <c r="B8" s="8">
        <v>360</v>
      </c>
      <c r="C8" s="8" t="s">
        <v>32</v>
      </c>
    </row>
    <row r="9" spans="1:10" x14ac:dyDescent="0.3">
      <c r="A9" s="8" t="s">
        <v>104</v>
      </c>
      <c r="B9" s="8">
        <v>0.79</v>
      </c>
      <c r="C9" s="8"/>
    </row>
    <row r="10" spans="1:10" x14ac:dyDescent="0.3">
      <c r="A10" s="8" t="s">
        <v>164</v>
      </c>
      <c r="B10" s="8" t="s">
        <v>165</v>
      </c>
      <c r="C10" s="8" t="s">
        <v>166</v>
      </c>
      <c r="D10" s="8" t="s">
        <v>28</v>
      </c>
      <c r="E10" s="8" t="s">
        <v>167</v>
      </c>
      <c r="F10" s="8" t="s">
        <v>169</v>
      </c>
      <c r="G10" s="8" t="s">
        <v>168</v>
      </c>
      <c r="H10" s="8" t="s">
        <v>134</v>
      </c>
    </row>
    <row r="11" spans="1:10" x14ac:dyDescent="0.3">
      <c r="A11" s="8" t="s">
        <v>105</v>
      </c>
      <c r="B11" s="8">
        <v>150</v>
      </c>
      <c r="C11" s="8">
        <v>190</v>
      </c>
      <c r="D11" s="8">
        <v>180</v>
      </c>
      <c r="E11" s="8">
        <v>170</v>
      </c>
      <c r="F11" s="8">
        <v>150</v>
      </c>
      <c r="G11" s="8">
        <v>130</v>
      </c>
      <c r="H11" s="8">
        <f>B11+C11+D11+E11+F11+G11</f>
        <v>970</v>
      </c>
      <c r="J11" s="9" t="s">
        <v>170</v>
      </c>
    </row>
    <row r="12" spans="1:10" x14ac:dyDescent="0.3">
      <c r="E12" s="3"/>
    </row>
    <row r="13" spans="1:10" s="3" customFormat="1" x14ac:dyDescent="0.3">
      <c r="A13" s="3" t="s">
        <v>154</v>
      </c>
      <c r="B13" s="3">
        <f>B8*B9*H11</f>
        <v>275868.00000000006</v>
      </c>
      <c r="C13" s="3" t="s">
        <v>106</v>
      </c>
      <c r="D13" s="3">
        <f>B13/1000000000</f>
        <v>2.7586800000000008E-4</v>
      </c>
      <c r="E13" s="3" t="s">
        <v>12</v>
      </c>
    </row>
    <row r="14" spans="1:10" x14ac:dyDescent="0.3">
      <c r="A14" t="s">
        <v>155</v>
      </c>
      <c r="B14">
        <f>C21/D13</f>
        <v>3869730.4507953073</v>
      </c>
    </row>
    <row r="15" spans="1:10" x14ac:dyDescent="0.3">
      <c r="A15" t="s">
        <v>156</v>
      </c>
      <c r="B15">
        <f>B14*B6</f>
        <v>6758782.2015587157</v>
      </c>
      <c r="C15" t="s">
        <v>84</v>
      </c>
    </row>
    <row r="16" spans="1:10" x14ac:dyDescent="0.3">
      <c r="A16" t="s">
        <v>157</v>
      </c>
      <c r="B16">
        <v>4000000</v>
      </c>
    </row>
    <row r="17" spans="1:5" x14ac:dyDescent="0.3">
      <c r="A17" t="s">
        <v>158</v>
      </c>
      <c r="B17">
        <f>B16*B6</f>
        <v>6986308</v>
      </c>
      <c r="C17" t="s">
        <v>84</v>
      </c>
      <c r="D17">
        <f>B17/1000000</f>
        <v>6.9863080000000002</v>
      </c>
      <c r="E17" t="s">
        <v>159</v>
      </c>
    </row>
    <row r="21" spans="1:5" x14ac:dyDescent="0.3">
      <c r="A21" s="3" t="s">
        <v>163</v>
      </c>
      <c r="B21" s="3"/>
      <c r="C21" s="3">
        <f>E1*0.1</f>
        <v>1067.5348000000001</v>
      </c>
      <c r="D21" s="3" t="s">
        <v>12</v>
      </c>
    </row>
    <row r="22" spans="1:5" x14ac:dyDescent="0.3">
      <c r="A22" s="3"/>
      <c r="B22" s="3"/>
      <c r="C22" s="3"/>
      <c r="D22" s="3"/>
    </row>
    <row r="23" spans="1:5" x14ac:dyDescent="0.3">
      <c r="A23" s="3"/>
      <c r="B23" s="3"/>
      <c r="C23" s="3"/>
      <c r="D23" s="3"/>
    </row>
    <row r="24" spans="1:5" x14ac:dyDescent="0.3">
      <c r="A24" s="3"/>
      <c r="B24" s="3"/>
      <c r="C24" s="3"/>
      <c r="D24" s="3"/>
    </row>
  </sheetData>
  <phoneticPr fontId="7" type="noConversion"/>
  <hyperlinks>
    <hyperlink ref="E5" r:id="rId1" xr:uid="{F6F42D14-500F-42F3-AD50-2C80D2FE126A}"/>
    <hyperlink ref="J11" r:id="rId2" xr:uid="{C4FBBBFC-0731-48B5-93FF-4136A3137207}"/>
  </hyperlinks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33FC-B6DF-4788-98FF-D7BB95391712}">
  <dimension ref="A1:J13"/>
  <sheetViews>
    <sheetView tabSelected="1" workbookViewId="0">
      <selection activeCell="M3" sqref="M3"/>
    </sheetView>
  </sheetViews>
  <sheetFormatPr defaultRowHeight="14.4" x14ac:dyDescent="0.3"/>
  <cols>
    <col min="1" max="1" width="20.6640625" customWidth="1"/>
    <col min="2" max="2" width="9" customWidth="1"/>
    <col min="4" max="4" width="11.77734375" customWidth="1"/>
    <col min="5" max="5" width="12.33203125" customWidth="1"/>
    <col min="6" max="6" width="12.109375" customWidth="1"/>
    <col min="7" max="7" width="14.33203125" customWidth="1"/>
    <col min="8" max="8" width="8.88671875" customWidth="1"/>
    <col min="9" max="9" width="12.77734375" customWidth="1"/>
    <col min="10" max="10" width="10.88671875" bestFit="1" customWidth="1"/>
  </cols>
  <sheetData>
    <row r="1" spans="1:10" x14ac:dyDescent="0.3">
      <c r="A1" t="s">
        <v>172</v>
      </c>
      <c r="D1" s="3" t="s">
        <v>153</v>
      </c>
      <c r="E1" s="3">
        <v>10675.348</v>
      </c>
    </row>
    <row r="3" spans="1:10" x14ac:dyDescent="0.3">
      <c r="A3" s="3" t="s">
        <v>137</v>
      </c>
      <c r="B3" s="3" t="s">
        <v>138</v>
      </c>
      <c r="C3" s="3" t="s">
        <v>139</v>
      </c>
      <c r="D3" s="3" t="s">
        <v>140</v>
      </c>
      <c r="E3" s="3" t="s">
        <v>175</v>
      </c>
      <c r="F3" s="3" t="s">
        <v>173</v>
      </c>
      <c r="G3" s="3" t="s">
        <v>174</v>
      </c>
      <c r="H3" s="3"/>
      <c r="I3" s="3" t="s">
        <v>141</v>
      </c>
      <c r="J3" s="3" t="s">
        <v>142</v>
      </c>
    </row>
    <row r="4" spans="1:10" x14ac:dyDescent="0.3">
      <c r="A4" s="3" t="s">
        <v>143</v>
      </c>
      <c r="B4" s="3">
        <v>86</v>
      </c>
      <c r="C4" s="3">
        <v>33</v>
      </c>
      <c r="D4" s="3">
        <v>330</v>
      </c>
      <c r="E4" s="3">
        <v>3</v>
      </c>
      <c r="F4" s="3">
        <v>332</v>
      </c>
      <c r="G4" s="3">
        <v>498.77199999999999</v>
      </c>
      <c r="I4" s="3"/>
      <c r="J4" s="11">
        <v>10400</v>
      </c>
    </row>
    <row r="5" spans="1:10" x14ac:dyDescent="0.3">
      <c r="A5" s="3" t="s">
        <v>144</v>
      </c>
      <c r="B5" s="3">
        <v>45</v>
      </c>
      <c r="C5" s="3">
        <v>33</v>
      </c>
      <c r="D5" s="3">
        <v>230</v>
      </c>
      <c r="E5" s="3"/>
      <c r="F5" s="3">
        <v>206</v>
      </c>
      <c r="G5" s="3">
        <v>412</v>
      </c>
      <c r="I5" s="3">
        <v>1200</v>
      </c>
      <c r="J5" s="11">
        <v>4350</v>
      </c>
    </row>
    <row r="6" spans="1:10" x14ac:dyDescent="0.3">
      <c r="A6" s="3" t="s">
        <v>145</v>
      </c>
      <c r="B6" s="3">
        <v>34.18</v>
      </c>
      <c r="C6" s="3">
        <v>23</v>
      </c>
      <c r="D6" s="3">
        <v>130</v>
      </c>
      <c r="E6" s="3">
        <v>4</v>
      </c>
      <c r="F6" s="3">
        <v>47</v>
      </c>
      <c r="G6" s="3">
        <v>60.503</v>
      </c>
      <c r="I6" s="3"/>
      <c r="J6" s="11">
        <v>312312854</v>
      </c>
    </row>
    <row r="7" spans="1:10" x14ac:dyDescent="0.3">
      <c r="A7" s="3" t="s">
        <v>146</v>
      </c>
      <c r="B7" s="3">
        <v>20</v>
      </c>
      <c r="C7" s="3">
        <v>33</v>
      </c>
      <c r="D7" s="3">
        <v>230</v>
      </c>
      <c r="E7" s="3"/>
      <c r="F7" s="3">
        <v>65</v>
      </c>
      <c r="G7" s="3">
        <v>96.525000000000006</v>
      </c>
      <c r="I7" s="3">
        <v>1200</v>
      </c>
      <c r="J7" s="11"/>
    </row>
    <row r="8" spans="1:10" x14ac:dyDescent="0.3">
      <c r="A8" s="3" t="s">
        <v>147</v>
      </c>
      <c r="B8" s="3">
        <v>19</v>
      </c>
      <c r="C8" s="3">
        <v>33</v>
      </c>
      <c r="D8" s="3">
        <v>230</v>
      </c>
      <c r="E8" s="3"/>
      <c r="F8" s="3">
        <v>56</v>
      </c>
      <c r="G8" s="3">
        <v>85.47</v>
      </c>
      <c r="I8" s="3">
        <v>1524</v>
      </c>
      <c r="J8" s="11">
        <v>1253</v>
      </c>
    </row>
    <row r="9" spans="1:10" x14ac:dyDescent="0.3">
      <c r="A9" s="3" t="s">
        <v>148</v>
      </c>
      <c r="B9" s="3">
        <v>8</v>
      </c>
      <c r="C9" s="3">
        <v>20</v>
      </c>
      <c r="D9" s="3">
        <v>330</v>
      </c>
      <c r="E9" s="3"/>
      <c r="F9" s="3">
        <v>21</v>
      </c>
      <c r="G9" s="3">
        <v>67.83</v>
      </c>
      <c r="I9" s="3">
        <v>1524</v>
      </c>
      <c r="J9" s="3"/>
    </row>
    <row r="10" spans="1:10" x14ac:dyDescent="0.3">
      <c r="B10" s="1">
        <f>SUM(B4:B9)</f>
        <v>212.18</v>
      </c>
      <c r="F10" s="1">
        <f>SUM(F4:F9)</f>
        <v>727</v>
      </c>
      <c r="G10" s="1">
        <f>SUM(G4:G9)</f>
        <v>1221.0999999999999</v>
      </c>
      <c r="H10" s="3"/>
      <c r="I10" s="3"/>
    </row>
    <row r="13" spans="1:10" x14ac:dyDescent="0.3">
      <c r="A13" s="3" t="s">
        <v>163</v>
      </c>
      <c r="D13">
        <f>E1*0.05</f>
        <v>533.76740000000007</v>
      </c>
      <c r="E13" t="s">
        <v>12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758F-CAD5-4AF3-ABDB-2D1737C4B803}">
  <dimension ref="A1:G10"/>
  <sheetViews>
    <sheetView workbookViewId="0">
      <selection activeCell="W1" sqref="W1"/>
    </sheetView>
  </sheetViews>
  <sheetFormatPr defaultRowHeight="14.4" x14ac:dyDescent="0.3"/>
  <cols>
    <col min="4" max="4" width="9.6640625" customWidth="1"/>
  </cols>
  <sheetData>
    <row r="1" spans="1:7" x14ac:dyDescent="0.3">
      <c r="A1" s="1" t="s">
        <v>218</v>
      </c>
    </row>
    <row r="2" spans="1:7" x14ac:dyDescent="0.3">
      <c r="A2" t="s">
        <v>219</v>
      </c>
      <c r="E2">
        <v>914.4</v>
      </c>
      <c r="F2" t="s">
        <v>138</v>
      </c>
    </row>
    <row r="3" spans="1:7" x14ac:dyDescent="0.3">
      <c r="A3" t="s">
        <v>223</v>
      </c>
      <c r="E3">
        <f>347.625</f>
        <v>347.625</v>
      </c>
      <c r="F3" t="s">
        <v>138</v>
      </c>
      <c r="G3" t="s">
        <v>224</v>
      </c>
    </row>
    <row r="4" spans="1:7" x14ac:dyDescent="0.3">
      <c r="A4" t="s">
        <v>225</v>
      </c>
      <c r="E4">
        <v>350</v>
      </c>
      <c r="F4" t="s">
        <v>138</v>
      </c>
    </row>
    <row r="5" spans="1:7" x14ac:dyDescent="0.3">
      <c r="A5" t="s">
        <v>226</v>
      </c>
      <c r="E5">
        <v>18</v>
      </c>
      <c r="F5" t="s">
        <v>227</v>
      </c>
    </row>
    <row r="6" spans="1:7" x14ac:dyDescent="0.3">
      <c r="A6" t="s">
        <v>228</v>
      </c>
      <c r="E6">
        <f>E4*E5</f>
        <v>6300</v>
      </c>
      <c r="F6" t="s">
        <v>222</v>
      </c>
    </row>
    <row r="8" spans="1:7" x14ac:dyDescent="0.3">
      <c r="A8" t="s">
        <v>229</v>
      </c>
      <c r="C8" t="s">
        <v>230</v>
      </c>
      <c r="F8" t="s">
        <v>231</v>
      </c>
    </row>
    <row r="9" spans="1:7" x14ac:dyDescent="0.3">
      <c r="A9" t="s">
        <v>220</v>
      </c>
      <c r="C9" s="10">
        <v>0.7</v>
      </c>
      <c r="D9" s="4">
        <v>6300</v>
      </c>
      <c r="F9">
        <f>C9*D9</f>
        <v>4410</v>
      </c>
      <c r="G9" s="4" t="s">
        <v>222</v>
      </c>
    </row>
    <row r="10" spans="1:7" x14ac:dyDescent="0.3">
      <c r="A10" t="s">
        <v>221</v>
      </c>
      <c r="C10" s="10">
        <v>0.3</v>
      </c>
      <c r="D10" s="4">
        <v>6300</v>
      </c>
      <c r="F10" s="4">
        <f>C10*D10</f>
        <v>1890</v>
      </c>
      <c r="G10" s="4" t="s">
        <v>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requirement</vt:lpstr>
      <vt:lpstr>daily requirement</vt:lpstr>
      <vt:lpstr>nuclear</vt:lpstr>
      <vt:lpstr>wind</vt:lpstr>
      <vt:lpstr>tidal barrage</vt:lpstr>
      <vt:lpstr>solar</vt:lpstr>
      <vt:lpstr>hydro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AADEESH</dc:creator>
  <cp:lastModifiedBy>Kurde, Aadeesh</cp:lastModifiedBy>
  <dcterms:created xsi:type="dcterms:W3CDTF">2022-03-21T00:55:16Z</dcterms:created>
  <dcterms:modified xsi:type="dcterms:W3CDTF">2022-05-16T17:09:58Z</dcterms:modified>
</cp:coreProperties>
</file>