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  <Override PartName="/xl/commentsmeta1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https://d.docs.live.net/0492799dd87ea2b1/Desktop/"/>
    </mc:Choice>
  </mc:AlternateContent>
  <xr:revisionPtr revIDLastSave="8" documentId="13_ncr:1_{908A5308-E3CD-4CA7-88E1-2C1BE802B9BC}" xr6:coauthVersionLast="47" xr6:coauthVersionMax="47" xr10:uidLastSave="{31B9CB57-E545-4AB3-9A15-A4F9B94F2FA9}"/>
  <bookViews>
    <workbookView xWindow="-120" yWindow="-120" windowWidth="29040" windowHeight="15720" activeTab="5" xr2:uid="{00000000-000D-0000-FFFF-FFFF00000000}"/>
  </bookViews>
  <sheets>
    <sheet name="Cover Page" sheetId="11" r:id="rId1"/>
    <sheet name="Free Cash Flow" sheetId="2" r:id="rId2"/>
    <sheet name="Fixed Assets" sheetId="3" r:id="rId3"/>
    <sheet name="Net Working Capital" sheetId="4" r:id="rId4"/>
    <sheet name="DCF" sheetId="5" r:id="rId5"/>
    <sheet name="WACC" sheetId="6" r:id="rId6"/>
    <sheet name="Data Source --&gt;" sheetId="7" r:id="rId7"/>
    <sheet name="Income Statement" sheetId="8" r:id="rId8"/>
    <sheet name="Balance Sheet" sheetId="9" r:id="rId9"/>
    <sheet name="Cash Flow Statement" sheetId="10" r:id="rId1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14" roundtripDataSignature="AMtx7mgO+XDV4Zo2EE1nvNhM8Bphb5J3BQ=="/>
    </ext>
  </extLst>
</workbook>
</file>

<file path=xl/calcChain.xml><?xml version="1.0" encoding="utf-8"?>
<calcChain xmlns="http://schemas.openxmlformats.org/spreadsheetml/2006/main">
  <c r="C19" i="5" l="1"/>
  <c r="C12" i="5" l="1"/>
  <c r="D7" i="3"/>
  <c r="E7" i="3"/>
  <c r="F4" i="3" s="1"/>
  <c r="D4" i="3"/>
  <c r="E4" i="3"/>
  <c r="C7" i="3"/>
  <c r="C4" i="3"/>
  <c r="C50" i="9"/>
  <c r="D50" i="9"/>
  <c r="E50" i="9"/>
  <c r="F50" i="9"/>
  <c r="C3" i="6" s="1"/>
  <c r="F13" i="5"/>
  <c r="F14" i="5"/>
  <c r="F17" i="5"/>
  <c r="F16" i="5"/>
  <c r="H12" i="5"/>
  <c r="G12" i="5" s="1"/>
  <c r="J12" i="5"/>
  <c r="K12" i="5" s="1"/>
  <c r="C16" i="5"/>
  <c r="C16" i="6"/>
  <c r="C4" i="6"/>
  <c r="C6" i="6" s="1"/>
  <c r="C9" i="6" s="1"/>
  <c r="C8" i="6" l="1"/>
  <c r="C15" i="6"/>
  <c r="C17" i="5"/>
  <c r="H17" i="2"/>
  <c r="I17" i="2"/>
  <c r="J17" i="2"/>
  <c r="G18" i="2"/>
  <c r="H18" i="2"/>
  <c r="I18" i="2"/>
  <c r="J18" i="2"/>
  <c r="G19" i="2"/>
  <c r="H19" i="2"/>
  <c r="I19" i="2"/>
  <c r="J19" i="2"/>
  <c r="G20" i="2"/>
  <c r="H20" i="2"/>
  <c r="I20" i="2"/>
  <c r="J20" i="2"/>
  <c r="H13" i="4"/>
  <c r="I13" i="4"/>
  <c r="J13" i="4"/>
  <c r="K13" i="4"/>
  <c r="H8" i="4"/>
  <c r="I8" i="4"/>
  <c r="J8" i="4"/>
  <c r="K8" i="4"/>
  <c r="H10" i="4"/>
  <c r="I10" i="4"/>
  <c r="J10" i="4"/>
  <c r="K10" i="4"/>
  <c r="H11" i="4"/>
  <c r="I11" i="4"/>
  <c r="J11" i="4"/>
  <c r="K11" i="4"/>
  <c r="H12" i="4"/>
  <c r="I12" i="4"/>
  <c r="J12" i="4"/>
  <c r="K12" i="4"/>
  <c r="G7" i="4"/>
  <c r="H7" i="4"/>
  <c r="I7" i="4"/>
  <c r="J7" i="4"/>
  <c r="K7" i="4"/>
  <c r="K6" i="4"/>
  <c r="J6" i="4"/>
  <c r="I6" i="4"/>
  <c r="H6" i="4"/>
  <c r="G26" i="4"/>
  <c r="D26" i="4"/>
  <c r="E26" i="4"/>
  <c r="F26" i="4"/>
  <c r="C26" i="4"/>
  <c r="D10" i="4"/>
  <c r="D25" i="4" s="1"/>
  <c r="E10" i="4"/>
  <c r="E25" i="4" s="1"/>
  <c r="F10" i="4"/>
  <c r="F25" i="4" s="1"/>
  <c r="D11" i="4"/>
  <c r="D27" i="4" s="1"/>
  <c r="E11" i="4"/>
  <c r="E27" i="4" s="1"/>
  <c r="F11" i="4"/>
  <c r="F27" i="4" s="1"/>
  <c r="C11" i="4"/>
  <c r="C27" i="4" s="1"/>
  <c r="C10" i="4"/>
  <c r="C25" i="4" s="1"/>
  <c r="L29" i="9"/>
  <c r="M29" i="9"/>
  <c r="O29" i="9"/>
  <c r="N29" i="9"/>
  <c r="O10" i="9"/>
  <c r="N10" i="9"/>
  <c r="M10" i="9"/>
  <c r="L10" i="9"/>
  <c r="C6" i="4"/>
  <c r="C24" i="4" s="1"/>
  <c r="D4" i="4"/>
  <c r="E4" i="4"/>
  <c r="F4" i="4"/>
  <c r="D5" i="4"/>
  <c r="E5" i="4"/>
  <c r="F5" i="4"/>
  <c r="D6" i="4"/>
  <c r="D24" i="4" s="1"/>
  <c r="E6" i="4"/>
  <c r="E24" i="4" s="1"/>
  <c r="F6" i="4"/>
  <c r="F24" i="4" s="1"/>
  <c r="C18" i="4"/>
  <c r="H13" i="8"/>
  <c r="F18" i="4"/>
  <c r="E18" i="4"/>
  <c r="D18" i="4"/>
  <c r="F17" i="4"/>
  <c r="E17" i="4"/>
  <c r="D17" i="4"/>
  <c r="D45" i="9"/>
  <c r="D52" i="9" s="1"/>
  <c r="E45" i="9"/>
  <c r="E52" i="9" s="1"/>
  <c r="F45" i="9"/>
  <c r="F52" i="9" s="1"/>
  <c r="C45" i="9"/>
  <c r="C52" i="9" s="1"/>
  <c r="C26" i="9"/>
  <c r="D26" i="9"/>
  <c r="E26" i="9"/>
  <c r="F26" i="9"/>
  <c r="D8" i="2"/>
  <c r="E8" i="2"/>
  <c r="C8" i="2"/>
  <c r="H25" i="8"/>
  <c r="H35" i="8" s="1"/>
  <c r="D66" i="8"/>
  <c r="J13" i="8"/>
  <c r="K13" i="8"/>
  <c r="I13" i="8"/>
  <c r="I35" i="8"/>
  <c r="J35" i="8"/>
  <c r="D13" i="2"/>
  <c r="E13" i="2"/>
  <c r="C18" i="6" l="1"/>
  <c r="G27" i="4"/>
  <c r="G11" i="4" s="1"/>
  <c r="E8" i="4"/>
  <c r="F8" i="4"/>
  <c r="E19" i="2" s="1"/>
  <c r="D8" i="4"/>
  <c r="C19" i="2" s="1"/>
  <c r="G25" i="4"/>
  <c r="G10" i="4" s="1"/>
  <c r="G24" i="4"/>
  <c r="G6" i="4" s="1"/>
  <c r="F20" i="4"/>
  <c r="D21" i="4"/>
  <c r="E21" i="4"/>
  <c r="E20" i="4"/>
  <c r="D20" i="4"/>
  <c r="F21" i="4"/>
  <c r="D5" i="2"/>
  <c r="C5" i="2"/>
  <c r="E5" i="2"/>
  <c r="D11" i="2"/>
  <c r="D15" i="2" s="1"/>
  <c r="E11" i="2"/>
  <c r="E15" i="2" s="1"/>
  <c r="C11" i="2"/>
  <c r="C5" i="3" s="1"/>
  <c r="C13" i="6"/>
  <c r="F12" i="4"/>
  <c r="F28" i="4" s="1"/>
  <c r="E12" i="4"/>
  <c r="E28" i="4" s="1"/>
  <c r="D12" i="4"/>
  <c r="D28" i="4" s="1"/>
  <c r="C12" i="4"/>
  <c r="C28" i="4" s="1"/>
  <c r="F9" i="4"/>
  <c r="E9" i="4"/>
  <c r="D9" i="4"/>
  <c r="C9" i="4"/>
  <c r="C5" i="4"/>
  <c r="C21" i="4" s="1"/>
  <c r="C4" i="4"/>
  <c r="J24" i="2"/>
  <c r="I24" i="2"/>
  <c r="H24" i="2"/>
  <c r="G24" i="2"/>
  <c r="F24" i="2"/>
  <c r="E24" i="2"/>
  <c r="D24" i="2"/>
  <c r="C24" i="2"/>
  <c r="B24" i="2"/>
  <c r="C13" i="2"/>
  <c r="E9" i="2"/>
  <c r="D9" i="2"/>
  <c r="C9" i="2"/>
  <c r="E4" i="2"/>
  <c r="D4" i="2"/>
  <c r="C4" i="2"/>
  <c r="C25" i="2" s="1"/>
  <c r="G28" i="4" l="1"/>
  <c r="G12" i="4" s="1"/>
  <c r="D13" i="4"/>
  <c r="C20" i="2" s="1"/>
  <c r="C18" i="2" s="1"/>
  <c r="E22" i="4"/>
  <c r="E13" i="4"/>
  <c r="D20" i="2" s="1"/>
  <c r="C22" i="4"/>
  <c r="C13" i="4"/>
  <c r="F22" i="4"/>
  <c r="F13" i="4"/>
  <c r="E20" i="2" s="1"/>
  <c r="E18" i="2" s="1"/>
  <c r="C20" i="4"/>
  <c r="G20" i="4" s="1"/>
  <c r="G4" i="4" s="1"/>
  <c r="C8" i="4"/>
  <c r="D22" i="4"/>
  <c r="G21" i="4"/>
  <c r="C6" i="3"/>
  <c r="C16" i="2" s="1"/>
  <c r="D19" i="2"/>
  <c r="D6" i="2"/>
  <c r="D10" i="2" s="1"/>
  <c r="D12" i="2" s="1"/>
  <c r="D14" i="2" s="1"/>
  <c r="E27" i="2"/>
  <c r="C11" i="3"/>
  <c r="C28" i="2"/>
  <c r="C27" i="2"/>
  <c r="C15" i="2"/>
  <c r="D5" i="3"/>
  <c r="D11" i="3" s="1"/>
  <c r="D27" i="2"/>
  <c r="E6" i="2"/>
  <c r="E10" i="2" s="1"/>
  <c r="E12" i="2" s="1"/>
  <c r="E29" i="2" s="1"/>
  <c r="D28" i="2"/>
  <c r="D25" i="2"/>
  <c r="E28" i="2"/>
  <c r="E25" i="2"/>
  <c r="E5" i="3"/>
  <c r="E11" i="3" s="1"/>
  <c r="C6" i="2"/>
  <c r="C10" i="2" s="1"/>
  <c r="C12" i="2" s="1"/>
  <c r="C14" i="2" s="1"/>
  <c r="C17" i="2" l="1"/>
  <c r="C21" i="2" s="1"/>
  <c r="D4" i="5" s="1"/>
  <c r="G22" i="4"/>
  <c r="F25" i="2"/>
  <c r="D18" i="2"/>
  <c r="D17" i="2" s="1"/>
  <c r="F11" i="3"/>
  <c r="F28" i="2"/>
  <c r="G28" i="2" s="1"/>
  <c r="H28" i="2" s="1"/>
  <c r="I28" i="2" s="1"/>
  <c r="J28" i="2" s="1"/>
  <c r="C12" i="3"/>
  <c r="C29" i="2"/>
  <c r="D29" i="2"/>
  <c r="F27" i="2"/>
  <c r="G27" i="2" s="1"/>
  <c r="H27" i="2" s="1"/>
  <c r="I27" i="2" s="1"/>
  <c r="J27" i="2" s="1"/>
  <c r="E6" i="3"/>
  <c r="E12" i="3" s="1"/>
  <c r="D6" i="3"/>
  <c r="E14" i="2"/>
  <c r="F4" i="2" l="1"/>
  <c r="G25" i="2"/>
  <c r="H25" i="2" s="1"/>
  <c r="E17" i="2"/>
  <c r="G11" i="3"/>
  <c r="H11" i="3" s="1"/>
  <c r="I11" i="3" s="1"/>
  <c r="J11" i="3" s="1"/>
  <c r="F5" i="3"/>
  <c r="F11" i="2" s="1"/>
  <c r="E16" i="2"/>
  <c r="D12" i="3"/>
  <c r="F12" i="3" s="1"/>
  <c r="D16" i="2"/>
  <c r="D21" i="2" s="1"/>
  <c r="E4" i="5" s="1"/>
  <c r="F8" i="2" l="1"/>
  <c r="F9" i="2" s="1"/>
  <c r="F5" i="2"/>
  <c r="G18" i="4" s="1"/>
  <c r="F6" i="2"/>
  <c r="F10" i="2" s="1"/>
  <c r="G17" i="4"/>
  <c r="G4" i="2"/>
  <c r="I25" i="2"/>
  <c r="J25" i="2" s="1"/>
  <c r="F12" i="2"/>
  <c r="F15" i="2"/>
  <c r="E21" i="2"/>
  <c r="F4" i="5" s="1"/>
  <c r="G12" i="3"/>
  <c r="F6" i="3"/>
  <c r="G5" i="4" l="1"/>
  <c r="G8" i="4" s="1"/>
  <c r="F19" i="2" s="1"/>
  <c r="G9" i="4"/>
  <c r="G13" i="4" s="1"/>
  <c r="F20" i="2" s="1"/>
  <c r="H4" i="2"/>
  <c r="G8" i="2"/>
  <c r="G9" i="2" s="1"/>
  <c r="G5" i="2"/>
  <c r="H18" i="4" s="1"/>
  <c r="G6" i="2"/>
  <c r="G10" i="2" s="1"/>
  <c r="H17" i="4"/>
  <c r="H4" i="4" s="1"/>
  <c r="F7" i="3"/>
  <c r="F16" i="2"/>
  <c r="F13" i="2"/>
  <c r="F14" i="2" s="1"/>
  <c r="H12" i="3"/>
  <c r="G4" i="3" l="1"/>
  <c r="G6" i="3" s="1"/>
  <c r="F18" i="2"/>
  <c r="H5" i="4"/>
  <c r="H9" i="4"/>
  <c r="I4" i="2"/>
  <c r="H5" i="2"/>
  <c r="I18" i="4" s="1"/>
  <c r="H8" i="2"/>
  <c r="H9" i="2" s="1"/>
  <c r="H6" i="2"/>
  <c r="H10" i="2" s="1"/>
  <c r="I17" i="4"/>
  <c r="I4" i="4" s="1"/>
  <c r="I12" i="3"/>
  <c r="G5" i="3" l="1"/>
  <c r="G11" i="2" s="1"/>
  <c r="F17" i="2"/>
  <c r="F21" i="2" s="1"/>
  <c r="G4" i="5" s="1"/>
  <c r="G7" i="5" s="1"/>
  <c r="G17" i="2"/>
  <c r="I9" i="4"/>
  <c r="I5" i="4"/>
  <c r="J17" i="4"/>
  <c r="J4" i="4" s="1"/>
  <c r="I5" i="2"/>
  <c r="J18" i="4" s="1"/>
  <c r="I8" i="2"/>
  <c r="I9" i="2" s="1"/>
  <c r="I6" i="2"/>
  <c r="I10" i="2" s="1"/>
  <c r="J4" i="2"/>
  <c r="G16" i="2"/>
  <c r="J12" i="3"/>
  <c r="G12" i="2" l="1"/>
  <c r="G13" i="2" s="1"/>
  <c r="G14" i="2" s="1"/>
  <c r="G15" i="2"/>
  <c r="G7" i="3"/>
  <c r="J9" i="4"/>
  <c r="J5" i="4"/>
  <c r="K17" i="4"/>
  <c r="K4" i="4" s="1"/>
  <c r="J8" i="2"/>
  <c r="J9" i="2" s="1"/>
  <c r="J5" i="2"/>
  <c r="K18" i="4" s="1"/>
  <c r="J6" i="2"/>
  <c r="J10" i="2" s="1"/>
  <c r="G21" i="2" l="1"/>
  <c r="H4" i="5" s="1"/>
  <c r="H7" i="5" s="1"/>
  <c r="H4" i="3"/>
  <c r="H6" i="3" s="1"/>
  <c r="K9" i="4"/>
  <c r="K5" i="4"/>
  <c r="H5" i="3" l="1"/>
  <c r="H11" i="2" s="1"/>
  <c r="H16" i="2"/>
  <c r="H7" i="3" l="1"/>
  <c r="H15" i="2"/>
  <c r="H12" i="2"/>
  <c r="H13" i="2" s="1"/>
  <c r="H14" i="2" s="1"/>
  <c r="H21" i="2" l="1"/>
  <c r="I4" i="5" s="1"/>
  <c r="I7" i="5" s="1"/>
  <c r="I4" i="3"/>
  <c r="I5" i="3" s="1"/>
  <c r="I11" i="2" s="1"/>
  <c r="I15" i="2" l="1"/>
  <c r="I12" i="2"/>
  <c r="I13" i="2" s="1"/>
  <c r="I14" i="2" s="1"/>
  <c r="I6" i="3"/>
  <c r="I16" i="2" s="1"/>
  <c r="I7" i="3" l="1"/>
  <c r="J4" i="3" s="1"/>
  <c r="J6" i="3" s="1"/>
  <c r="J16" i="2" s="1"/>
  <c r="I21" i="2"/>
  <c r="J4" i="5" s="1"/>
  <c r="J7" i="5" s="1"/>
  <c r="J5" i="3" l="1"/>
  <c r="J11" i="2" s="1"/>
  <c r="J15" i="2" s="1"/>
  <c r="J12" i="2" l="1"/>
  <c r="J13" i="2" s="1"/>
  <c r="J14" i="2" s="1"/>
  <c r="J21" i="2"/>
  <c r="K4" i="5" s="1"/>
  <c r="K7" i="5" s="1"/>
  <c r="C10" i="5" s="1"/>
  <c r="J7" i="3"/>
  <c r="C13" i="5" l="1"/>
  <c r="C14" i="5" s="1"/>
  <c r="C15" i="5" s="1"/>
  <c r="C21" i="5" s="1"/>
  <c r="F12" i="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1" authorId="0" shapeId="0" xr:uid="{00000000-0006-0000-0400-000002000000}">
      <text>
        <r>
          <rPr>
            <sz val="11"/>
            <color theme="1"/>
            <rFont val="Calibri"/>
            <scheme val="minor"/>
          </rPr>
          <t>19-11-2024
https://www.mordorintelligence.com/industry-reports/india-oil-and-gas-market</t>
        </r>
      </text>
    </comment>
    <comment ref="C20" authorId="0" shapeId="0" xr:uid="{00000000-0006-0000-0400-000001000000}">
      <text>
        <r>
          <rPr>
            <sz val="11"/>
            <color theme="1"/>
            <rFont val="Calibri"/>
            <scheme val="minor"/>
          </rPr>
          <t>======
NRL Annual Report 23-24
19-11-2024
Note 46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gLLZJ0isP2on7YGGbghdkv2AKwlA=="/>
    </ext>
  </extL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500-000004000000}">
      <text>
        <r>
          <rPr>
            <sz val="11"/>
            <color theme="1"/>
            <rFont val="Calibri"/>
            <scheme val="minor"/>
          </rPr>
          <t>======
ID#AAAAccCPVgU
kenji    (2022-07-02 07:51:37)
Source: Bloomberg</t>
        </r>
      </text>
    </comment>
    <comment ref="C7" authorId="0" shapeId="0" xr:uid="{00000000-0006-0000-0500-000003000000}">
      <text>
        <r>
          <rPr>
            <sz val="11"/>
            <color theme="1"/>
            <rFont val="Calibri"/>
            <scheme val="minor"/>
          </rPr>
          <t>19-11-2024
Indian Corporate Tax Rate</t>
        </r>
      </text>
    </comment>
    <comment ref="C11" authorId="0" shapeId="0" xr:uid="{00000000-0006-0000-0500-000001000000}">
      <text>
        <r>
          <rPr>
            <sz val="11"/>
            <color theme="1"/>
            <rFont val="Calibri"/>
            <scheme val="minor"/>
          </rPr>
          <t>======
19-11-2024
Investing.com
India 10-Year Bond Yield</t>
        </r>
      </text>
    </comment>
    <comment ref="C12" authorId="0" shapeId="0" xr:uid="{00000000-0006-0000-0500-000002000000}">
      <text>
        <r>
          <rPr>
            <sz val="11"/>
            <color theme="1"/>
            <rFont val="Calibri"/>
            <scheme val="minor"/>
          </rPr>
          <t>======
19-11-2024
Exoected Market Return in Indian Market</t>
        </r>
      </text>
    </comment>
    <comment ref="C14" authorId="0" shapeId="0" xr:uid="{00000000-0006-0000-0500-000005000000}">
      <text>
        <r>
          <rPr>
            <sz val="11"/>
            <color theme="1"/>
            <rFont val="Calibri"/>
            <scheme val="minor"/>
          </rPr>
          <t>======
19-11-2024
Leverage beta adjusted for high volatility in oil and gas industry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in+NGYzTHC6dOFxnHnU1G7rGzs/A=="/>
    </ext>
  </extLst>
</comments>
</file>

<file path=xl/sharedStrings.xml><?xml version="1.0" encoding="utf-8"?>
<sst xmlns="http://schemas.openxmlformats.org/spreadsheetml/2006/main" count="335" uniqueCount="242">
  <si>
    <t>Fiscal Year</t>
  </si>
  <si>
    <t>Revenue</t>
  </si>
  <si>
    <t>COGS</t>
  </si>
  <si>
    <t>Gross Profit</t>
  </si>
  <si>
    <t>Operating Expenses</t>
  </si>
  <si>
    <t>Selling, General, Administrative</t>
  </si>
  <si>
    <t>Total Operating Expenses</t>
  </si>
  <si>
    <t>EBITDA</t>
  </si>
  <si>
    <t>Depreciation &amp; Amortization</t>
  </si>
  <si>
    <t>Operating Profit (EBIT)</t>
  </si>
  <si>
    <t>Operating Taxes</t>
  </si>
  <si>
    <t>NOPAT (Net Operating Profit After Taxes)</t>
  </si>
  <si>
    <t>(+) Depreciation &amp; Amortization</t>
  </si>
  <si>
    <t>(-) Capital Expenditures</t>
  </si>
  <si>
    <t>(-) Change in NWC</t>
  </si>
  <si>
    <t>NWC</t>
  </si>
  <si>
    <t>Current Assets</t>
  </si>
  <si>
    <t>Current Liabilitites</t>
  </si>
  <si>
    <t>Unlevered Free Cash Flow</t>
  </si>
  <si>
    <t>Assumptions</t>
  </si>
  <si>
    <t>Revenue Growth</t>
  </si>
  <si>
    <t>COGS % of Revenue</t>
  </si>
  <si>
    <t>SG&amp;A % of Revenue</t>
  </si>
  <si>
    <t>Tax % of EBIT</t>
  </si>
  <si>
    <t>Fixed Assets Schedule</t>
  </si>
  <si>
    <t>Beginning PP&amp;E</t>
  </si>
  <si>
    <t>D&amp;A</t>
  </si>
  <si>
    <t>CapEx</t>
  </si>
  <si>
    <t>Ending PP&amp;E</t>
  </si>
  <si>
    <t>D&amp;A as a % of Beginning PP&amp;E</t>
  </si>
  <si>
    <t>CapEx as a % of Beginning PP&amp;E</t>
  </si>
  <si>
    <t>Net Working Capital</t>
  </si>
  <si>
    <t>Accounts Receivables</t>
  </si>
  <si>
    <t>Merchandise Inventory</t>
  </si>
  <si>
    <t>Other Current Assets</t>
  </si>
  <si>
    <t>Accounts Payable</t>
  </si>
  <si>
    <t>Other Current Liabilities</t>
  </si>
  <si>
    <t>Current Liabilities</t>
  </si>
  <si>
    <t>Days Sales Outstanding (DSO)</t>
  </si>
  <si>
    <t>Days Inventory Outstanding (DIO)</t>
  </si>
  <si>
    <t>Days Payable Outstanding (DPO)</t>
  </si>
  <si>
    <t>Other Current Assets as a % of Revenue</t>
  </si>
  <si>
    <t>Other Current Liabilities as a % of Revenue</t>
  </si>
  <si>
    <t>Projection Year</t>
  </si>
  <si>
    <t>Present Value of Free Cash Flow</t>
  </si>
  <si>
    <t>Implied Share Price Calculation</t>
  </si>
  <si>
    <t>Sensitivity Table</t>
  </si>
  <si>
    <t>Sum of PV of FCF</t>
  </si>
  <si>
    <t>Growth Rate</t>
  </si>
  <si>
    <t>WACC</t>
  </si>
  <si>
    <t>Terminal Value</t>
  </si>
  <si>
    <t>PV of Terminal Value</t>
  </si>
  <si>
    <t>Enterprise Value</t>
  </si>
  <si>
    <t>(+) Cash</t>
  </si>
  <si>
    <t>(-) Debt</t>
  </si>
  <si>
    <t>(-) Minority Interest</t>
  </si>
  <si>
    <t>Equity Value</t>
  </si>
  <si>
    <t>Implied Share Price</t>
  </si>
  <si>
    <t>Weighted Average Cost of Capital (WACC)</t>
  </si>
  <si>
    <t>Cost of Debt</t>
  </si>
  <si>
    <t>Tax Rate</t>
  </si>
  <si>
    <t>D/(D+E)</t>
  </si>
  <si>
    <t>After Tax Cost of Debt</t>
  </si>
  <si>
    <t>Risk Free Rate (10-Yr Treasury Yield)</t>
  </si>
  <si>
    <t>Expected Market Return</t>
  </si>
  <si>
    <t>Market Risk Premium</t>
  </si>
  <si>
    <t>Levered Beta</t>
  </si>
  <si>
    <t>E/(D+E)</t>
  </si>
  <si>
    <t>Cost of Equity</t>
  </si>
  <si>
    <t>REVENUE</t>
  </si>
  <si>
    <t>Total revenue</t>
  </si>
  <si>
    <t>OPERATING EXPENSES</t>
  </si>
  <si>
    <t>INCOME BEFORE INCOME TAXES</t>
  </si>
  <si>
    <t>CURRENT ASSETS</t>
  </si>
  <si>
    <t>Cash and cash equivalents</t>
  </si>
  <si>
    <t>Other current assets</t>
  </si>
  <si>
    <t>TOTAL ASSETS</t>
  </si>
  <si>
    <t>CURRENT LIABILITIES</t>
  </si>
  <si>
    <t>Accounts payable</t>
  </si>
  <si>
    <t>EQUITY</t>
  </si>
  <si>
    <t>TOTAL LIABILITIES AND EQUITY</t>
  </si>
  <si>
    <t>CASH FLOWS FROM OPERATING ACTIVITIES</t>
  </si>
  <si>
    <t>Cost of materials consumed</t>
  </si>
  <si>
    <t>Purchases of Stock-in-Trade</t>
  </si>
  <si>
    <t>Changes in inventories of finished goods, stock-in-trade and work-in-progress</t>
  </si>
  <si>
    <t>Employee Benefits expense</t>
  </si>
  <si>
    <t>Finance Costs</t>
  </si>
  <si>
    <t>Depreciation, Amortisation and Impairment</t>
  </si>
  <si>
    <t>Revenue from operations</t>
  </si>
  <si>
    <t>Other Income</t>
  </si>
  <si>
    <t>NON - CURRENT ASSETS</t>
  </si>
  <si>
    <t>2024A</t>
  </si>
  <si>
    <t>2023A</t>
  </si>
  <si>
    <t>2022A</t>
  </si>
  <si>
    <t>2025E</t>
  </si>
  <si>
    <t>2026E</t>
  </si>
  <si>
    <t>2027E</t>
  </si>
  <si>
    <t>2028E</t>
  </si>
  <si>
    <t>2029E</t>
  </si>
  <si>
    <t>Exceptional Items</t>
  </si>
  <si>
    <t>Tax Expense</t>
  </si>
  <si>
    <t>(1) Current Tax</t>
  </si>
  <si>
    <t>(2) Deferred Tax</t>
  </si>
  <si>
    <t>Other Comprehensive Income</t>
  </si>
  <si>
    <t>(i) Re-measurements of Defined Benefit Plan</t>
  </si>
  <si>
    <t>(ii) Income Tax related to above</t>
  </si>
  <si>
    <t>Basic and Diluted Earnings per Equity Share (₹)</t>
  </si>
  <si>
    <t>Other Comprehensive Income, Net of Tax</t>
  </si>
  <si>
    <t>Total Comprehensive Income for the Period</t>
  </si>
  <si>
    <t>CONSOLDATED STATEMENT OF PROFIT AND LOSS  (RUPEES IN CRORES)</t>
  </si>
  <si>
    <t>COGS Working Note</t>
  </si>
  <si>
    <t>Transportation</t>
  </si>
  <si>
    <t>Other Duties and Taxes</t>
  </si>
  <si>
    <t>Repairs and Maintenance</t>
  </si>
  <si>
    <t>Power and Fuel</t>
  </si>
  <si>
    <t>Stores, Spares, and Materials</t>
  </si>
  <si>
    <t>Loss on Sale/Write-off of Property, Plant, and Equipment (net)</t>
  </si>
  <si>
    <t>Provision for Stores</t>
  </si>
  <si>
    <t>Expenses on CSR Activities</t>
  </si>
  <si>
    <t>Provision Against Capital Work in Progress</t>
  </si>
  <si>
    <t>Provision for Litigation Cases</t>
  </si>
  <si>
    <t>-</t>
  </si>
  <si>
    <t>Charity and Donation</t>
  </si>
  <si>
    <t>Others</t>
  </si>
  <si>
    <t>Office Administration, Selling, and Other Expenses</t>
  </si>
  <si>
    <t>Rent / Lease</t>
  </si>
  <si>
    <t>Insurance</t>
  </si>
  <si>
    <t>Rates and Taxes</t>
  </si>
  <si>
    <t>Bank Charges</t>
  </si>
  <si>
    <t>Utilities</t>
  </si>
  <si>
    <t>Communication Expenses</t>
  </si>
  <si>
    <t>Traveling and Conveyance</t>
  </si>
  <si>
    <t>Remuneration to Auditors</t>
  </si>
  <si>
    <t>Excise Duty</t>
  </si>
  <si>
    <t>Total Office Administration, Selling, and Other Expenses</t>
  </si>
  <si>
    <t>Loss on Sale/Write-off of Property, Plant, and Equipment</t>
  </si>
  <si>
    <t>Foreign Exchange Fluctuations (net)</t>
  </si>
  <si>
    <t>Provision for Doubtful Debts, Advances, and Claims</t>
  </si>
  <si>
    <t>Bad Debts and Claims Written Off</t>
  </si>
  <si>
    <t>Cost of Goods Sold (Refer Working Note)</t>
  </si>
  <si>
    <t>Total Office Administration, Selling, and Other Expenses (Refer Working Note)</t>
  </si>
  <si>
    <t>Office Administration, Selling, and Other Expenses Working Note</t>
  </si>
  <si>
    <t>2021A</t>
  </si>
  <si>
    <t>TOTAL NON - CURRENT LIABILITIES</t>
  </si>
  <si>
    <t>TOTAL LIABILITIES</t>
  </si>
  <si>
    <t>NON-CURRENT LIABILITIES</t>
  </si>
  <si>
    <t>TOTAL CURRENT LIABILITIES</t>
  </si>
  <si>
    <t>TOTAL NON - CURRENT ASSETS</t>
  </si>
  <si>
    <t>TOTAL EQUITY</t>
  </si>
  <si>
    <t>Inventories</t>
  </si>
  <si>
    <t>- Investments</t>
  </si>
  <si>
    <t>- Trade Receivables</t>
  </si>
  <si>
    <t>- Bank Balances other than Cash</t>
  </si>
  <si>
    <t>- Loans</t>
  </si>
  <si>
    <t>- Other Financial Assets</t>
  </si>
  <si>
    <t>Current Tax Assets (Net)</t>
  </si>
  <si>
    <t>Assets Held for Sale</t>
  </si>
  <si>
    <t>Accounts Recievables</t>
  </si>
  <si>
    <t>TOTAL CURRENT ASSETS</t>
  </si>
  <si>
    <t>Accounts Recievables Working Note</t>
  </si>
  <si>
    <t>Financial Liabilities</t>
  </si>
  <si>
    <t>- Borrowings</t>
  </si>
  <si>
    <t>- Lease Liabilities</t>
  </si>
  <si>
    <t>- Trade Payables: Micro &amp; Small Enterprises</t>
  </si>
  <si>
    <t>- Trade Payables: Other Creditors</t>
  </si>
  <si>
    <t>- Other Financial Liabilities</t>
  </si>
  <si>
    <t>Provisions</t>
  </si>
  <si>
    <t>Current Tax Liabilities (Net)</t>
  </si>
  <si>
    <t>Accounts Payables</t>
  </si>
  <si>
    <t>Provisions as a % of Revenue</t>
  </si>
  <si>
    <t>Current Tax Liabilities as a % of Revenue</t>
  </si>
  <si>
    <t>Current Tax Assets as a % of Revenue</t>
  </si>
  <si>
    <t>CONSOLDATED BALANCE SHEET (RUPEES IN CRORES)</t>
  </si>
  <si>
    <r>
      <t>Current Assets (</t>
    </r>
    <r>
      <rPr>
        <sz val="11"/>
        <color theme="1"/>
        <rFont val="Calibri"/>
        <family val="2"/>
      </rPr>
      <t>excluding cash and cash equivalents)</t>
    </r>
  </si>
  <si>
    <t>Accounts Payables Working Note</t>
  </si>
  <si>
    <t>Deferred Tax Liabilities (Net)</t>
  </si>
  <si>
    <t>Other Non-Current Liabilities</t>
  </si>
  <si>
    <t>Consolidated Statements Of Cash Flows (RUPEES IN CRORES)</t>
  </si>
  <si>
    <t>Profit (Loss) for the Period</t>
  </si>
  <si>
    <t>- Depreciation &amp; Amortisation Expenses</t>
  </si>
  <si>
    <t>- Income Tax Expenses</t>
  </si>
  <si>
    <t>- Finance Costs</t>
  </si>
  <si>
    <t>- (Profit) / Loss on Sale/Write Off of Property, Plant and Equipment</t>
  </si>
  <si>
    <t>- Foreign Exchange Fluctuation</t>
  </si>
  <si>
    <t>- Income from Investment in Joint Venture / Associate Companies</t>
  </si>
  <si>
    <t>- Income from Investment Property</t>
  </si>
  <si>
    <t>- Interest Income</t>
  </si>
  <si>
    <t>- (Profit)/Loss on Sale of Investment</t>
  </si>
  <si>
    <t>- Other Non-Cash Items</t>
  </si>
  <si>
    <t>Operating Profit before Working Capital Changes</t>
  </si>
  <si>
    <t>- Inventories</t>
  </si>
  <si>
    <t>- Other Receivables</t>
  </si>
  <si>
    <t>- Current Liabilities &amp; Payables</t>
  </si>
  <si>
    <t>Cash generated from / (used in) Operations</t>
  </si>
  <si>
    <t>- Direct Taxes Paid</t>
  </si>
  <si>
    <t>Net Cash from / (used in) Operating Activities</t>
  </si>
  <si>
    <t>Purchase of Property, Plant &amp; Equipment / CWIP</t>
  </si>
  <si>
    <t>Purchase of Intangible Assets</t>
  </si>
  <si>
    <t>Sale of Property, Plant and Equipment</t>
  </si>
  <si>
    <t>Investment in Joint Venture / Associate Companies</t>
  </si>
  <si>
    <t>Purchase of / Accretion to Investments</t>
  </si>
  <si>
    <t>Purchase / Maturity of Fixed Deposit</t>
  </si>
  <si>
    <t>Profit on Sale of Investments</t>
  </si>
  <si>
    <t>Income from Investment in Joint Venture / Associate Companies</t>
  </si>
  <si>
    <t>Long Term Loans and Advances</t>
  </si>
  <si>
    <t>Interest Income from Investment</t>
  </si>
  <si>
    <t>Net Cash from / (used in) Investing Activities</t>
  </si>
  <si>
    <t>Equity Share Application Money Received</t>
  </si>
  <si>
    <t>Proceeds from Long-Term Borrowings</t>
  </si>
  <si>
    <t>Repayment of Short-Term Borrowings</t>
  </si>
  <si>
    <t>Other Long-Term Liabilities</t>
  </si>
  <si>
    <t>Payment of Lease Liabilities</t>
  </si>
  <si>
    <t>Other Long-Term Provisions</t>
  </si>
  <si>
    <t>Interest Paid</t>
  </si>
  <si>
    <t>Dividend Paid</t>
  </si>
  <si>
    <t>Realized (Loss)/Gain of Foreign Exchange Difference</t>
  </si>
  <si>
    <t>Net Cash from / (used in) Financing Activities</t>
  </si>
  <si>
    <t>Issue of Equity Share Capital</t>
  </si>
  <si>
    <t>Net Cash Increase / (Decrease)</t>
  </si>
  <si>
    <t>Cash at Beginning of the Period</t>
  </si>
  <si>
    <t>(Invested in) / Generated from:</t>
  </si>
  <si>
    <t>Adjustments for:</t>
  </si>
  <si>
    <t>Cash at End of the Period</t>
  </si>
  <si>
    <t>Equity share capital</t>
  </si>
  <si>
    <t>Other Equity</t>
  </si>
  <si>
    <t>Property, Plant and Equipment</t>
  </si>
  <si>
    <t>Capital work-in-progress</t>
  </si>
  <si>
    <t>Investment Property</t>
  </si>
  <si>
    <t>Other Intangible Assets</t>
  </si>
  <si>
    <t>Intangible Assets Under Development</t>
  </si>
  <si>
    <t>Investment in Joint Venture and Associate</t>
  </si>
  <si>
    <t>Financial Assets</t>
  </si>
  <si>
    <t>Other Non-current Assets</t>
  </si>
  <si>
    <t>NET CASH FLOW FROM INVESTING ACTIVITIES</t>
  </si>
  <si>
    <t>NET CASH FLOW FROM FINANCING ACTIVITIES</t>
  </si>
  <si>
    <t xml:space="preserve">PROFIT/(LOSS) FOR THE PERIOD </t>
  </si>
  <si>
    <t>NRL DCF VALUATION</t>
  </si>
  <si>
    <t>BY AAKASHNEEL KASHYAPAN</t>
  </si>
  <si>
    <t>Unlevered Free Cash Flow (cr)</t>
  </si>
  <si>
    <t>Diluted Shares Outstanding (cr)</t>
  </si>
  <si>
    <t>Equity (cr)</t>
  </si>
  <si>
    <t>Debt (cr)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</si>
</sst>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yyyy\A"/>
    <numFmt numFmtId="165" formatCode="yyyy\E"/>
    <numFmt numFmtId="166" formatCode="#,##0_);\(#,##0\);\-\-_)"/>
    <numFmt numFmtId="167" formatCode="0.0%"/>
    <numFmt numFmtId="168" formatCode="0.0"/>
    <numFmt numFmtId="169" formatCode="&quot;₹&quot;\ #,##0.00"/>
  </numFmts>
  <fonts count="28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</font>
    <font>
      <b/>
      <sz val="11"/>
      <color theme="1"/>
      <name val="Calibri"/>
    </font>
    <font>
      <sz val="11"/>
      <color theme="0"/>
      <name val="Calibri"/>
    </font>
    <font>
      <sz val="11"/>
      <color theme="1"/>
      <name val="Calibri"/>
      <scheme val="minor"/>
    </font>
    <font>
      <sz val="11"/>
      <name val="Calibri"/>
    </font>
    <font>
      <sz val="11"/>
      <color rgb="FF0000FF"/>
      <name val="Calibri"/>
    </font>
    <font>
      <b/>
      <sz val="11"/>
      <color theme="1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scheme val="minor"/>
    </font>
    <font>
      <sz val="12"/>
      <color rgb="FFC3C6D6"/>
      <name val="Courier New"/>
      <family val="3"/>
    </font>
    <font>
      <b/>
      <sz val="11"/>
      <color rgb="FF9C5700"/>
      <name val="Calibri"/>
      <family val="2"/>
      <scheme val="minor"/>
    </font>
    <font>
      <b/>
      <sz val="11"/>
      <color theme="1"/>
      <name val="Calibri"/>
      <family val="2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3.5"/>
      <color theme="1"/>
      <name val="Calibri"/>
      <family val="2"/>
      <scheme val="minor"/>
    </font>
    <font>
      <sz val="10"/>
      <color indexed="23"/>
      <name val="Arial"/>
      <family val="2"/>
    </font>
    <font>
      <b/>
      <sz val="14"/>
      <color theme="3" tint="-0.499984740745262"/>
      <name val="Trebuchet MS"/>
      <family val="2"/>
    </font>
    <font>
      <b/>
      <sz val="10"/>
      <name val="Arial"/>
      <family val="2"/>
    </font>
    <font>
      <sz val="10"/>
      <name val="Arial"/>
      <family val="2"/>
    </font>
    <font>
      <sz val="36"/>
      <color theme="0"/>
      <name val="Calibri"/>
      <family val="2"/>
      <scheme val="minor"/>
    </font>
    <font>
      <sz val="11"/>
      <color theme="0"/>
      <name val="Calibri"/>
      <family val="2"/>
    </font>
  </fonts>
  <fills count="11">
    <fill>
      <patternFill patternType="none"/>
    </fill>
    <fill>
      <patternFill patternType="gray125"/>
    </fill>
    <fill>
      <patternFill patternType="solid">
        <fgColor rgb="FFD9E2F3"/>
        <bgColor rgb="FFD9E2F3"/>
      </patternFill>
    </fill>
    <fill>
      <patternFill patternType="solid">
        <fgColor rgb="FF2A3E68"/>
        <bgColor rgb="FF2A3E68"/>
      </patternFill>
    </fill>
    <fill>
      <patternFill patternType="solid">
        <fgColor rgb="FFFFFF99"/>
        <bgColor rgb="FFFFFF99"/>
      </patternFill>
    </fill>
    <fill>
      <patternFill patternType="solid">
        <fgColor rgb="FFE7E6E6"/>
        <bgColor rgb="FFE7E6E6"/>
      </patternFill>
    </fill>
    <fill>
      <patternFill patternType="solid">
        <fgColor rgb="FFFFEB9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</fills>
  <borders count="15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medium">
        <color theme="3"/>
      </right>
      <top/>
      <bottom/>
      <diagonal/>
    </border>
    <border>
      <left style="medium">
        <color theme="3"/>
      </left>
      <right/>
      <top/>
      <bottom/>
      <diagonal/>
    </border>
    <border>
      <left/>
      <right style="thin">
        <color indexed="56"/>
      </right>
      <top/>
      <bottom/>
      <diagonal/>
    </border>
  </borders>
  <cellStyleXfs count="7">
    <xf numFmtId="0" fontId="0" fillId="0" borderId="0"/>
    <xf numFmtId="0" fontId="13" fillId="6" borderId="0" applyNumberFormat="0" applyBorder="0" applyAlignment="0" applyProtection="0"/>
    <xf numFmtId="9" fontId="9" fillId="0" borderId="0" applyFont="0" applyFill="0" applyBorder="0" applyAlignment="0" applyProtection="0"/>
    <xf numFmtId="0" fontId="20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20" fillId="10" borderId="0" applyNumberFormat="0" applyBorder="0" applyAlignment="0" applyProtection="0"/>
  </cellStyleXfs>
  <cellXfs count="121">
    <xf numFmtId="0" fontId="0" fillId="0" borderId="0" xfId="0" applyFont="1" applyAlignment="1"/>
    <xf numFmtId="0" fontId="6" fillId="0" borderId="0" xfId="0" applyFont="1"/>
    <xf numFmtId="0" fontId="8" fillId="3" borderId="1" xfId="0" applyFont="1" applyFill="1" applyBorder="1"/>
    <xf numFmtId="0" fontId="6" fillId="2" borderId="2" xfId="0" applyFont="1" applyFill="1" applyBorder="1"/>
    <xf numFmtId="164" fontId="6" fillId="2" borderId="2" xfId="0" applyNumberFormat="1" applyFont="1" applyFill="1" applyBorder="1"/>
    <xf numFmtId="165" fontId="6" fillId="2" borderId="2" xfId="0" applyNumberFormat="1" applyFont="1" applyFill="1" applyBorder="1"/>
    <xf numFmtId="0" fontId="9" fillId="0" borderId="0" xfId="0" applyFont="1"/>
    <xf numFmtId="166" fontId="6" fillId="0" borderId="0" xfId="0" applyNumberFormat="1" applyFont="1"/>
    <xf numFmtId="0" fontId="6" fillId="0" borderId="3" xfId="0" applyFont="1" applyBorder="1"/>
    <xf numFmtId="166" fontId="6" fillId="0" borderId="3" xfId="0" applyNumberFormat="1" applyFont="1" applyBorder="1"/>
    <xf numFmtId="0" fontId="7" fillId="0" borderId="0" xfId="0" applyFont="1"/>
    <xf numFmtId="166" fontId="7" fillId="0" borderId="0" xfId="0" applyNumberFormat="1" applyFont="1"/>
    <xf numFmtId="0" fontId="6" fillId="0" borderId="0" xfId="0" applyFont="1" applyAlignment="1">
      <alignment horizontal="left"/>
    </xf>
    <xf numFmtId="0" fontId="7" fillId="4" borderId="4" xfId="0" applyFont="1" applyFill="1" applyBorder="1"/>
    <xf numFmtId="166" fontId="7" fillId="4" borderId="4" xfId="0" applyNumberFormat="1" applyFont="1" applyFill="1" applyBorder="1"/>
    <xf numFmtId="0" fontId="6" fillId="5" borderId="1" xfId="0" applyFont="1" applyFill="1" applyBorder="1"/>
    <xf numFmtId="167" fontId="6" fillId="5" borderId="1" xfId="0" applyNumberFormat="1" applyFont="1" applyFill="1" applyBorder="1"/>
    <xf numFmtId="3" fontId="6" fillId="0" borderId="0" xfId="0" applyNumberFormat="1" applyFont="1"/>
    <xf numFmtId="0" fontId="7" fillId="0" borderId="5" xfId="0" applyFont="1" applyBorder="1"/>
    <xf numFmtId="3" fontId="7" fillId="0" borderId="5" xfId="0" applyNumberFormat="1" applyFont="1" applyBorder="1"/>
    <xf numFmtId="167" fontId="6" fillId="0" borderId="0" xfId="0" applyNumberFormat="1" applyFont="1"/>
    <xf numFmtId="3" fontId="6" fillId="5" borderId="1" xfId="0" applyNumberFormat="1" applyFont="1" applyFill="1" applyBorder="1"/>
    <xf numFmtId="168" fontId="6" fillId="5" borderId="1" xfId="0" applyNumberFormat="1" applyFont="1" applyFill="1" applyBorder="1"/>
    <xf numFmtId="4" fontId="6" fillId="0" borderId="0" xfId="0" applyNumberFormat="1" applyFont="1"/>
    <xf numFmtId="10" fontId="6" fillId="2" borderId="1" xfId="0" applyNumberFormat="1" applyFont="1" applyFill="1" applyBorder="1"/>
    <xf numFmtId="4" fontId="6" fillId="2" borderId="1" xfId="0" applyNumberFormat="1" applyFont="1" applyFill="1" applyBorder="1"/>
    <xf numFmtId="4" fontId="8" fillId="3" borderId="1" xfId="0" applyNumberFormat="1" applyFont="1" applyFill="1" applyBorder="1"/>
    <xf numFmtId="0" fontId="6" fillId="0" borderId="5" xfId="0" applyFont="1" applyBorder="1"/>
    <xf numFmtId="3" fontId="6" fillId="0" borderId="5" xfId="0" applyNumberFormat="1" applyFont="1" applyBorder="1"/>
    <xf numFmtId="2" fontId="11" fillId="0" borderId="0" xfId="0" applyNumberFormat="1" applyFont="1"/>
    <xf numFmtId="4" fontId="7" fillId="4" borderId="4" xfId="0" applyNumberFormat="1" applyFont="1" applyFill="1" applyBorder="1"/>
    <xf numFmtId="167" fontId="11" fillId="0" borderId="0" xfId="0" applyNumberFormat="1" applyFont="1"/>
    <xf numFmtId="167" fontId="7" fillId="0" borderId="5" xfId="0" applyNumberFormat="1" applyFont="1" applyBorder="1"/>
    <xf numFmtId="167" fontId="7" fillId="0" borderId="0" xfId="0" applyNumberFormat="1" applyFont="1"/>
    <xf numFmtId="0" fontId="11" fillId="0" borderId="0" xfId="0" applyFont="1"/>
    <xf numFmtId="167" fontId="7" fillId="4" borderId="4" xfId="0" applyNumberFormat="1" applyFont="1" applyFill="1" applyBorder="1"/>
    <xf numFmtId="15" fontId="6" fillId="0" borderId="0" xfId="0" applyNumberFormat="1" applyFont="1" applyAlignment="1">
      <alignment horizontal="center"/>
    </xf>
    <xf numFmtId="169" fontId="6" fillId="0" borderId="0" xfId="0" applyNumberFormat="1" applyFont="1"/>
    <xf numFmtId="169" fontId="0" fillId="0" borderId="0" xfId="0" applyNumberFormat="1" applyFont="1" applyAlignment="1"/>
    <xf numFmtId="4" fontId="0" fillId="0" borderId="0" xfId="0" applyNumberFormat="1" applyFont="1" applyAlignment="1"/>
    <xf numFmtId="0" fontId="5" fillId="0" borderId="0" xfId="0" applyFont="1" applyAlignment="1"/>
    <xf numFmtId="0" fontId="12" fillId="0" borderId="0" xfId="0" applyFont="1"/>
    <xf numFmtId="0" fontId="12" fillId="0" borderId="0" xfId="0" applyFont="1" applyAlignment="1"/>
    <xf numFmtId="0" fontId="0" fillId="0" borderId="0" xfId="0" applyFont="1" applyAlignment="1">
      <alignment vertical="center" wrapText="1"/>
    </xf>
    <xf numFmtId="0" fontId="15" fillId="0" borderId="0" xfId="0" applyFont="1" applyAlignment="1">
      <alignment vertical="center" wrapText="1"/>
    </xf>
    <xf numFmtId="4" fontId="0" fillId="0" borderId="0" xfId="0" applyNumberFormat="1" applyFont="1" applyAlignment="1">
      <alignment vertical="center" wrapText="1"/>
    </xf>
    <xf numFmtId="0" fontId="16" fillId="0" borderId="0" xfId="0" applyFont="1" applyAlignment="1"/>
    <xf numFmtId="4" fontId="4" fillId="0" borderId="0" xfId="0" applyNumberFormat="1" applyFont="1" applyAlignment="1"/>
    <xf numFmtId="169" fontId="5" fillId="0" borderId="0" xfId="0" applyNumberFormat="1" applyFont="1" applyAlignment="1"/>
    <xf numFmtId="169" fontId="0" fillId="0" borderId="0" xfId="0" applyNumberFormat="1" applyFont="1" applyAlignment="1">
      <alignment vertical="center" wrapText="1"/>
    </xf>
    <xf numFmtId="0" fontId="5" fillId="0" borderId="0" xfId="0" applyFont="1" applyAlignment="1">
      <alignment wrapText="1"/>
    </xf>
    <xf numFmtId="0" fontId="4" fillId="0" borderId="0" xfId="0" applyFont="1" applyAlignment="1">
      <alignment vertical="center" wrapText="1"/>
    </xf>
    <xf numFmtId="0" fontId="4" fillId="0" borderId="0" xfId="0" applyFont="1" applyAlignment="1"/>
    <xf numFmtId="4" fontId="15" fillId="0" borderId="0" xfId="0" applyNumberFormat="1" applyFont="1" applyAlignment="1">
      <alignment vertical="center" wrapText="1"/>
    </xf>
    <xf numFmtId="169" fontId="12" fillId="0" borderId="0" xfId="0" applyNumberFormat="1" applyFont="1" applyAlignment="1"/>
    <xf numFmtId="4" fontId="12" fillId="0" borderId="0" xfId="0" applyNumberFormat="1" applyFont="1" applyAlignment="1"/>
    <xf numFmtId="164" fontId="14" fillId="2" borderId="2" xfId="0" applyNumberFormat="1" applyFont="1" applyFill="1" applyBorder="1"/>
    <xf numFmtId="4" fontId="3" fillId="0" borderId="0" xfId="0" applyNumberFormat="1" applyFont="1" applyAlignment="1"/>
    <xf numFmtId="0" fontId="3" fillId="0" borderId="0" xfId="0" applyFont="1"/>
    <xf numFmtId="0" fontId="3" fillId="0" borderId="0" xfId="0" applyFont="1" applyAlignment="1"/>
    <xf numFmtId="169" fontId="18" fillId="0" borderId="0" xfId="0" applyNumberFormat="1" applyFont="1"/>
    <xf numFmtId="15" fontId="0" fillId="0" borderId="0" xfId="0" applyNumberFormat="1" applyFont="1" applyAlignment="1"/>
    <xf numFmtId="167" fontId="6" fillId="5" borderId="1" xfId="2" applyNumberFormat="1" applyFont="1" applyFill="1" applyBorder="1"/>
    <xf numFmtId="166" fontId="14" fillId="0" borderId="3" xfId="0" applyNumberFormat="1" applyFont="1" applyBorder="1"/>
    <xf numFmtId="0" fontId="12" fillId="0" borderId="0" xfId="0" applyFont="1" applyAlignment="1">
      <alignment vertical="center" wrapText="1"/>
    </xf>
    <xf numFmtId="4" fontId="3" fillId="0" borderId="0" xfId="0" applyNumberFormat="1" applyFont="1" applyAlignment="1">
      <alignment vertical="center" wrapText="1"/>
    </xf>
    <xf numFmtId="0" fontId="3" fillId="0" borderId="0" xfId="0" applyFont="1" applyAlignment="1">
      <alignment vertical="center" wrapText="1"/>
    </xf>
    <xf numFmtId="4" fontId="12" fillId="0" borderId="0" xfId="0" applyNumberFormat="1" applyFont="1" applyAlignment="1">
      <alignment vertical="center" wrapText="1"/>
    </xf>
    <xf numFmtId="0" fontId="0" fillId="0" borderId="11" xfId="0" applyBorder="1"/>
    <xf numFmtId="0" fontId="14" fillId="5" borderId="1" xfId="0" applyFont="1" applyFill="1" applyBorder="1"/>
    <xf numFmtId="0" fontId="18" fillId="0" borderId="5" xfId="0" applyFont="1" applyBorder="1"/>
    <xf numFmtId="4" fontId="2" fillId="0" borderId="0" xfId="0" applyNumberFormat="1" applyFont="1" applyAlignment="1"/>
    <xf numFmtId="0" fontId="2" fillId="0" borderId="0" xfId="0" applyFont="1" applyAlignment="1"/>
    <xf numFmtId="0" fontId="2" fillId="0" borderId="0" xfId="0" applyFont="1" applyAlignment="1">
      <alignment vertical="center" wrapText="1"/>
    </xf>
    <xf numFmtId="4" fontId="2" fillId="0" borderId="0" xfId="0" applyNumberFormat="1" applyFont="1" applyAlignment="1">
      <alignment vertical="center" wrapText="1"/>
    </xf>
    <xf numFmtId="167" fontId="6" fillId="2" borderId="1" xfId="0" applyNumberFormat="1" applyFont="1" applyFill="1" applyBorder="1"/>
    <xf numFmtId="0" fontId="1" fillId="0" borderId="0" xfId="0" applyFont="1"/>
    <xf numFmtId="0" fontId="1" fillId="0" borderId="0" xfId="0" applyFont="1" applyAlignment="1">
      <alignment vertical="center" wrapText="1"/>
    </xf>
    <xf numFmtId="0" fontId="1" fillId="0" borderId="0" xfId="0" applyFont="1" applyAlignment="1"/>
    <xf numFmtId="4" fontId="1" fillId="0" borderId="0" xfId="0" applyNumberFormat="1" applyFont="1" applyAlignment="1">
      <alignment vertical="center" wrapText="1"/>
    </xf>
    <xf numFmtId="15" fontId="19" fillId="7" borderId="0" xfId="3" applyNumberFormat="1" applyFont="1" applyAlignment="1">
      <alignment horizontal="center"/>
    </xf>
    <xf numFmtId="0" fontId="12" fillId="8" borderId="0" xfId="4" applyFont="1" applyAlignment="1">
      <alignment vertical="center" wrapText="1"/>
    </xf>
    <xf numFmtId="0" fontId="12" fillId="8" borderId="0" xfId="4" applyFont="1" applyAlignment="1"/>
    <xf numFmtId="4" fontId="12" fillId="8" borderId="0" xfId="4" applyNumberFormat="1" applyFont="1" applyAlignment="1">
      <alignment vertical="center" wrapText="1"/>
    </xf>
    <xf numFmtId="0" fontId="20" fillId="7" borderId="0" xfId="3" applyAlignment="1">
      <alignment vertical="center" wrapText="1"/>
    </xf>
    <xf numFmtId="0" fontId="19" fillId="7" borderId="0" xfId="3" applyFont="1" applyAlignment="1">
      <alignment vertical="center" wrapText="1"/>
    </xf>
    <xf numFmtId="0" fontId="21" fillId="0" borderId="0" xfId="0" applyFont="1" applyAlignment="1">
      <alignment vertical="center"/>
    </xf>
    <xf numFmtId="0" fontId="12" fillId="0" borderId="0" xfId="0" applyFont="1" applyAlignment="1">
      <alignment horizontal="center" vertical="center" wrapText="1"/>
    </xf>
    <xf numFmtId="0" fontId="1" fillId="9" borderId="0" xfId="5" applyAlignment="1">
      <alignment vertical="center" wrapText="1"/>
    </xf>
    <xf numFmtId="0" fontId="1" fillId="9" borderId="0" xfId="5" applyAlignment="1"/>
    <xf numFmtId="4" fontId="1" fillId="9" borderId="0" xfId="5" applyNumberFormat="1" applyAlignment="1"/>
    <xf numFmtId="4" fontId="1" fillId="0" borderId="0" xfId="0" applyNumberFormat="1" applyFont="1" applyAlignment="1"/>
    <xf numFmtId="0" fontId="19" fillId="10" borderId="0" xfId="6" applyFont="1"/>
    <xf numFmtId="169" fontId="19" fillId="10" borderId="0" xfId="6" applyNumberFormat="1" applyFont="1"/>
    <xf numFmtId="15" fontId="12" fillId="9" borderId="0" xfId="5" applyNumberFormat="1" applyFont="1" applyAlignment="1"/>
    <xf numFmtId="15" fontId="12" fillId="9" borderId="0" xfId="5" applyNumberFormat="1" applyFont="1" applyAlignment="1">
      <alignment horizontal="center"/>
    </xf>
    <xf numFmtId="15" fontId="1" fillId="8" borderId="0" xfId="4" applyNumberFormat="1"/>
    <xf numFmtId="15" fontId="1" fillId="8" borderId="0" xfId="4" applyNumberFormat="1" applyAlignment="1">
      <alignment horizontal="center"/>
    </xf>
    <xf numFmtId="4" fontId="0" fillId="0" borderId="12" xfId="0" applyNumberFormat="1" applyBorder="1"/>
    <xf numFmtId="4" fontId="0" fillId="0" borderId="0" xfId="0" applyNumberFormat="1"/>
    <xf numFmtId="17" fontId="23" fillId="0" borderId="0" xfId="0" applyNumberFormat="1" applyFont="1" applyAlignment="1">
      <alignment horizontal="left"/>
    </xf>
    <xf numFmtId="4" fontId="24" fillId="0" borderId="11" xfId="0" applyNumberFormat="1" applyFont="1" applyBorder="1"/>
    <xf numFmtId="4" fontId="25" fillId="0" borderId="11" xfId="0" applyNumberFormat="1" applyFont="1" applyBorder="1"/>
    <xf numFmtId="4" fontId="0" fillId="0" borderId="11" xfId="0" applyNumberFormat="1" applyBorder="1"/>
    <xf numFmtId="4" fontId="25" fillId="0" borderId="11" xfId="0" quotePrefix="1" applyNumberFormat="1" applyFont="1" applyBorder="1"/>
    <xf numFmtId="0" fontId="0" fillId="0" borderId="0" xfId="0"/>
    <xf numFmtId="0" fontId="27" fillId="3" borderId="1" xfId="0" applyFont="1" applyFill="1" applyBorder="1"/>
    <xf numFmtId="4" fontId="26" fillId="7" borderId="13" xfId="3" applyNumberFormat="1" applyFont="1" applyBorder="1" applyAlignment="1">
      <alignment horizontal="left" vertical="center"/>
    </xf>
    <xf numFmtId="4" fontId="26" fillId="7" borderId="11" xfId="3" applyNumberFormat="1" applyFont="1" applyBorder="1" applyAlignment="1">
      <alignment horizontal="left" vertical="center"/>
    </xf>
    <xf numFmtId="0" fontId="22" fillId="0" borderId="14" xfId="0" applyFont="1" applyBorder="1" applyAlignment="1">
      <alignment horizontal="center" textRotation="90"/>
    </xf>
    <xf numFmtId="0" fontId="8" fillId="3" borderId="6" xfId="0" applyFont="1" applyFill="1" applyBorder="1" applyAlignment="1">
      <alignment horizontal="center"/>
    </xf>
    <xf numFmtId="0" fontId="10" fillId="0" borderId="7" xfId="0" applyFont="1" applyBorder="1"/>
    <xf numFmtId="0" fontId="10" fillId="0" borderId="8" xfId="0" applyFont="1" applyBorder="1"/>
    <xf numFmtId="0" fontId="8" fillId="3" borderId="9" xfId="0" applyFont="1" applyFill="1" applyBorder="1" applyAlignment="1">
      <alignment horizontal="center" vertical="center" textRotation="90"/>
    </xf>
    <xf numFmtId="0" fontId="10" fillId="0" borderId="10" xfId="0" applyFont="1" applyBorder="1"/>
    <xf numFmtId="0" fontId="10" fillId="0" borderId="11" xfId="0" applyFont="1" applyBorder="1"/>
    <xf numFmtId="0" fontId="17" fillId="6" borderId="0" xfId="1" applyFont="1" applyAlignment="1">
      <alignment horizontal="center" vertical="center" wrapText="1"/>
    </xf>
    <xf numFmtId="0" fontId="17" fillId="6" borderId="11" xfId="1" applyFont="1" applyBorder="1" applyAlignment="1">
      <alignment horizontal="center"/>
    </xf>
    <xf numFmtId="0" fontId="19" fillId="7" borderId="0" xfId="3" applyFont="1" applyAlignment="1">
      <alignment horizontal="center"/>
    </xf>
    <xf numFmtId="0" fontId="17" fillId="6" borderId="0" xfId="1" applyFont="1" applyAlignment="1">
      <alignment horizontal="center"/>
    </xf>
    <xf numFmtId="0" fontId="20" fillId="10" borderId="0" xfId="6" applyAlignment="1">
      <alignment horizontal="center"/>
    </xf>
  </cellXfs>
  <cellStyles count="7">
    <cellStyle name="20% - Accent1" xfId="4" builtinId="30"/>
    <cellStyle name="60% - Accent4" xfId="5" builtinId="44"/>
    <cellStyle name="Accent1" xfId="3" builtinId="29"/>
    <cellStyle name="Accent5" xfId="6" builtinId="45"/>
    <cellStyle name="Neutral" xfId="1" builtinId="28"/>
    <cellStyle name="Normal" xfId="0" builtinId="0"/>
    <cellStyle name="Per 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comments2.xml.rels><?xml version="1.0" encoding="UTF-8" standalone="yes"?>
<Relationships xmlns="http://schemas.openxmlformats.org/package/2006/relationships"><Relationship Id="rId1" Type="http://customschemas.google.com/relationships/workbookmetadata" Target="commentsmeta1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customschemas.google.com/relationships/workbookmetadata" Target="metadata"/></Relationships>
</file>

<file path=xl/drawings/_rels/drawing1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5" Type="http://schemas.openxmlformats.org/officeDocument/2006/relationships/image" Target="../media/image4.jpeg"/><Relationship Id="rId4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142875</xdr:colOff>
      <xdr:row>10</xdr:row>
      <xdr:rowOff>9525</xdr:rowOff>
    </xdr:from>
    <xdr:to>
      <xdr:col>7</xdr:col>
      <xdr:colOff>314325</xdr:colOff>
      <xdr:row>23</xdr:row>
      <xdr:rowOff>95250</xdr:rowOff>
    </xdr:to>
    <xdr:pic>
      <xdr:nvPicPr>
        <xdr:cNvPr id="2" name="Picture 1" descr="Numaligarh Refinery Limited">
          <a:extLst>
            <a:ext uri="{FF2B5EF4-FFF2-40B4-BE49-F238E27FC236}">
              <a16:creationId xmlns:a16="http://schemas.microsoft.com/office/drawing/2014/main" id="{AFD7EC4E-5E71-4DAB-8351-FE75015FE4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1675" y="1914525"/>
          <a:ext cx="2609850" cy="2609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57150</xdr:colOff>
      <xdr:row>10</xdr:row>
      <xdr:rowOff>28575</xdr:rowOff>
    </xdr:from>
    <xdr:to>
      <xdr:col>20</xdr:col>
      <xdr:colOff>9525</xdr:colOff>
      <xdr:row>34</xdr:row>
      <xdr:rowOff>171450</xdr:rowOff>
    </xdr:to>
    <xdr:pic>
      <xdr:nvPicPr>
        <xdr:cNvPr id="3" name="Picture 2" descr="NRL advances sustainable energy solutions at iDEATION Clean Energy Hackathon">
          <a:extLst>
            <a:ext uri="{FF2B5EF4-FFF2-40B4-BE49-F238E27FC236}">
              <a16:creationId xmlns:a16="http://schemas.microsoft.com/office/drawing/2014/main" id="{718BA554-FE77-475C-B84A-6388B42A57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rightnessContrast contras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72350" y="1933575"/>
          <a:ext cx="4829175" cy="476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142875</xdr:colOff>
      <xdr:row>24</xdr:row>
      <xdr:rowOff>66675</xdr:rowOff>
    </xdr:from>
    <xdr:to>
      <xdr:col>11</xdr:col>
      <xdr:colOff>419100</xdr:colOff>
      <xdr:row>34</xdr:row>
      <xdr:rowOff>180974</xdr:rowOff>
    </xdr:to>
    <xdr:pic>
      <xdr:nvPicPr>
        <xdr:cNvPr id="4" name="Picture 3" descr="Numaligarh Refinery in Assam gets environmental nod for expansion -  Construction Week India">
          <a:extLst>
            <a:ext uri="{FF2B5EF4-FFF2-40B4-BE49-F238E27FC236}">
              <a16:creationId xmlns:a16="http://schemas.microsoft.com/office/drawing/2014/main" id="{50FA482D-D8F9-4433-8B37-85F786EF95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1675" y="4686300"/>
          <a:ext cx="5153025" cy="2019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428626</xdr:colOff>
      <xdr:row>10</xdr:row>
      <xdr:rowOff>0</xdr:rowOff>
    </xdr:from>
    <xdr:to>
      <xdr:col>11</xdr:col>
      <xdr:colOff>447676</xdr:colOff>
      <xdr:row>23</xdr:row>
      <xdr:rowOff>104775</xdr:rowOff>
    </xdr:to>
    <xdr:pic>
      <xdr:nvPicPr>
        <xdr:cNvPr id="5" name="Picture 4" descr="NRL - Careers">
          <a:extLst>
            <a:ext uri="{FF2B5EF4-FFF2-40B4-BE49-F238E27FC236}">
              <a16:creationId xmlns:a16="http://schemas.microsoft.com/office/drawing/2014/main" id="{DBFE1632-22C2-480A-822D-FA8C79BA8C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5826" y="1905000"/>
          <a:ext cx="2457450" cy="262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mailto:gina.gibson@jpmorgancazenove.com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9E85D4-89A9-4443-A0CF-1073991E14AC}">
  <sheetPr>
    <tabColor rgb="FFFF0000"/>
  </sheetPr>
  <dimension ref="C6:T35"/>
  <sheetViews>
    <sheetView showGridLines="0" workbookViewId="0">
      <selection activeCell="W9" sqref="W9"/>
    </sheetView>
  </sheetViews>
  <sheetFormatPr defaultRowHeight="15"/>
  <sheetData>
    <row r="6" spans="3:20">
      <c r="C6" s="98"/>
      <c r="D6" s="107" t="s">
        <v>236</v>
      </c>
      <c r="E6" s="108"/>
      <c r="F6" s="108"/>
      <c r="G6" s="108"/>
      <c r="H6" s="108"/>
      <c r="I6" s="108"/>
      <c r="J6" s="108"/>
      <c r="K6" s="108"/>
      <c r="L6" s="108"/>
      <c r="M6" s="108"/>
      <c r="N6" s="108"/>
      <c r="O6" s="108"/>
      <c r="P6" s="108"/>
      <c r="Q6" s="108"/>
      <c r="R6" s="108"/>
      <c r="S6" s="108"/>
      <c r="T6" s="108"/>
    </row>
    <row r="7" spans="3:20">
      <c r="C7" s="98"/>
      <c r="D7" s="107"/>
      <c r="E7" s="108"/>
      <c r="F7" s="108"/>
      <c r="G7" s="108"/>
      <c r="H7" s="108"/>
      <c r="I7" s="108"/>
      <c r="J7" s="108"/>
      <c r="K7" s="108"/>
      <c r="L7" s="108"/>
      <c r="M7" s="108"/>
      <c r="N7" s="108"/>
      <c r="O7" s="108"/>
      <c r="P7" s="108"/>
      <c r="Q7" s="108"/>
      <c r="R7" s="108"/>
      <c r="S7" s="108"/>
      <c r="T7" s="108"/>
    </row>
    <row r="8" spans="3:20">
      <c r="C8" s="98"/>
      <c r="D8" s="107"/>
      <c r="E8" s="108"/>
      <c r="F8" s="108"/>
      <c r="G8" s="108"/>
      <c r="H8" s="108"/>
      <c r="I8" s="108"/>
      <c r="J8" s="108"/>
      <c r="K8" s="108"/>
      <c r="L8" s="108"/>
      <c r="M8" s="108"/>
      <c r="N8" s="108"/>
      <c r="O8" s="108"/>
      <c r="P8" s="108"/>
      <c r="Q8" s="108"/>
      <c r="R8" s="108"/>
      <c r="S8" s="108"/>
      <c r="T8" s="108"/>
    </row>
    <row r="9" spans="3:20">
      <c r="C9" s="99"/>
      <c r="D9" s="107"/>
      <c r="E9" s="108"/>
      <c r="F9" s="108"/>
      <c r="G9" s="108"/>
      <c r="H9" s="108"/>
      <c r="I9" s="108"/>
      <c r="J9" s="108"/>
      <c r="K9" s="108"/>
      <c r="L9" s="108"/>
      <c r="M9" s="108"/>
      <c r="N9" s="108"/>
      <c r="O9" s="108"/>
      <c r="P9" s="108"/>
      <c r="Q9" s="108"/>
      <c r="R9" s="108"/>
      <c r="S9" s="108"/>
      <c r="T9" s="108"/>
    </row>
    <row r="10" spans="3:20">
      <c r="C10" s="99"/>
      <c r="D10" s="99"/>
      <c r="E10" s="99"/>
      <c r="F10" s="99"/>
      <c r="G10" s="99"/>
      <c r="H10" s="99"/>
      <c r="I10" s="99"/>
      <c r="J10" s="99"/>
      <c r="K10" s="99"/>
      <c r="L10" s="99"/>
      <c r="M10" s="99"/>
      <c r="N10" s="99"/>
      <c r="O10" s="99"/>
      <c r="P10" s="99"/>
      <c r="Q10" s="99"/>
      <c r="R10" s="99"/>
      <c r="S10" s="99"/>
      <c r="T10" s="99"/>
    </row>
    <row r="11" spans="3:20" ht="18.75">
      <c r="C11" s="109" t="s">
        <v>237</v>
      </c>
      <c r="D11" s="99"/>
      <c r="E11" s="100"/>
      <c r="F11" s="99"/>
      <c r="G11" s="99"/>
      <c r="I11" s="99"/>
      <c r="J11" s="99"/>
      <c r="K11" s="99"/>
      <c r="L11" s="99"/>
      <c r="M11" s="99"/>
      <c r="N11" s="99"/>
      <c r="O11" s="99"/>
      <c r="P11" s="99"/>
      <c r="Q11" s="99"/>
      <c r="R11" s="99"/>
      <c r="S11" s="99"/>
      <c r="T11" s="99"/>
    </row>
    <row r="12" spans="3:20">
      <c r="C12" s="109"/>
      <c r="D12" s="99"/>
      <c r="E12" s="99"/>
      <c r="F12" s="99"/>
      <c r="G12" s="99"/>
      <c r="H12" s="99"/>
      <c r="I12" s="99"/>
      <c r="J12" s="99"/>
      <c r="K12" s="99"/>
      <c r="L12" s="99"/>
      <c r="M12" s="99"/>
      <c r="N12" s="99"/>
      <c r="O12" s="99"/>
      <c r="P12" s="99"/>
      <c r="Q12" s="99"/>
      <c r="R12" s="99"/>
      <c r="S12" s="99"/>
      <c r="T12" s="99"/>
    </row>
    <row r="13" spans="3:20">
      <c r="C13" s="109"/>
      <c r="D13" s="99"/>
      <c r="F13" s="99"/>
      <c r="G13" s="99"/>
      <c r="H13" s="99"/>
      <c r="I13" s="99"/>
      <c r="J13" s="99"/>
      <c r="K13" s="99"/>
      <c r="L13" s="99"/>
      <c r="M13" s="99"/>
      <c r="N13" s="99"/>
      <c r="O13" s="99"/>
      <c r="P13" s="99"/>
      <c r="Q13" s="99"/>
      <c r="R13" s="99"/>
      <c r="S13" s="99"/>
      <c r="T13" s="99"/>
    </row>
    <row r="14" spans="3:20">
      <c r="C14" s="109"/>
      <c r="D14" s="99"/>
      <c r="E14" s="99"/>
      <c r="F14" s="99"/>
      <c r="G14" s="99"/>
      <c r="H14" s="99"/>
      <c r="I14" s="99"/>
      <c r="J14" s="99"/>
      <c r="K14" s="99"/>
      <c r="L14" s="99"/>
      <c r="M14" s="99"/>
      <c r="N14" s="99"/>
      <c r="O14" s="99"/>
      <c r="P14" s="99"/>
      <c r="Q14" s="99"/>
      <c r="R14" s="99"/>
      <c r="S14" s="99"/>
      <c r="T14" s="99"/>
    </row>
    <row r="15" spans="3:20">
      <c r="C15" s="109"/>
      <c r="D15" s="99"/>
      <c r="E15" s="99"/>
      <c r="F15" s="99"/>
      <c r="G15" s="99"/>
      <c r="H15" s="99"/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99"/>
    </row>
    <row r="16" spans="3:20">
      <c r="C16" s="109"/>
      <c r="D16" s="99"/>
      <c r="E16" s="99"/>
      <c r="F16" s="99"/>
      <c r="G16" s="99"/>
      <c r="H16" s="99"/>
      <c r="I16" s="99"/>
      <c r="J16" s="99"/>
      <c r="K16" s="99"/>
      <c r="L16" s="99"/>
      <c r="M16" s="99"/>
      <c r="N16" s="99"/>
      <c r="O16" s="99"/>
      <c r="P16" s="99"/>
      <c r="Q16" s="99"/>
      <c r="R16" s="99"/>
      <c r="S16" s="99"/>
      <c r="T16" s="99"/>
    </row>
    <row r="17" spans="3:20">
      <c r="C17" s="109"/>
      <c r="D17" s="99"/>
      <c r="E17" s="99"/>
      <c r="F17" s="99"/>
      <c r="G17" s="99"/>
      <c r="H17" s="99"/>
      <c r="I17" s="99"/>
      <c r="J17" s="99"/>
      <c r="K17" s="99"/>
      <c r="L17" s="99"/>
      <c r="M17" s="99"/>
      <c r="N17" s="99"/>
      <c r="O17" s="99"/>
      <c r="P17" s="99"/>
      <c r="Q17" s="99"/>
      <c r="R17" s="99"/>
      <c r="S17" s="99"/>
      <c r="T17" s="99"/>
    </row>
    <row r="18" spans="3:20">
      <c r="C18" s="109"/>
      <c r="D18" s="99"/>
      <c r="E18" s="99"/>
      <c r="F18" s="99"/>
      <c r="G18" s="99"/>
      <c r="H18" s="99"/>
      <c r="I18" s="99"/>
      <c r="J18" s="99"/>
      <c r="K18" s="99"/>
      <c r="L18" s="99"/>
      <c r="M18" s="99"/>
      <c r="N18" s="99"/>
      <c r="O18" s="99"/>
      <c r="P18" s="99"/>
      <c r="Q18" s="99"/>
      <c r="R18" s="99"/>
      <c r="S18" s="99"/>
      <c r="T18" s="99"/>
    </row>
    <row r="19" spans="3:20">
      <c r="C19" s="10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  <c r="Q19" s="99"/>
      <c r="R19" s="99"/>
      <c r="S19" s="99"/>
      <c r="T19" s="99"/>
    </row>
    <row r="20" spans="3:20">
      <c r="C20" s="109"/>
      <c r="D20" s="99"/>
      <c r="E20" s="99"/>
      <c r="F20" s="99"/>
      <c r="G20" s="99"/>
      <c r="H20" s="99"/>
      <c r="I20" s="99"/>
      <c r="J20" s="99"/>
      <c r="K20" s="99"/>
      <c r="L20" s="99"/>
      <c r="M20" s="99"/>
      <c r="N20" s="99"/>
      <c r="O20" s="99"/>
      <c r="P20" s="99"/>
      <c r="Q20" s="99"/>
      <c r="R20" s="99"/>
      <c r="S20" s="99"/>
      <c r="T20" s="99"/>
    </row>
    <row r="21" spans="3:20">
      <c r="C21" s="109"/>
      <c r="D21" s="99"/>
      <c r="E21" s="99"/>
      <c r="F21" s="99"/>
      <c r="G21" s="99"/>
      <c r="H21" s="99"/>
      <c r="I21" s="99"/>
      <c r="J21" s="99"/>
      <c r="K21" s="99"/>
      <c r="L21" s="99"/>
      <c r="M21" s="99"/>
      <c r="N21" s="99"/>
      <c r="O21" s="99"/>
      <c r="P21" s="99"/>
      <c r="Q21" s="99"/>
      <c r="R21" s="99"/>
      <c r="S21" s="99"/>
      <c r="T21" s="99"/>
    </row>
    <row r="22" spans="3:20">
      <c r="C22" s="109"/>
      <c r="D22" s="99"/>
      <c r="E22" s="99"/>
      <c r="F22" s="99"/>
      <c r="G22" s="99"/>
      <c r="H22" s="99"/>
      <c r="I22" s="99"/>
      <c r="J22" s="99"/>
      <c r="K22" s="99"/>
      <c r="L22" s="99"/>
      <c r="M22" s="99"/>
      <c r="N22" s="99"/>
      <c r="O22" s="99"/>
      <c r="P22" s="99"/>
      <c r="Q22" s="101"/>
      <c r="R22" s="102"/>
      <c r="S22" s="102"/>
      <c r="T22" s="103"/>
    </row>
    <row r="23" spans="3:20">
      <c r="C23" s="109"/>
      <c r="D23" s="99"/>
      <c r="E23" s="99"/>
      <c r="F23" s="99"/>
      <c r="G23" s="99"/>
      <c r="H23" s="99"/>
      <c r="I23" s="99"/>
      <c r="J23" s="99"/>
      <c r="K23" s="99"/>
      <c r="L23" s="99"/>
      <c r="M23" s="99"/>
      <c r="N23" s="99"/>
      <c r="O23" s="99"/>
      <c r="P23" s="99"/>
      <c r="Q23" s="102"/>
      <c r="R23" s="102"/>
      <c r="S23" s="102"/>
      <c r="T23" s="103"/>
    </row>
    <row r="24" spans="3:20">
      <c r="C24" s="109"/>
      <c r="D24" s="99"/>
      <c r="E24" s="99"/>
      <c r="F24" s="99"/>
      <c r="G24" s="99"/>
      <c r="H24" s="99"/>
      <c r="I24" s="99"/>
      <c r="J24" s="99"/>
      <c r="K24" s="99"/>
      <c r="L24" s="99"/>
      <c r="M24" s="99"/>
      <c r="N24" s="99"/>
      <c r="O24" s="99"/>
      <c r="P24" s="99"/>
      <c r="Q24" s="102"/>
      <c r="R24" s="102"/>
      <c r="S24" s="102"/>
      <c r="T24" s="103"/>
    </row>
    <row r="25" spans="3:20">
      <c r="C25" s="109"/>
      <c r="E25" s="99"/>
      <c r="F25" s="99"/>
      <c r="G25" s="99"/>
      <c r="H25" s="99"/>
      <c r="I25" s="99"/>
      <c r="J25" s="99"/>
      <c r="K25" s="99"/>
      <c r="L25" s="99"/>
      <c r="M25" s="99"/>
      <c r="N25" s="99"/>
      <c r="O25" s="99"/>
      <c r="P25" s="99"/>
      <c r="Q25" s="104"/>
      <c r="R25" s="102"/>
      <c r="S25" s="102"/>
      <c r="T25" s="103"/>
    </row>
    <row r="26" spans="3:20">
      <c r="C26" s="109"/>
      <c r="D26" s="99"/>
      <c r="E26" s="99"/>
      <c r="F26" s="99"/>
      <c r="G26" s="99"/>
      <c r="H26" s="99"/>
      <c r="I26" s="99"/>
      <c r="J26" s="99"/>
      <c r="K26" s="99"/>
      <c r="L26" s="99"/>
      <c r="M26" s="99"/>
      <c r="N26" s="99"/>
      <c r="O26" s="99"/>
      <c r="P26" s="99"/>
      <c r="Q26" s="104"/>
      <c r="R26" s="102"/>
      <c r="S26" s="102"/>
      <c r="T26" s="103"/>
    </row>
    <row r="27" spans="3:20">
      <c r="C27" s="109"/>
      <c r="D27" s="99"/>
      <c r="E27" s="99"/>
      <c r="F27" s="99"/>
      <c r="G27" s="99"/>
      <c r="H27" s="99"/>
      <c r="I27" s="99"/>
      <c r="J27" s="99"/>
      <c r="K27" s="99"/>
      <c r="L27" s="99"/>
      <c r="M27" s="99"/>
      <c r="N27" s="99"/>
      <c r="O27" s="99"/>
      <c r="P27" s="99"/>
      <c r="Q27" s="104"/>
      <c r="R27" s="102"/>
      <c r="S27" s="102"/>
      <c r="T27" s="103"/>
    </row>
    <row r="28" spans="3:20">
      <c r="C28" s="109"/>
      <c r="D28" s="99"/>
      <c r="E28" s="99"/>
      <c r="F28" s="99"/>
      <c r="G28" s="99"/>
      <c r="H28" s="99"/>
      <c r="I28" s="99"/>
      <c r="J28" s="99"/>
      <c r="K28" s="99"/>
      <c r="L28" s="99"/>
      <c r="M28" s="99"/>
      <c r="N28" s="99"/>
      <c r="O28" s="99"/>
      <c r="P28" s="99"/>
      <c r="Q28" s="104"/>
      <c r="R28" s="102"/>
      <c r="S28" s="102"/>
      <c r="T28" s="103"/>
    </row>
    <row r="29" spans="3:20">
      <c r="C29" s="109"/>
      <c r="D29" s="99"/>
      <c r="E29" s="99"/>
      <c r="F29" s="99"/>
      <c r="G29" s="105"/>
      <c r="H29" s="99"/>
      <c r="I29" s="99"/>
      <c r="J29" s="99"/>
      <c r="K29" s="99"/>
      <c r="L29" s="99"/>
      <c r="M29" s="99"/>
      <c r="N29" s="99"/>
      <c r="O29" s="99"/>
      <c r="P29" s="99"/>
      <c r="Q29" s="104"/>
      <c r="R29" s="102"/>
      <c r="S29" s="102"/>
      <c r="T29" s="103"/>
    </row>
    <row r="30" spans="3:20">
      <c r="C30" s="109"/>
      <c r="D30" s="99"/>
      <c r="E30" s="99"/>
      <c r="F30" s="99"/>
      <c r="G30" s="99"/>
      <c r="H30" s="99"/>
      <c r="I30" s="99"/>
      <c r="J30" s="99"/>
      <c r="K30" s="99"/>
      <c r="L30" s="99"/>
      <c r="M30" s="99"/>
      <c r="N30" s="99"/>
      <c r="O30" s="99"/>
      <c r="P30" s="99"/>
      <c r="Q30" s="104"/>
      <c r="R30" s="102"/>
      <c r="S30" s="102"/>
      <c r="T30" s="103"/>
    </row>
    <row r="31" spans="3:20">
      <c r="C31" s="109"/>
      <c r="D31" s="99"/>
      <c r="E31" s="99"/>
      <c r="F31" s="99"/>
      <c r="G31" s="99"/>
      <c r="H31" s="99"/>
      <c r="I31" s="99"/>
      <c r="J31" s="99"/>
      <c r="K31" s="99"/>
      <c r="L31" s="99"/>
      <c r="M31" s="99"/>
      <c r="N31" s="99"/>
      <c r="O31" s="99"/>
      <c r="P31" s="99"/>
      <c r="Q31" s="104"/>
      <c r="R31" s="102"/>
      <c r="S31" s="102"/>
      <c r="T31" s="103"/>
    </row>
    <row r="32" spans="3:20">
      <c r="C32" s="109"/>
      <c r="D32" s="99"/>
      <c r="E32" s="99"/>
      <c r="F32" s="99"/>
      <c r="G32" s="99"/>
      <c r="H32" s="99"/>
      <c r="I32" s="99"/>
      <c r="J32" s="99"/>
      <c r="K32" s="99"/>
      <c r="L32" s="99"/>
      <c r="M32" s="99"/>
      <c r="N32" s="99"/>
      <c r="O32" s="99"/>
      <c r="P32" s="99"/>
      <c r="Q32" s="99"/>
      <c r="R32" s="99"/>
      <c r="S32" s="99"/>
      <c r="T32" s="99"/>
    </row>
    <row r="33" spans="3:20">
      <c r="C33" s="109"/>
      <c r="D33" s="99"/>
      <c r="E33" s="99"/>
      <c r="F33" s="99"/>
      <c r="G33" s="99"/>
      <c r="H33" s="99"/>
      <c r="I33" s="99"/>
      <c r="J33" s="99"/>
      <c r="K33" s="99"/>
      <c r="L33" s="99"/>
      <c r="M33" s="99"/>
      <c r="N33" s="99"/>
      <c r="O33" s="99"/>
      <c r="P33" s="99"/>
      <c r="Q33" s="99"/>
      <c r="R33" s="99"/>
      <c r="S33" s="99"/>
      <c r="T33" s="99"/>
    </row>
    <row r="34" spans="3:20">
      <c r="C34" s="109"/>
      <c r="D34" s="99"/>
      <c r="E34" s="99"/>
      <c r="F34" s="99"/>
      <c r="G34" s="99"/>
      <c r="H34" s="99"/>
      <c r="I34" s="99"/>
      <c r="J34" s="99"/>
      <c r="K34" s="99"/>
      <c r="L34" s="99"/>
      <c r="M34" s="99"/>
      <c r="N34" s="99"/>
      <c r="O34" s="99"/>
      <c r="P34" s="99"/>
      <c r="Q34" s="99"/>
      <c r="R34" s="99"/>
      <c r="S34" s="99"/>
      <c r="T34" s="99"/>
    </row>
    <row r="35" spans="3:20">
      <c r="C35" s="109"/>
      <c r="D35" s="99"/>
      <c r="E35" s="99"/>
      <c r="F35" s="99"/>
      <c r="G35" s="99"/>
      <c r="H35" s="99"/>
      <c r="I35" s="99"/>
      <c r="J35" s="99"/>
      <c r="K35" s="99"/>
      <c r="L35" s="99"/>
      <c r="M35" s="99"/>
      <c r="N35" s="99"/>
      <c r="O35" s="99"/>
      <c r="P35" s="99"/>
      <c r="Q35" s="99"/>
      <c r="R35" s="99"/>
      <c r="S35" s="99"/>
      <c r="T35" s="99"/>
    </row>
  </sheetData>
  <mergeCells count="2">
    <mergeCell ref="D6:T9"/>
    <mergeCell ref="C11:C35"/>
  </mergeCells>
  <hyperlinks>
    <hyperlink ref="Q20" r:id="rId1" display="gina.gibson@jpmorgancazenove.com" xr:uid="{838B5B5B-6A21-4890-8BBA-81FAB717877A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FF00"/>
  </sheetPr>
  <dimension ref="B1:J1000"/>
  <sheetViews>
    <sheetView showGridLines="0" workbookViewId="0">
      <selection activeCell="P34" sqref="P34"/>
    </sheetView>
  </sheetViews>
  <sheetFormatPr defaultColWidth="14.42578125" defaultRowHeight="15" customHeight="1"/>
  <cols>
    <col min="1" max="1" width="8.85546875" customWidth="1"/>
    <col min="2" max="2" width="45.42578125" customWidth="1"/>
    <col min="3" max="10" width="10.42578125" customWidth="1"/>
    <col min="11" max="26" width="8.85546875" customWidth="1"/>
  </cols>
  <sheetData>
    <row r="1" spans="2:10" ht="14.25" customHeight="1"/>
    <row r="2" spans="2:10" ht="14.25" customHeight="1">
      <c r="B2" s="106" t="s">
        <v>238</v>
      </c>
      <c r="C2" s="2"/>
      <c r="D2" s="2"/>
      <c r="E2" s="2"/>
      <c r="F2" s="2"/>
      <c r="G2" s="2"/>
      <c r="H2" s="2"/>
      <c r="I2" s="2"/>
      <c r="J2" s="2"/>
    </row>
    <row r="3" spans="2:10" ht="14.25" customHeight="1">
      <c r="B3" s="3" t="s">
        <v>0</v>
      </c>
      <c r="C3" s="4" t="s">
        <v>93</v>
      </c>
      <c r="D3" s="4" t="s">
        <v>92</v>
      </c>
      <c r="E3" s="4" t="s">
        <v>91</v>
      </c>
      <c r="F3" s="5" t="s">
        <v>94</v>
      </c>
      <c r="G3" s="5" t="s">
        <v>95</v>
      </c>
      <c r="H3" s="5" t="s">
        <v>96</v>
      </c>
      <c r="I3" s="5" t="s">
        <v>97</v>
      </c>
      <c r="J3" s="5" t="s">
        <v>98</v>
      </c>
    </row>
    <row r="4" spans="2:10" ht="14.25" customHeight="1">
      <c r="B4" s="6" t="s">
        <v>1</v>
      </c>
      <c r="C4" s="7">
        <f>'Income Statement'!C7</f>
        <v>23666.73</v>
      </c>
      <c r="D4" s="7">
        <f>'Income Statement'!D7</f>
        <v>29900.560000000001</v>
      </c>
      <c r="E4" s="7">
        <f>'Income Statement'!E7</f>
        <v>23843.96</v>
      </c>
      <c r="F4" s="7">
        <f>E4*(1+F25)</f>
        <v>26469.425680029635</v>
      </c>
      <c r="G4" s="7">
        <f t="shared" ref="G4:J4" si="0">F4*(1+G25)</f>
        <v>31412.734741543281</v>
      </c>
      <c r="H4" s="7">
        <f t="shared" si="0"/>
        <v>36075.417068315066</v>
      </c>
      <c r="I4" s="7">
        <f t="shared" si="0"/>
        <v>41430.194707999486</v>
      </c>
      <c r="J4" s="7">
        <f t="shared" si="0"/>
        <v>48109.034459307673</v>
      </c>
    </row>
    <row r="5" spans="2:10" ht="14.25" customHeight="1">
      <c r="B5" s="8" t="s">
        <v>2</v>
      </c>
      <c r="C5" s="9">
        <f>'Income Statement'!C8</f>
        <v>17852.11</v>
      </c>
      <c r="D5" s="9">
        <f>'Income Statement'!D8</f>
        <v>23861.11</v>
      </c>
      <c r="E5" s="9">
        <f>'Income Statement'!E8</f>
        <v>19658.310000000001</v>
      </c>
      <c r="F5" s="9">
        <f>F4*F27</f>
        <v>20970.707502853817</v>
      </c>
      <c r="G5" s="9">
        <f t="shared" ref="G5:J5" si="1">G4*G27</f>
        <v>24887.101068711247</v>
      </c>
      <c r="H5" s="9">
        <f t="shared" si="1"/>
        <v>28581.164870300592</v>
      </c>
      <c r="I5" s="9">
        <f t="shared" si="1"/>
        <v>32823.549158576476</v>
      </c>
      <c r="J5" s="9">
        <f t="shared" si="1"/>
        <v>38114.936911986922</v>
      </c>
    </row>
    <row r="6" spans="2:10" ht="14.25" customHeight="1">
      <c r="B6" s="10" t="s">
        <v>3</v>
      </c>
      <c r="C6" s="11">
        <f t="shared" ref="C6:J6" si="2">C4-C5</f>
        <v>5814.619999999999</v>
      </c>
      <c r="D6" s="11">
        <f t="shared" si="2"/>
        <v>6039.4500000000007</v>
      </c>
      <c r="E6" s="11">
        <f t="shared" si="2"/>
        <v>4185.6499999999978</v>
      </c>
      <c r="F6" s="11">
        <f t="shared" si="2"/>
        <v>5498.7181771758187</v>
      </c>
      <c r="G6" s="11">
        <f t="shared" si="2"/>
        <v>6525.6336728320348</v>
      </c>
      <c r="H6" s="11">
        <f t="shared" si="2"/>
        <v>7494.2521980144738</v>
      </c>
      <c r="I6" s="11">
        <f t="shared" si="2"/>
        <v>8606.6455494230104</v>
      </c>
      <c r="J6" s="11">
        <f t="shared" si="2"/>
        <v>9994.0975473207509</v>
      </c>
    </row>
    <row r="7" spans="2:10" ht="14.25" customHeight="1">
      <c r="B7" s="6" t="s">
        <v>4</v>
      </c>
      <c r="C7" s="7"/>
      <c r="D7" s="7"/>
      <c r="E7" s="7"/>
      <c r="F7" s="7"/>
      <c r="G7" s="7"/>
      <c r="H7" s="7"/>
      <c r="I7" s="7"/>
      <c r="J7" s="7"/>
    </row>
    <row r="8" spans="2:10" ht="14.25" customHeight="1">
      <c r="B8" s="6" t="s">
        <v>5</v>
      </c>
      <c r="C8" s="7">
        <f>SUM('Income Statement'!C10:C11)</f>
        <v>642.30999999999995</v>
      </c>
      <c r="D8" s="7">
        <f>SUM('Income Statement'!D10:D11)</f>
        <v>719.96</v>
      </c>
      <c r="E8" s="7">
        <f>SUM('Income Statement'!E10:E11)</f>
        <v>789.21</v>
      </c>
      <c r="F8" s="7">
        <f>F4*F28</f>
        <v>743.94274012151357</v>
      </c>
      <c r="G8" s="7">
        <f t="shared" ref="G8:J8" si="3">G4*G28</f>
        <v>882.8780888874885</v>
      </c>
      <c r="H8" s="7">
        <f t="shared" si="3"/>
        <v>1013.9262162033689</v>
      </c>
      <c r="I8" s="7">
        <f t="shared" si="3"/>
        <v>1164.4261929752026</v>
      </c>
      <c r="J8" s="7">
        <f t="shared" si="3"/>
        <v>1352.139912399399</v>
      </c>
    </row>
    <row r="9" spans="2:10" ht="14.25" customHeight="1">
      <c r="B9" s="8" t="s">
        <v>6</v>
      </c>
      <c r="C9" s="9">
        <f>SUM(C8)</f>
        <v>642.30999999999995</v>
      </c>
      <c r="D9" s="9">
        <f>SUM(D8)</f>
        <v>719.96</v>
      </c>
      <c r="E9" s="9">
        <f>SUM(E8)</f>
        <v>789.21</v>
      </c>
      <c r="F9" s="9">
        <f t="shared" ref="F9:J9" si="4">SUM(F8)</f>
        <v>743.94274012151357</v>
      </c>
      <c r="G9" s="9">
        <f t="shared" si="4"/>
        <v>882.8780888874885</v>
      </c>
      <c r="H9" s="9">
        <f t="shared" si="4"/>
        <v>1013.9262162033689</v>
      </c>
      <c r="I9" s="9">
        <f t="shared" si="4"/>
        <v>1164.4261929752026</v>
      </c>
      <c r="J9" s="9">
        <f t="shared" si="4"/>
        <v>1352.139912399399</v>
      </c>
    </row>
    <row r="10" spans="2:10" ht="14.25" customHeight="1">
      <c r="B10" s="10" t="s">
        <v>7</v>
      </c>
      <c r="C10" s="11">
        <f>C6-C9</f>
        <v>5172.3099999999995</v>
      </c>
      <c r="D10" s="11">
        <f>D6-D9</f>
        <v>5319.4900000000007</v>
      </c>
      <c r="E10" s="11">
        <f>E6-E9</f>
        <v>3396.4399999999978</v>
      </c>
      <c r="F10" s="11">
        <f t="shared" ref="F10:J10" si="5">F6-F9</f>
        <v>4754.7754370543053</v>
      </c>
      <c r="G10" s="11">
        <f t="shared" si="5"/>
        <v>5642.7555839445467</v>
      </c>
      <c r="H10" s="11">
        <f t="shared" si="5"/>
        <v>6480.3259818111046</v>
      </c>
      <c r="I10" s="11">
        <f t="shared" si="5"/>
        <v>7442.2193564478075</v>
      </c>
      <c r="J10" s="11">
        <f t="shared" si="5"/>
        <v>8641.9576349213512</v>
      </c>
    </row>
    <row r="11" spans="2:10" ht="14.25" customHeight="1">
      <c r="B11" s="8" t="s">
        <v>8</v>
      </c>
      <c r="C11" s="9">
        <f>'Income Statement'!C14</f>
        <v>320.52</v>
      </c>
      <c r="D11" s="9">
        <f>'Income Statement'!D14</f>
        <v>353.85</v>
      </c>
      <c r="E11" s="9">
        <f>'Income Statement'!E14</f>
        <v>433.32</v>
      </c>
      <c r="F11" s="9">
        <f>'Fixed Assets'!F5</f>
        <v>418.5655545214089</v>
      </c>
      <c r="G11" s="9">
        <f>'Fixed Assets'!G5</f>
        <v>439.6884891865954</v>
      </c>
      <c r="H11" s="9">
        <f>'Fixed Assets'!H5</f>
        <v>461.87739395861479</v>
      </c>
      <c r="I11" s="9">
        <f>'Fixed Assets'!I5</f>
        <v>485.18606307991826</v>
      </c>
      <c r="J11" s="9">
        <f>'Fixed Assets'!J5</f>
        <v>509.67100552248127</v>
      </c>
    </row>
    <row r="12" spans="2:10" ht="14.25" customHeight="1">
      <c r="B12" s="10" t="s">
        <v>9</v>
      </c>
      <c r="C12" s="11">
        <f t="shared" ref="C12:J12" si="6">C10-C11</f>
        <v>4851.7899999999991</v>
      </c>
      <c r="D12" s="11">
        <f t="shared" si="6"/>
        <v>4965.6400000000003</v>
      </c>
      <c r="E12" s="11">
        <f t="shared" si="6"/>
        <v>2963.1199999999976</v>
      </c>
      <c r="F12" s="11">
        <f t="shared" si="6"/>
        <v>4336.2098825328967</v>
      </c>
      <c r="G12" s="11">
        <f t="shared" si="6"/>
        <v>5203.0670947579511</v>
      </c>
      <c r="H12" s="11">
        <f t="shared" si="6"/>
        <v>6018.4485878524902</v>
      </c>
      <c r="I12" s="11">
        <f t="shared" si="6"/>
        <v>6957.0332933678892</v>
      </c>
      <c r="J12" s="11">
        <f t="shared" si="6"/>
        <v>8132.28662939887</v>
      </c>
    </row>
    <row r="13" spans="2:10" ht="14.25" customHeight="1">
      <c r="B13" s="8" t="s">
        <v>10</v>
      </c>
      <c r="C13" s="9">
        <f>'Income Statement'!C20</f>
        <v>1286.29</v>
      </c>
      <c r="D13" s="9">
        <f>'Income Statement'!D20</f>
        <v>1250.44</v>
      </c>
      <c r="E13" s="9">
        <f>'Income Statement'!E20</f>
        <v>752.26</v>
      </c>
      <c r="F13" s="63">
        <f>F12*F29</f>
        <v>910.60407533190823</v>
      </c>
      <c r="G13" s="63">
        <f t="shared" ref="G13:J13" si="7">G12*G29</f>
        <v>1092.6440898991698</v>
      </c>
      <c r="H13" s="63">
        <f t="shared" si="7"/>
        <v>1263.8742034490228</v>
      </c>
      <c r="I13" s="63">
        <f t="shared" si="7"/>
        <v>1460.9769916072567</v>
      </c>
      <c r="J13" s="63">
        <f t="shared" si="7"/>
        <v>1707.7801921737625</v>
      </c>
    </row>
    <row r="14" spans="2:10" ht="14.25" customHeight="1">
      <c r="B14" s="10" t="s">
        <v>11</v>
      </c>
      <c r="C14" s="11">
        <f t="shared" ref="C14:J14" si="8">C12-C13</f>
        <v>3565.4999999999991</v>
      </c>
      <c r="D14" s="11">
        <f t="shared" si="8"/>
        <v>3715.2000000000003</v>
      </c>
      <c r="E14" s="11">
        <f t="shared" si="8"/>
        <v>2210.8599999999979</v>
      </c>
      <c r="F14" s="11">
        <f t="shared" si="8"/>
        <v>3425.6058072009882</v>
      </c>
      <c r="G14" s="11">
        <f t="shared" si="8"/>
        <v>4110.4230048587815</v>
      </c>
      <c r="H14" s="11">
        <f t="shared" si="8"/>
        <v>4754.5743844034678</v>
      </c>
      <c r="I14" s="11">
        <f t="shared" si="8"/>
        <v>5496.0563017606328</v>
      </c>
      <c r="J14" s="11">
        <f t="shared" si="8"/>
        <v>6424.5064372251072</v>
      </c>
    </row>
    <row r="15" spans="2:10" ht="14.25" customHeight="1">
      <c r="B15" s="6" t="s">
        <v>12</v>
      </c>
      <c r="C15" s="7">
        <f t="shared" ref="C15:J15" si="9">C11</f>
        <v>320.52</v>
      </c>
      <c r="D15" s="7">
        <f t="shared" si="9"/>
        <v>353.85</v>
      </c>
      <c r="E15" s="7">
        <f t="shared" si="9"/>
        <v>433.32</v>
      </c>
      <c r="F15" s="7">
        <f t="shared" si="9"/>
        <v>418.5655545214089</v>
      </c>
      <c r="G15" s="7">
        <f t="shared" si="9"/>
        <v>439.6884891865954</v>
      </c>
      <c r="H15" s="7">
        <f t="shared" si="9"/>
        <v>461.87739395861479</v>
      </c>
      <c r="I15" s="7">
        <f t="shared" si="9"/>
        <v>485.18606307991826</v>
      </c>
      <c r="J15" s="7">
        <f t="shared" si="9"/>
        <v>509.67100552248127</v>
      </c>
    </row>
    <row r="16" spans="2:10" ht="14.25" customHeight="1">
      <c r="B16" s="6" t="s">
        <v>13</v>
      </c>
      <c r="C16" s="7">
        <f>'Fixed Assets'!C6</f>
        <v>391.46000000000004</v>
      </c>
      <c r="D16" s="7">
        <f>'Fixed Assets'!D6</f>
        <v>373.96999999999991</v>
      </c>
      <c r="E16" s="7">
        <f>'Fixed Assets'!E6</f>
        <v>813.68999999999983</v>
      </c>
      <c r="F16" s="7">
        <f>'Fixed Assets'!F6</f>
        <v>595.65652406650997</v>
      </c>
      <c r="G16" s="7">
        <f>'Fixed Assets'!G6</f>
        <v>625.71636464544952</v>
      </c>
      <c r="H16" s="7">
        <f>'Fixed Assets'!H6</f>
        <v>657.29317679965618</v>
      </c>
      <c r="I16" s="7">
        <f>'Fixed Assets'!I6</f>
        <v>690.46351458649826</v>
      </c>
      <c r="J16" s="7">
        <f>'Fixed Assets'!J6</f>
        <v>725.30779536823104</v>
      </c>
    </row>
    <row r="17" spans="2:10" ht="14.25" customHeight="1">
      <c r="B17" s="6" t="s">
        <v>14</v>
      </c>
      <c r="C17" s="7">
        <f>C18-('Net Working Capital'!C8-'Net Working Capital'!C13)</f>
        <v>-119.3100000000004</v>
      </c>
      <c r="D17" s="7">
        <f t="shared" ref="D17:E17" si="10">D18-C18</f>
        <v>-1350.2099999999982</v>
      </c>
      <c r="E17" s="7">
        <f t="shared" si="10"/>
        <v>-573.69000000000142</v>
      </c>
      <c r="F17" s="7">
        <f t="shared" ref="F17" si="11">F18-E18</f>
        <v>1354.0516093876031</v>
      </c>
      <c r="G17" s="7">
        <f t="shared" ref="G17" si="12">G18-F18</f>
        <v>143.46955951528071</v>
      </c>
      <c r="H17" s="7">
        <f t="shared" ref="H17" si="13">H18-G18</f>
        <v>135.32493543440341</v>
      </c>
      <c r="I17" s="7">
        <f t="shared" ref="I17" si="14">I18-H18</f>
        <v>155.41160378764016</v>
      </c>
      <c r="J17" s="7">
        <f t="shared" ref="J17" si="15">J18-I18</f>
        <v>193.83983183522378</v>
      </c>
    </row>
    <row r="18" spans="2:10" ht="14.25" customHeight="1">
      <c r="B18" s="12" t="s">
        <v>15</v>
      </c>
      <c r="C18" s="7">
        <f t="shared" ref="C18:J18" si="16">C19-C20</f>
        <v>1338.0699999999997</v>
      </c>
      <c r="D18" s="7">
        <f t="shared" si="16"/>
        <v>-12.139999999998508</v>
      </c>
      <c r="E18" s="7">
        <f t="shared" si="16"/>
        <v>-585.82999999999993</v>
      </c>
      <c r="F18" s="7">
        <f t="shared" si="16"/>
        <v>768.22160938760317</v>
      </c>
      <c r="G18" s="7">
        <f t="shared" si="16"/>
        <v>911.69116890288387</v>
      </c>
      <c r="H18" s="7">
        <f t="shared" si="16"/>
        <v>1047.0161043372873</v>
      </c>
      <c r="I18" s="7">
        <f t="shared" si="16"/>
        <v>1202.4277081249274</v>
      </c>
      <c r="J18" s="7">
        <f t="shared" si="16"/>
        <v>1396.2675399601512</v>
      </c>
    </row>
    <row r="19" spans="2:10" ht="14.25" customHeight="1">
      <c r="B19" s="12" t="s">
        <v>16</v>
      </c>
      <c r="C19" s="7">
        <f>'Net Working Capital'!D8</f>
        <v>4443.0599999999995</v>
      </c>
      <c r="D19" s="7">
        <f>'Net Working Capital'!E8</f>
        <v>5043.4000000000005</v>
      </c>
      <c r="E19" s="7">
        <f>'Net Working Capital'!F8</f>
        <v>5469</v>
      </c>
      <c r="F19" s="7">
        <f>'Net Working Capital'!G8</f>
        <v>5254.6527985246203</v>
      </c>
      <c r="G19" s="7">
        <f>'Net Working Capital'!H8</f>
        <v>6235.98775864249</v>
      </c>
      <c r="H19" s="7">
        <f>'Net Working Capital'!I8</f>
        <v>7161.6133099172093</v>
      </c>
      <c r="I19" s="7">
        <f>'Net Working Capital'!J8</f>
        <v>8224.6321169732946</v>
      </c>
      <c r="J19" s="7">
        <f>'Net Working Capital'!K8</f>
        <v>9550.5008537697686</v>
      </c>
    </row>
    <row r="20" spans="2:10" ht="14.25" customHeight="1">
      <c r="B20" s="12" t="s">
        <v>17</v>
      </c>
      <c r="C20" s="7">
        <f>'Net Working Capital'!D13</f>
        <v>3104.99</v>
      </c>
      <c r="D20" s="7">
        <f>'Net Working Capital'!E13</f>
        <v>5055.5399999999991</v>
      </c>
      <c r="E20" s="7">
        <f>'Net Working Capital'!F13</f>
        <v>6054.83</v>
      </c>
      <c r="F20" s="7">
        <f>'Net Working Capital'!G13</f>
        <v>4486.4311891370171</v>
      </c>
      <c r="G20" s="7">
        <f>'Net Working Capital'!H13</f>
        <v>5324.2965897396061</v>
      </c>
      <c r="H20" s="7">
        <f>'Net Working Capital'!I13</f>
        <v>6114.597205579922</v>
      </c>
      <c r="I20" s="7">
        <f>'Net Working Capital'!J13</f>
        <v>7022.2044088483672</v>
      </c>
      <c r="J20" s="7">
        <f>'Net Working Capital'!K13</f>
        <v>8154.2333138096174</v>
      </c>
    </row>
    <row r="21" spans="2:10" ht="14.25" customHeight="1">
      <c r="B21" s="13" t="s">
        <v>18</v>
      </c>
      <c r="C21" s="14">
        <f t="shared" ref="C21:J21" si="17">C14+C15-C16-C17</f>
        <v>3613.8699999999994</v>
      </c>
      <c r="D21" s="14">
        <f t="shared" si="17"/>
        <v>5045.2899999999991</v>
      </c>
      <c r="E21" s="14">
        <f t="shared" si="17"/>
        <v>2404.1799999999994</v>
      </c>
      <c r="F21" s="14">
        <f t="shared" si="17"/>
        <v>1894.4632282682842</v>
      </c>
      <c r="G21" s="14">
        <f t="shared" si="17"/>
        <v>3780.9255698846468</v>
      </c>
      <c r="H21" s="14">
        <f t="shared" si="17"/>
        <v>4423.8336661280227</v>
      </c>
      <c r="I21" s="14">
        <f t="shared" si="17"/>
        <v>5135.3672464664123</v>
      </c>
      <c r="J21" s="14">
        <f t="shared" si="17"/>
        <v>6015.0298155441333</v>
      </c>
    </row>
    <row r="22" spans="2:10" ht="14.25" customHeight="1"/>
    <row r="23" spans="2:10" ht="14.25" customHeight="1">
      <c r="B23" s="2" t="s">
        <v>19</v>
      </c>
      <c r="C23" s="2"/>
      <c r="D23" s="2"/>
      <c r="E23" s="2"/>
      <c r="F23" s="2"/>
      <c r="G23" s="2"/>
      <c r="H23" s="2"/>
      <c r="I23" s="2"/>
      <c r="J23" s="2"/>
    </row>
    <row r="24" spans="2:10" ht="14.25" customHeight="1">
      <c r="B24" s="3" t="str">
        <f t="shared" ref="B24:J24" si="18">B3</f>
        <v>Fiscal Year</v>
      </c>
      <c r="C24" s="4" t="str">
        <f t="shared" si="18"/>
        <v>2022A</v>
      </c>
      <c r="D24" s="4" t="str">
        <f t="shared" si="18"/>
        <v>2023A</v>
      </c>
      <c r="E24" s="4" t="str">
        <f t="shared" si="18"/>
        <v>2024A</v>
      </c>
      <c r="F24" s="5" t="str">
        <f t="shared" si="18"/>
        <v>2025E</v>
      </c>
      <c r="G24" s="5" t="str">
        <f t="shared" si="18"/>
        <v>2026E</v>
      </c>
      <c r="H24" s="5" t="str">
        <f t="shared" si="18"/>
        <v>2027E</v>
      </c>
      <c r="I24" s="5" t="str">
        <f t="shared" si="18"/>
        <v>2028E</v>
      </c>
      <c r="J24" s="5" t="str">
        <f t="shared" si="18"/>
        <v>2029E</v>
      </c>
    </row>
    <row r="25" spans="2:10" ht="14.25" customHeight="1">
      <c r="B25" s="15" t="s">
        <v>20</v>
      </c>
      <c r="C25" s="62">
        <f>C4/18642.73-1</f>
        <v>0.26948842792874217</v>
      </c>
      <c r="D25" s="16">
        <f>D4/C4-1</f>
        <v>0.26340056273088863</v>
      </c>
      <c r="E25" s="16">
        <f>E4/D4-1</f>
        <v>-0.20255807917978796</v>
      </c>
      <c r="F25" s="16">
        <f>AVERAGE(C25:E25)</f>
        <v>0.11011030382661428</v>
      </c>
      <c r="G25" s="16">
        <f>AVERAGE(D25,F25)</f>
        <v>0.18675543327875146</v>
      </c>
      <c r="H25" s="16">
        <f>AVERAGE(F25:G25)</f>
        <v>0.14843286855268287</v>
      </c>
      <c r="I25" s="16">
        <f t="shared" ref="I25:J25" si="19">AVERAGE(F25:H25)</f>
        <v>0.14843286855268287</v>
      </c>
      <c r="J25" s="16">
        <f t="shared" si="19"/>
        <v>0.16120705679470573</v>
      </c>
    </row>
    <row r="26" spans="2:10" ht="14.25" customHeight="1">
      <c r="B26" s="15"/>
      <c r="C26" s="15"/>
      <c r="D26" s="15"/>
      <c r="E26" s="15"/>
      <c r="F26" s="15"/>
      <c r="G26" s="15"/>
      <c r="H26" s="15"/>
      <c r="I26" s="15"/>
      <c r="J26" s="15"/>
    </row>
    <row r="27" spans="2:10" ht="14.25" customHeight="1">
      <c r="B27" s="15" t="s">
        <v>21</v>
      </c>
      <c r="C27" s="16">
        <f>C5/C4</f>
        <v>0.75431248845953791</v>
      </c>
      <c r="D27" s="16">
        <f>D5/D4</f>
        <v>0.79801548867312178</v>
      </c>
      <c r="E27" s="16">
        <f>E5/E4</f>
        <v>0.82445659194194265</v>
      </c>
      <c r="F27" s="16">
        <f t="shared" ref="F27:F28" si="20">AVERAGE(C27:E27)</f>
        <v>0.79226152302486741</v>
      </c>
      <c r="G27" s="16">
        <f t="shared" ref="G27:J27" si="21">F27</f>
        <v>0.79226152302486741</v>
      </c>
      <c r="H27" s="16">
        <f t="shared" si="21"/>
        <v>0.79226152302486741</v>
      </c>
      <c r="I27" s="16">
        <f t="shared" si="21"/>
        <v>0.79226152302486741</v>
      </c>
      <c r="J27" s="16">
        <f t="shared" si="21"/>
        <v>0.79226152302486741</v>
      </c>
    </row>
    <row r="28" spans="2:10" ht="14.25" customHeight="1">
      <c r="B28" s="15" t="s">
        <v>22</v>
      </c>
      <c r="C28" s="16">
        <f>C8/C4</f>
        <v>2.7139786527331827E-2</v>
      </c>
      <c r="D28" s="16">
        <f>D8/D4</f>
        <v>2.4078478797721514E-2</v>
      </c>
      <c r="E28" s="16">
        <f>E8/E4</f>
        <v>3.3098948329052726E-2</v>
      </c>
      <c r="F28" s="16">
        <f t="shared" si="20"/>
        <v>2.8105737884702026E-2</v>
      </c>
      <c r="G28" s="16">
        <f t="shared" ref="G28:J28" si="22">F28</f>
        <v>2.8105737884702026E-2</v>
      </c>
      <c r="H28" s="16">
        <f t="shared" si="22"/>
        <v>2.8105737884702026E-2</v>
      </c>
      <c r="I28" s="16">
        <f t="shared" si="22"/>
        <v>2.8105737884702026E-2</v>
      </c>
      <c r="J28" s="16">
        <f t="shared" si="22"/>
        <v>2.8105737884702026E-2</v>
      </c>
    </row>
    <row r="29" spans="2:10" ht="14.25" customHeight="1">
      <c r="B29" s="15" t="s">
        <v>23</v>
      </c>
      <c r="C29" s="16">
        <f t="shared" ref="C29:E29" si="23">C13/C12</f>
        <v>0.265116585837392</v>
      </c>
      <c r="D29" s="16">
        <f t="shared" si="23"/>
        <v>0.25181849670938689</v>
      </c>
      <c r="E29" s="16">
        <f t="shared" si="23"/>
        <v>0.25387429466238309</v>
      </c>
      <c r="F29" s="16">
        <v>0.21</v>
      </c>
      <c r="G29" s="16">
        <v>0.21</v>
      </c>
      <c r="H29" s="16">
        <v>0.21</v>
      </c>
      <c r="I29" s="16">
        <v>0.21</v>
      </c>
      <c r="J29" s="16">
        <v>0.21</v>
      </c>
    </row>
    <row r="30" spans="2:10" ht="14.25" customHeight="1"/>
    <row r="31" spans="2:10" ht="14.25" customHeight="1"/>
    <row r="32" spans="2:10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B1:J1000"/>
  <sheetViews>
    <sheetView showGridLines="0" workbookViewId="0">
      <selection activeCell="Q24" sqref="Q24"/>
    </sheetView>
  </sheetViews>
  <sheetFormatPr defaultColWidth="14.42578125" defaultRowHeight="15" customHeight="1"/>
  <cols>
    <col min="1" max="1" width="8.85546875" customWidth="1"/>
    <col min="2" max="2" width="27.85546875" customWidth="1"/>
    <col min="3" max="10" width="8.42578125" customWidth="1"/>
    <col min="11" max="26" width="8.85546875" customWidth="1"/>
  </cols>
  <sheetData>
    <row r="1" spans="2:10" ht="14.25" customHeight="1"/>
    <row r="2" spans="2:10" ht="14.25" customHeight="1">
      <c r="B2" s="2" t="s">
        <v>24</v>
      </c>
      <c r="C2" s="2"/>
      <c r="D2" s="2"/>
      <c r="E2" s="2"/>
      <c r="F2" s="2"/>
      <c r="G2" s="2"/>
      <c r="H2" s="2"/>
      <c r="I2" s="2"/>
      <c r="J2" s="2"/>
    </row>
    <row r="3" spans="2:10" ht="14.25" customHeight="1">
      <c r="B3" s="3" t="s">
        <v>0</v>
      </c>
      <c r="C3" s="4" t="s">
        <v>93</v>
      </c>
      <c r="D3" s="4" t="s">
        <v>92</v>
      </c>
      <c r="E3" s="4" t="s">
        <v>91</v>
      </c>
      <c r="F3" s="5" t="s">
        <v>94</v>
      </c>
      <c r="G3" s="5" t="s">
        <v>95</v>
      </c>
      <c r="H3" s="5" t="s">
        <v>96</v>
      </c>
      <c r="I3" s="5" t="s">
        <v>97</v>
      </c>
      <c r="J3" s="5" t="s">
        <v>98</v>
      </c>
    </row>
    <row r="4" spans="2:10" ht="14.25" customHeight="1">
      <c r="B4" s="6" t="s">
        <v>25</v>
      </c>
      <c r="C4" s="17">
        <f>'Balance Sheet'!C13</f>
        <v>3037.75</v>
      </c>
      <c r="D4" s="17">
        <f>'Balance Sheet'!D13</f>
        <v>3108.69</v>
      </c>
      <c r="E4" s="17">
        <f>'Balance Sheet'!E13</f>
        <v>3128.81</v>
      </c>
      <c r="F4" s="17">
        <f>E7</f>
        <v>3509.18</v>
      </c>
      <c r="G4" s="17">
        <f t="shared" ref="G4:J4" si="0">F7</f>
        <v>3686.2709695451008</v>
      </c>
      <c r="H4" s="17">
        <f t="shared" si="0"/>
        <v>3872.2988450039552</v>
      </c>
      <c r="I4" s="17">
        <f t="shared" si="0"/>
        <v>4067.7146278449964</v>
      </c>
      <c r="J4" s="17">
        <f t="shared" si="0"/>
        <v>4272.9920793515766</v>
      </c>
    </row>
    <row r="5" spans="2:10" ht="14.25" customHeight="1">
      <c r="B5" s="6" t="s">
        <v>26</v>
      </c>
      <c r="C5" s="17">
        <f>'Free Cash Flow'!C11</f>
        <v>320.52</v>
      </c>
      <c r="D5" s="17">
        <f>'Free Cash Flow'!D11</f>
        <v>353.85</v>
      </c>
      <c r="E5" s="17">
        <f>'Free Cash Flow'!E11</f>
        <v>433.32</v>
      </c>
      <c r="F5" s="17">
        <f>F4*F11</f>
        <v>418.5655545214089</v>
      </c>
      <c r="G5" s="17">
        <f t="shared" ref="G5:J5" si="1">G4*G11</f>
        <v>439.6884891865954</v>
      </c>
      <c r="H5" s="17">
        <f t="shared" si="1"/>
        <v>461.87739395861479</v>
      </c>
      <c r="I5" s="17">
        <f t="shared" si="1"/>
        <v>485.18606307991826</v>
      </c>
      <c r="J5" s="17">
        <f t="shared" si="1"/>
        <v>509.67100552248127</v>
      </c>
    </row>
    <row r="6" spans="2:10" ht="14.25" customHeight="1">
      <c r="B6" s="6" t="s">
        <v>27</v>
      </c>
      <c r="C6" s="17">
        <f>C7-C4+C5</f>
        <v>391.46000000000004</v>
      </c>
      <c r="D6" s="17">
        <f t="shared" ref="D6:E6" si="2">D7-D4+D5</f>
        <v>373.96999999999991</v>
      </c>
      <c r="E6" s="17">
        <f t="shared" si="2"/>
        <v>813.68999999999983</v>
      </c>
      <c r="F6" s="17">
        <f>F12*F4</f>
        <v>595.65652406650997</v>
      </c>
      <c r="G6" s="17">
        <f t="shared" ref="G6:J6" si="3">G12*G4</f>
        <v>625.71636464544952</v>
      </c>
      <c r="H6" s="17">
        <f t="shared" si="3"/>
        <v>657.29317679965618</v>
      </c>
      <c r="I6" s="17">
        <f t="shared" si="3"/>
        <v>690.46351458649826</v>
      </c>
      <c r="J6" s="17">
        <f t="shared" si="3"/>
        <v>725.30779536823104</v>
      </c>
    </row>
    <row r="7" spans="2:10" ht="14.25" customHeight="1">
      <c r="B7" s="18" t="s">
        <v>28</v>
      </c>
      <c r="C7" s="19">
        <f>'Balance Sheet'!D13</f>
        <v>3108.69</v>
      </c>
      <c r="D7" s="19">
        <f>'Balance Sheet'!E13</f>
        <v>3128.81</v>
      </c>
      <c r="E7" s="19">
        <f>'Balance Sheet'!F13</f>
        <v>3509.18</v>
      </c>
      <c r="F7" s="19">
        <f>F4-F5+F6</f>
        <v>3686.2709695451008</v>
      </c>
      <c r="G7" s="19">
        <f t="shared" ref="G7:J7" si="4">G4-G5+G6</f>
        <v>3872.2988450039552</v>
      </c>
      <c r="H7" s="19">
        <f t="shared" si="4"/>
        <v>4067.7146278449964</v>
      </c>
      <c r="I7" s="19">
        <f t="shared" si="4"/>
        <v>4272.9920793515766</v>
      </c>
      <c r="J7" s="19">
        <f t="shared" si="4"/>
        <v>4488.6288691973268</v>
      </c>
    </row>
    <row r="8" spans="2:10" ht="14.25" customHeight="1">
      <c r="E8" s="17"/>
    </row>
    <row r="9" spans="2:10" ht="14.25" customHeight="1">
      <c r="B9" s="2" t="s">
        <v>19</v>
      </c>
      <c r="C9" s="2"/>
      <c r="D9" s="2"/>
      <c r="E9" s="2"/>
      <c r="F9" s="2"/>
      <c r="G9" s="2"/>
      <c r="H9" s="2"/>
      <c r="I9" s="2"/>
      <c r="J9" s="2"/>
    </row>
    <row r="10" spans="2:10" ht="14.25" customHeight="1">
      <c r="B10" s="3" t="s">
        <v>0</v>
      </c>
      <c r="C10" s="4">
        <v>43830</v>
      </c>
      <c r="D10" s="4">
        <v>44196</v>
      </c>
      <c r="E10" s="4">
        <v>44561</v>
      </c>
      <c r="F10" s="5">
        <v>44926</v>
      </c>
      <c r="G10" s="5">
        <v>45291</v>
      </c>
      <c r="H10" s="5">
        <v>45657</v>
      </c>
      <c r="I10" s="5">
        <v>46022</v>
      </c>
      <c r="J10" s="5">
        <v>46387</v>
      </c>
    </row>
    <row r="11" spans="2:10" ht="14.25" customHeight="1">
      <c r="B11" s="15" t="s">
        <v>29</v>
      </c>
      <c r="C11" s="16">
        <f t="shared" ref="C11:E11" si="5">C5/C4</f>
        <v>0.10551230351411406</v>
      </c>
      <c r="D11" s="16">
        <f t="shared" si="5"/>
        <v>0.11382608108238519</v>
      </c>
      <c r="E11" s="16">
        <f t="shared" si="5"/>
        <v>0.13849354866546706</v>
      </c>
      <c r="F11" s="16">
        <f>AVERAGE(C11:E11)</f>
        <v>0.11927731108732209</v>
      </c>
      <c r="G11" s="16">
        <f t="shared" ref="G11:J11" si="6">F11</f>
        <v>0.11927731108732209</v>
      </c>
      <c r="H11" s="16">
        <f t="shared" si="6"/>
        <v>0.11927731108732209</v>
      </c>
      <c r="I11" s="16">
        <f t="shared" si="6"/>
        <v>0.11927731108732209</v>
      </c>
      <c r="J11" s="16">
        <f t="shared" si="6"/>
        <v>0.11927731108732209</v>
      </c>
    </row>
    <row r="12" spans="2:10" ht="14.25" customHeight="1">
      <c r="B12" s="15" t="s">
        <v>30</v>
      </c>
      <c r="C12" s="16">
        <f t="shared" ref="C12:E12" si="7">C6/C4</f>
        <v>0.12886511398238829</v>
      </c>
      <c r="D12" s="16">
        <f t="shared" si="7"/>
        <v>0.12029826068215226</v>
      </c>
      <c r="E12" s="16">
        <f t="shared" si="7"/>
        <v>0.26006373030001817</v>
      </c>
      <c r="F12" s="16">
        <f>AVERAGE(C12:E12)</f>
        <v>0.16974236832151957</v>
      </c>
      <c r="G12" s="16">
        <f t="shared" ref="G12:J12" si="8">F12</f>
        <v>0.16974236832151957</v>
      </c>
      <c r="H12" s="16">
        <f t="shared" si="8"/>
        <v>0.16974236832151957</v>
      </c>
      <c r="I12" s="16">
        <f t="shared" si="8"/>
        <v>0.16974236832151957</v>
      </c>
      <c r="J12" s="16">
        <f t="shared" si="8"/>
        <v>0.16974236832151957</v>
      </c>
    </row>
    <row r="13" spans="2:10" ht="14.25" customHeight="1">
      <c r="C13" s="20"/>
      <c r="D13" s="20"/>
      <c r="E13" s="20"/>
      <c r="F13" s="20"/>
      <c r="G13" s="20"/>
      <c r="H13" s="20"/>
      <c r="I13" s="20"/>
      <c r="J13" s="20"/>
    </row>
    <row r="14" spans="2:10" ht="14.25" customHeight="1">
      <c r="C14" s="20"/>
      <c r="D14" s="20"/>
      <c r="E14" s="20"/>
      <c r="F14" s="20"/>
      <c r="G14" s="20"/>
      <c r="H14" s="20"/>
      <c r="I14" s="20"/>
      <c r="J14" s="20"/>
    </row>
    <row r="15" spans="2:10" ht="14.25" customHeight="1">
      <c r="C15" s="20"/>
      <c r="D15" s="20"/>
      <c r="E15" s="20"/>
      <c r="F15" s="20"/>
      <c r="G15" s="20"/>
      <c r="H15" s="20"/>
      <c r="I15" s="20"/>
      <c r="J15" s="20"/>
    </row>
    <row r="16" spans="2:10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FF00"/>
  </sheetPr>
  <dimension ref="B1:U999"/>
  <sheetViews>
    <sheetView showGridLines="0" topLeftCell="B1" workbookViewId="0">
      <selection activeCell="M31" sqref="M31"/>
    </sheetView>
  </sheetViews>
  <sheetFormatPr defaultColWidth="14.42578125" defaultRowHeight="15" customHeight="1"/>
  <cols>
    <col min="1" max="1" width="8.85546875" customWidth="1"/>
    <col min="2" max="2" width="50" customWidth="1"/>
    <col min="3" max="3" width="9.5703125" customWidth="1"/>
    <col min="4" max="15" width="8.85546875" customWidth="1"/>
    <col min="16" max="16" width="29.5703125" customWidth="1"/>
    <col min="17" max="26" width="8.85546875" customWidth="1"/>
  </cols>
  <sheetData>
    <row r="1" spans="2:19" ht="14.25" customHeight="1"/>
    <row r="2" spans="2:19" ht="14.25" customHeight="1">
      <c r="B2" s="2" t="s">
        <v>31</v>
      </c>
      <c r="C2" s="2"/>
      <c r="D2" s="2"/>
      <c r="E2" s="2"/>
      <c r="F2" s="2"/>
      <c r="G2" s="2"/>
      <c r="H2" s="2"/>
      <c r="I2" s="2"/>
      <c r="J2" s="2"/>
      <c r="K2" s="2"/>
    </row>
    <row r="3" spans="2:19" ht="14.25" customHeight="1">
      <c r="B3" s="3" t="s">
        <v>0</v>
      </c>
      <c r="C3" s="56" t="s">
        <v>142</v>
      </c>
      <c r="D3" s="4" t="s">
        <v>93</v>
      </c>
      <c r="E3" s="4" t="s">
        <v>92</v>
      </c>
      <c r="F3" s="4" t="s">
        <v>91</v>
      </c>
      <c r="G3" s="5" t="s">
        <v>94</v>
      </c>
      <c r="H3" s="5" t="s">
        <v>95</v>
      </c>
      <c r="I3" s="5" t="s">
        <v>96</v>
      </c>
      <c r="J3" s="5" t="s">
        <v>97</v>
      </c>
      <c r="K3" s="5" t="s">
        <v>98</v>
      </c>
    </row>
    <row r="4" spans="2:19" ht="14.25" customHeight="1">
      <c r="B4" s="6" t="s">
        <v>32</v>
      </c>
      <c r="C4" s="17">
        <f>'Balance Sheet'!C5</f>
        <v>1555.79</v>
      </c>
      <c r="D4" s="17">
        <f>'Balance Sheet'!D5</f>
        <v>1125.94</v>
      </c>
      <c r="E4" s="17">
        <f>'Balance Sheet'!E5</f>
        <v>988.95</v>
      </c>
      <c r="F4" s="17">
        <f>'Balance Sheet'!F5</f>
        <v>1896.5200000000002</v>
      </c>
      <c r="G4" s="17">
        <f>G20*G17/360</f>
        <v>1612.2602711592344</v>
      </c>
      <c r="H4" s="17">
        <f t="shared" ref="H4:K4" si="0">H20*H17/360</f>
        <v>1913.3586366576949</v>
      </c>
      <c r="I4" s="17">
        <f t="shared" si="0"/>
        <v>2197.3639476668468</v>
      </c>
      <c r="J4" s="17">
        <f t="shared" si="0"/>
        <v>2523.5249816732839</v>
      </c>
      <c r="K4" s="17">
        <f t="shared" si="0"/>
        <v>2930.3350167167478</v>
      </c>
      <c r="P4" s="64"/>
      <c r="R4" s="65"/>
      <c r="S4" s="65"/>
    </row>
    <row r="5" spans="2:19" ht="14.25" customHeight="1">
      <c r="B5" s="6" t="s">
        <v>33</v>
      </c>
      <c r="C5" s="17">
        <f>'Balance Sheet'!C6</f>
        <v>1972.84</v>
      </c>
      <c r="D5" s="17">
        <f>'Balance Sheet'!D6</f>
        <v>3062.63</v>
      </c>
      <c r="E5" s="17">
        <f>'Balance Sheet'!E6</f>
        <v>3764.72</v>
      </c>
      <c r="F5" s="17">
        <f>'Balance Sheet'!F6</f>
        <v>3015.81</v>
      </c>
      <c r="G5" s="17">
        <f>G21*G18/360</f>
        <v>3292.7105030097164</v>
      </c>
      <c r="H5" s="17">
        <f t="shared" ref="H5:K5" si="1">H21*H18/360</f>
        <v>3907.6420796607918</v>
      </c>
      <c r="I5" s="17">
        <f t="shared" si="1"/>
        <v>4487.6646028220139</v>
      </c>
      <c r="J5" s="17">
        <f t="shared" si="1"/>
        <v>5153.7815329212217</v>
      </c>
      <c r="K5" s="17">
        <f t="shared" si="1"/>
        <v>5984.6074852063575</v>
      </c>
      <c r="P5" s="64"/>
      <c r="R5" s="43"/>
      <c r="S5" s="43"/>
    </row>
    <row r="6" spans="2:19" ht="14.25" customHeight="1">
      <c r="B6" s="6" t="s">
        <v>34</v>
      </c>
      <c r="C6" s="17">
        <f>'Balance Sheet'!C9</f>
        <v>39.29</v>
      </c>
      <c r="D6" s="17">
        <f>'Balance Sheet'!D9</f>
        <v>124.92</v>
      </c>
      <c r="E6" s="17">
        <f>'Balance Sheet'!E9</f>
        <v>153.31</v>
      </c>
      <c r="F6" s="17">
        <f>'Balance Sheet'!F9</f>
        <v>399.36</v>
      </c>
      <c r="G6" s="17">
        <f>G24*G$17</f>
        <v>193.63737566480046</v>
      </c>
      <c r="H6" s="17">
        <f t="shared" ref="H6:K6" si="2">H24*H17</f>
        <v>229.80020765604064</v>
      </c>
      <c r="I6" s="17">
        <f t="shared" si="2"/>
        <v>263.91011167242891</v>
      </c>
      <c r="J6" s="17">
        <f t="shared" si="2"/>
        <v>303.08304658802638</v>
      </c>
      <c r="K6" s="17">
        <f t="shared" si="2"/>
        <v>351.94217249285481</v>
      </c>
      <c r="P6" s="66"/>
      <c r="R6" s="66"/>
      <c r="S6" s="66"/>
    </row>
    <row r="7" spans="2:19" ht="14.25" customHeight="1">
      <c r="B7" s="66" t="s">
        <v>155</v>
      </c>
      <c r="C7" s="66">
        <v>129.5</v>
      </c>
      <c r="D7" s="66">
        <v>129.57</v>
      </c>
      <c r="E7" s="66">
        <v>136.41999999999999</v>
      </c>
      <c r="F7" s="66">
        <v>157.31</v>
      </c>
      <c r="G7" s="17">
        <f>G26*G$17</f>
        <v>156.04464869086894</v>
      </c>
      <c r="H7" s="17">
        <f t="shared" ref="H7:K7" si="3">H26*H$17</f>
        <v>185.18683466796273</v>
      </c>
      <c r="I7" s="17">
        <f t="shared" si="3"/>
        <v>212.67464775591984</v>
      </c>
      <c r="J7" s="17">
        <f t="shared" si="3"/>
        <v>244.24255579076242</v>
      </c>
      <c r="K7" s="17">
        <f t="shared" si="3"/>
        <v>283.61617935380792</v>
      </c>
      <c r="P7" s="66"/>
      <c r="R7" s="65"/>
      <c r="S7" s="65"/>
    </row>
    <row r="8" spans="2:19" ht="14.25" customHeight="1">
      <c r="B8" s="70" t="s">
        <v>173</v>
      </c>
      <c r="C8" s="19">
        <f>SUM(C4:C7)</f>
        <v>3697.42</v>
      </c>
      <c r="D8" s="19">
        <f t="shared" ref="D8:K8" si="4">SUM(D4:D7)</f>
        <v>4443.0599999999995</v>
      </c>
      <c r="E8" s="19">
        <f t="shared" si="4"/>
        <v>5043.4000000000005</v>
      </c>
      <c r="F8" s="19">
        <f t="shared" si="4"/>
        <v>5469</v>
      </c>
      <c r="G8" s="19">
        <f t="shared" si="4"/>
        <v>5254.6527985246203</v>
      </c>
      <c r="H8" s="19">
        <f t="shared" si="4"/>
        <v>6235.98775864249</v>
      </c>
      <c r="I8" s="19">
        <f t="shared" si="4"/>
        <v>7161.6133099172093</v>
      </c>
      <c r="J8" s="19">
        <f t="shared" si="4"/>
        <v>8224.6321169732946</v>
      </c>
      <c r="K8" s="19">
        <f t="shared" si="4"/>
        <v>9550.5008537697686</v>
      </c>
      <c r="P8" s="66"/>
      <c r="R8" s="66"/>
      <c r="S8" s="66"/>
    </row>
    <row r="9" spans="2:19" ht="14.25" customHeight="1">
      <c r="B9" s="6" t="s">
        <v>35</v>
      </c>
      <c r="C9" s="17">
        <f>'Balance Sheet'!C29</f>
        <v>1717.59</v>
      </c>
      <c r="D9" s="17">
        <f>'Balance Sheet'!D29</f>
        <v>2409.4699999999998</v>
      </c>
      <c r="E9" s="17">
        <f>'Balance Sheet'!E29</f>
        <v>4203.76</v>
      </c>
      <c r="F9" s="17">
        <f>'Balance Sheet'!F29</f>
        <v>5248.73</v>
      </c>
      <c r="G9" s="17">
        <f>G22*G18/360</f>
        <v>3694.2885275469744</v>
      </c>
      <c r="H9" s="17">
        <f t="shared" ref="H9:K9" si="5">H22*H18/360</f>
        <v>4384.2169821657308</v>
      </c>
      <c r="I9" s="17">
        <f t="shared" si="5"/>
        <v>5034.9788851859757</v>
      </c>
      <c r="J9" s="17">
        <f t="shared" si="5"/>
        <v>5782.3352442163186</v>
      </c>
      <c r="K9" s="17">
        <f t="shared" si="5"/>
        <v>6714.4884903367256</v>
      </c>
      <c r="P9" s="66"/>
      <c r="R9" s="66"/>
      <c r="S9" s="66"/>
    </row>
    <row r="10" spans="2:19" ht="14.25" customHeight="1">
      <c r="B10" s="66" t="s">
        <v>166</v>
      </c>
      <c r="C10" s="17">
        <f>'Balance Sheet'!C30</f>
        <v>78.86</v>
      </c>
      <c r="D10" s="17">
        <f>'Balance Sheet'!D30</f>
        <v>89.11</v>
      </c>
      <c r="E10" s="17">
        <f>'Balance Sheet'!E30</f>
        <v>50.15</v>
      </c>
      <c r="F10" s="17">
        <f>'Balance Sheet'!F30</f>
        <v>62.54</v>
      </c>
      <c r="G10" s="17">
        <f>G25*G$17</f>
        <v>81.362917957551005</v>
      </c>
      <c r="H10" s="17">
        <f t="shared" ref="H10:K10" si="6">H25*H$17</f>
        <v>96.557884953536956</v>
      </c>
      <c r="I10" s="17">
        <f t="shared" si="6"/>
        <v>110.89024879857037</v>
      </c>
      <c r="J10" s="17">
        <f t="shared" si="6"/>
        <v>127.35000652226286</v>
      </c>
      <c r="K10" s="17">
        <f t="shared" si="6"/>
        <v>147.8797262565034</v>
      </c>
      <c r="P10" s="66"/>
      <c r="R10" s="66"/>
      <c r="S10" s="66"/>
    </row>
    <row r="11" spans="2:19" ht="14.25" customHeight="1">
      <c r="B11" s="66" t="s">
        <v>167</v>
      </c>
      <c r="C11" s="17">
        <f>'Balance Sheet'!C31</f>
        <v>79.790000000000006</v>
      </c>
      <c r="D11" s="17">
        <f>'Balance Sheet'!D31</f>
        <v>358.98</v>
      </c>
      <c r="E11" s="17">
        <f>'Balance Sheet'!E31</f>
        <v>425.23</v>
      </c>
      <c r="F11" s="17">
        <f>'Balance Sheet'!F31</f>
        <v>425.23</v>
      </c>
      <c r="G11" s="17">
        <f>G27*G$17</f>
        <v>340.81648884999169</v>
      </c>
      <c r="H11" s="17">
        <f t="shared" ref="H11:K11" si="7">H27*H$17</f>
        <v>404.46581989371464</v>
      </c>
      <c r="I11" s="17">
        <f t="shared" si="7"/>
        <v>464.50184177205148</v>
      </c>
      <c r="J11" s="17">
        <f t="shared" si="7"/>
        <v>533.44918259428141</v>
      </c>
      <c r="K11" s="17">
        <f t="shared" si="7"/>
        <v>619.44495526984713</v>
      </c>
      <c r="P11" s="66"/>
      <c r="R11" s="66"/>
      <c r="S11" s="66"/>
    </row>
    <row r="12" spans="2:19" ht="14.25" customHeight="1">
      <c r="B12" s="6" t="s">
        <v>36</v>
      </c>
      <c r="C12" s="17">
        <f>'Balance Sheet'!C32</f>
        <v>363.8</v>
      </c>
      <c r="D12" s="17">
        <f>'Balance Sheet'!D32</f>
        <v>247.43</v>
      </c>
      <c r="E12" s="17">
        <f>'Balance Sheet'!E32</f>
        <v>376.4</v>
      </c>
      <c r="F12" s="17">
        <f>'Balance Sheet'!F32</f>
        <v>318.33</v>
      </c>
      <c r="G12" s="17">
        <f>G28*G$17</f>
        <v>369.96325478250077</v>
      </c>
      <c r="H12" s="17">
        <f t="shared" ref="H12:K12" si="8">H28*H$17</f>
        <v>439.0559027266238</v>
      </c>
      <c r="I12" s="17">
        <f t="shared" si="8"/>
        <v>504.22622982332422</v>
      </c>
      <c r="J12" s="17">
        <f t="shared" si="8"/>
        <v>579.06997551550455</v>
      </c>
      <c r="K12" s="17">
        <f t="shared" si="8"/>
        <v>672.42014194654132</v>
      </c>
      <c r="P12" s="64"/>
      <c r="R12" s="66"/>
      <c r="S12" s="66"/>
    </row>
    <row r="13" spans="2:19" ht="14.25" customHeight="1">
      <c r="B13" s="18" t="s">
        <v>37</v>
      </c>
      <c r="C13" s="19">
        <f>SUM(C9:C12)</f>
        <v>2240.04</v>
      </c>
      <c r="D13" s="19">
        <f t="shared" ref="D13:K13" si="9">SUM(D9:D12)</f>
        <v>3104.99</v>
      </c>
      <c r="E13" s="19">
        <f t="shared" si="9"/>
        <v>5055.5399999999991</v>
      </c>
      <c r="F13" s="19">
        <f t="shared" si="9"/>
        <v>6054.83</v>
      </c>
      <c r="G13" s="19">
        <f t="shared" si="9"/>
        <v>4486.4311891370171</v>
      </c>
      <c r="H13" s="19">
        <f t="shared" si="9"/>
        <v>5324.2965897396061</v>
      </c>
      <c r="I13" s="19">
        <f t="shared" si="9"/>
        <v>6114.597205579922</v>
      </c>
      <c r="J13" s="19">
        <f t="shared" si="9"/>
        <v>7022.2044088483672</v>
      </c>
      <c r="K13" s="19">
        <f t="shared" si="9"/>
        <v>8154.2333138096174</v>
      </c>
      <c r="P13" s="64"/>
      <c r="R13" s="67"/>
      <c r="S13" s="67"/>
    </row>
    <row r="14" spans="2:19" ht="14.25" customHeight="1">
      <c r="P14" s="64"/>
      <c r="R14" s="66"/>
      <c r="S14" s="66"/>
    </row>
    <row r="15" spans="2:19" ht="14.25" customHeight="1">
      <c r="B15" s="2" t="s">
        <v>19</v>
      </c>
      <c r="C15" s="2"/>
      <c r="D15" s="2"/>
      <c r="E15" s="2"/>
      <c r="F15" s="2"/>
      <c r="G15" s="2"/>
      <c r="H15" s="2"/>
      <c r="I15" s="2"/>
      <c r="J15" s="2"/>
      <c r="K15" s="2"/>
    </row>
    <row r="16" spans="2:19" ht="14.25" customHeight="1">
      <c r="B16" s="3" t="s">
        <v>0</v>
      </c>
      <c r="C16" s="56" t="s">
        <v>142</v>
      </c>
      <c r="D16" s="56" t="s">
        <v>93</v>
      </c>
      <c r="E16" s="56" t="s">
        <v>92</v>
      </c>
      <c r="F16" s="56" t="s">
        <v>92</v>
      </c>
      <c r="G16" s="5" t="s">
        <v>94</v>
      </c>
      <c r="H16" s="5" t="s">
        <v>95</v>
      </c>
      <c r="I16" s="5" t="s">
        <v>96</v>
      </c>
      <c r="J16" s="5" t="s">
        <v>97</v>
      </c>
      <c r="K16" s="5" t="s">
        <v>98</v>
      </c>
    </row>
    <row r="17" spans="2:21" ht="14.25" customHeight="1">
      <c r="B17" s="15" t="s">
        <v>1</v>
      </c>
      <c r="C17" s="21">
        <v>18642.73</v>
      </c>
      <c r="D17" s="21">
        <f>'Income Statement'!C7</f>
        <v>23666.73</v>
      </c>
      <c r="E17" s="21">
        <f>'Income Statement'!D7</f>
        <v>29900.560000000001</v>
      </c>
      <c r="F17" s="21">
        <f>'Income Statement'!E7</f>
        <v>23843.96</v>
      </c>
      <c r="G17" s="21">
        <f>'Free Cash Flow'!F4</f>
        <v>26469.425680029635</v>
      </c>
      <c r="H17" s="21">
        <f>'Free Cash Flow'!G4</f>
        <v>31412.734741543281</v>
      </c>
      <c r="I17" s="21">
        <f>'Free Cash Flow'!H4</f>
        <v>36075.417068315066</v>
      </c>
      <c r="J17" s="21">
        <f>'Free Cash Flow'!I4</f>
        <v>41430.194707999486</v>
      </c>
      <c r="K17" s="21">
        <f>'Free Cash Flow'!J4</f>
        <v>48109.034459307673</v>
      </c>
    </row>
    <row r="18" spans="2:21" ht="14.25" customHeight="1">
      <c r="B18" s="15" t="s">
        <v>2</v>
      </c>
      <c r="C18" s="21">
        <f>'Income Statement'!H13</f>
        <v>13576.250000000002</v>
      </c>
      <c r="D18" s="21">
        <f>'Income Statement'!C8</f>
        <v>17852.11</v>
      </c>
      <c r="E18" s="21">
        <f>'Income Statement'!D8</f>
        <v>23861.11</v>
      </c>
      <c r="F18" s="21">
        <f>'Income Statement'!E8</f>
        <v>19658.310000000001</v>
      </c>
      <c r="G18" s="21">
        <f>'Free Cash Flow'!F5</f>
        <v>20970.707502853817</v>
      </c>
      <c r="H18" s="21">
        <f>'Free Cash Flow'!G5</f>
        <v>24887.101068711247</v>
      </c>
      <c r="I18" s="21">
        <f>'Free Cash Flow'!H5</f>
        <v>28581.164870300592</v>
      </c>
      <c r="J18" s="21">
        <f>'Free Cash Flow'!I5</f>
        <v>32823.549158576476</v>
      </c>
      <c r="K18" s="21">
        <f>'Free Cash Flow'!J5</f>
        <v>38114.936911986922</v>
      </c>
    </row>
    <row r="19" spans="2:21" ht="14.25" customHeight="1">
      <c r="B19" s="15"/>
      <c r="C19" s="15"/>
      <c r="D19" s="15"/>
      <c r="E19" s="15"/>
      <c r="F19" s="15"/>
      <c r="G19" s="15"/>
      <c r="H19" s="15"/>
      <c r="I19" s="15"/>
      <c r="J19" s="15"/>
      <c r="K19" s="15"/>
    </row>
    <row r="20" spans="2:21" ht="14.25" customHeight="1">
      <c r="B20" s="15" t="s">
        <v>38</v>
      </c>
      <c r="C20" s="22">
        <f t="shared" ref="C20:F21" si="10">C4/C17*360</f>
        <v>30.043046270583758</v>
      </c>
      <c r="D20" s="22">
        <f t="shared" si="10"/>
        <v>17.126928815260918</v>
      </c>
      <c r="E20" s="22">
        <f t="shared" si="10"/>
        <v>11.906867296130908</v>
      </c>
      <c r="F20" s="22">
        <f t="shared" si="10"/>
        <v>28.633968518652107</v>
      </c>
      <c r="G20" s="22">
        <f>AVERAGE(C20:F20)</f>
        <v>21.927702725156923</v>
      </c>
      <c r="H20" s="22">
        <v>21.927702725156923</v>
      </c>
      <c r="I20" s="22">
        <v>21.927702725156923</v>
      </c>
      <c r="J20" s="22">
        <v>21.927702725156923</v>
      </c>
      <c r="K20" s="22">
        <v>21.927702725156923</v>
      </c>
    </row>
    <row r="21" spans="2:21" ht="14.25" customHeight="1">
      <c r="B21" s="15" t="s">
        <v>39</v>
      </c>
      <c r="C21" s="22">
        <f t="shared" si="10"/>
        <v>52.313591750299231</v>
      </c>
      <c r="D21" s="22">
        <f t="shared" si="10"/>
        <v>61.760027246079041</v>
      </c>
      <c r="E21" s="22">
        <f t="shared" si="10"/>
        <v>56.799503459813899</v>
      </c>
      <c r="F21" s="22">
        <f t="shared" si="10"/>
        <v>55.228124899851508</v>
      </c>
      <c r="G21" s="22">
        <f>AVERAGE(C21:F21)</f>
        <v>56.525311839010918</v>
      </c>
      <c r="H21" s="22">
        <v>56.525311839010918</v>
      </c>
      <c r="I21" s="22">
        <v>56.525311839010918</v>
      </c>
      <c r="J21" s="22">
        <v>56.525311839010918</v>
      </c>
      <c r="K21" s="22">
        <v>56.525311839010918</v>
      </c>
    </row>
    <row r="22" spans="2:21" ht="14.25" customHeight="1">
      <c r="B22" s="15" t="s">
        <v>40</v>
      </c>
      <c r="C22" s="22">
        <f>C9/C18*360</f>
        <v>45.545154221526552</v>
      </c>
      <c r="D22" s="22">
        <f t="shared" ref="D22:F22" si="11">D9/D18*360</f>
        <v>48.588609413677148</v>
      </c>
      <c r="E22" s="22">
        <f t="shared" si="11"/>
        <v>63.423436713547694</v>
      </c>
      <c r="F22" s="22">
        <f t="shared" si="11"/>
        <v>96.119290010178887</v>
      </c>
      <c r="G22" s="22">
        <f>AVERAGE(C22:F22)</f>
        <v>63.419122589732567</v>
      </c>
      <c r="H22" s="22">
        <v>63.419122589732567</v>
      </c>
      <c r="I22" s="22">
        <v>63.419122589732567</v>
      </c>
      <c r="J22" s="22">
        <v>63.419122589732567</v>
      </c>
      <c r="K22" s="22">
        <v>63.419122589732567</v>
      </c>
    </row>
    <row r="23" spans="2:21" ht="14.25" customHeight="1">
      <c r="B23" s="15"/>
      <c r="C23" s="15"/>
      <c r="D23" s="15"/>
      <c r="E23" s="15"/>
      <c r="F23" s="15"/>
      <c r="G23" s="15"/>
      <c r="H23" s="15"/>
      <c r="I23" s="15"/>
      <c r="J23" s="15"/>
      <c r="K23" s="15"/>
    </row>
    <row r="24" spans="2:21" ht="14.25" customHeight="1">
      <c r="B24" s="15" t="s">
        <v>41</v>
      </c>
      <c r="C24" s="16">
        <f>C6/C$17</f>
        <v>2.1075239516959157E-3</v>
      </c>
      <c r="D24" s="16">
        <f t="shared" ref="D24:F24" si="12">D6/D$17</f>
        <v>5.2782957341381762E-3</v>
      </c>
      <c r="E24" s="16">
        <f t="shared" si="12"/>
        <v>5.1273287189270034E-3</v>
      </c>
      <c r="F24" s="16">
        <f t="shared" si="12"/>
        <v>1.6748895737117492E-2</v>
      </c>
      <c r="G24" s="16">
        <f>AVERAGE(C24:F24)</f>
        <v>7.3155110354696466E-3</v>
      </c>
      <c r="H24" s="16">
        <v>7.3155110354696466E-3</v>
      </c>
      <c r="I24" s="16">
        <v>7.3155110354696466E-3</v>
      </c>
      <c r="J24" s="16">
        <v>7.3155110354696466E-3</v>
      </c>
      <c r="K24" s="16">
        <v>7.3155110354696466E-3</v>
      </c>
    </row>
    <row r="25" spans="2:21" ht="14.25" customHeight="1">
      <c r="B25" s="69" t="s">
        <v>169</v>
      </c>
      <c r="C25" s="16">
        <f>C10/C$17</f>
        <v>4.2300671629101529E-3</v>
      </c>
      <c r="D25" s="16">
        <f t="shared" ref="D25:F25" si="13">D10/D$17</f>
        <v>3.7652011917151209E-3</v>
      </c>
      <c r="E25" s="16">
        <f t="shared" si="13"/>
        <v>1.6772261121530832E-3</v>
      </c>
      <c r="F25" s="16">
        <f t="shared" si="13"/>
        <v>2.6228864668452726E-3</v>
      </c>
      <c r="G25" s="16">
        <f t="shared" ref="G25:G28" si="14">AVERAGE(C25:F25)</f>
        <v>3.073845233405907E-3</v>
      </c>
      <c r="H25" s="16">
        <v>3.073845233405907E-3</v>
      </c>
      <c r="I25" s="16">
        <v>3.073845233405907E-3</v>
      </c>
      <c r="J25" s="16">
        <v>3.073845233405907E-3</v>
      </c>
      <c r="K25" s="16">
        <v>3.073845233405907E-3</v>
      </c>
    </row>
    <row r="26" spans="2:21" ht="14.25" customHeight="1">
      <c r="B26" s="69" t="s">
        <v>171</v>
      </c>
      <c r="C26" s="16">
        <f>C7/C$17</f>
        <v>6.946407527223749E-3</v>
      </c>
      <c r="D26" s="16">
        <f t="shared" ref="D26:F26" si="15">D7/D$17</f>
        <v>5.4747740815904861E-3</v>
      </c>
      <c r="E26" s="16">
        <f t="shared" si="15"/>
        <v>4.5624563553324747E-3</v>
      </c>
      <c r="F26" s="16">
        <f t="shared" si="15"/>
        <v>6.5974779357120209E-3</v>
      </c>
      <c r="G26" s="16">
        <f t="shared" si="14"/>
        <v>5.8952789749646822E-3</v>
      </c>
      <c r="H26" s="16">
        <v>5.8952789749646822E-3</v>
      </c>
      <c r="I26" s="16">
        <v>5.8952789749646822E-3</v>
      </c>
      <c r="J26" s="16">
        <v>5.8952789749646822E-3</v>
      </c>
      <c r="K26" s="16">
        <v>5.8952789749646822E-3</v>
      </c>
    </row>
    <row r="27" spans="2:21" ht="14.25" customHeight="1">
      <c r="B27" s="69" t="s">
        <v>170</v>
      </c>
      <c r="C27" s="16">
        <f>C11/C$17</f>
        <v>4.2799525605960072E-3</v>
      </c>
      <c r="D27" s="16">
        <f t="shared" ref="D27:F27" si="16">D11/D$17</f>
        <v>1.5168128423318305E-2</v>
      </c>
      <c r="E27" s="16">
        <f t="shared" si="16"/>
        <v>1.4221472775091839E-2</v>
      </c>
      <c r="F27" s="16">
        <f t="shared" si="16"/>
        <v>1.7833866522171653E-2</v>
      </c>
      <c r="G27" s="16">
        <f t="shared" si="14"/>
        <v>1.2875855070294449E-2</v>
      </c>
      <c r="H27" s="16">
        <v>1.2875855070294449E-2</v>
      </c>
      <c r="I27" s="16">
        <v>1.2875855070294449E-2</v>
      </c>
      <c r="J27" s="16">
        <v>1.2875855070294449E-2</v>
      </c>
      <c r="K27" s="16">
        <v>1.2875855070294449E-2</v>
      </c>
    </row>
    <row r="28" spans="2:21" ht="14.25" customHeight="1">
      <c r="B28" s="15" t="s">
        <v>42</v>
      </c>
      <c r="C28" s="16">
        <f>C12/C$17</f>
        <v>1.9514309331305019E-2</v>
      </c>
      <c r="D28" s="16">
        <f t="shared" ref="D28:F28" si="17">D12/D$17</f>
        <v>1.0454760754865585E-2</v>
      </c>
      <c r="E28" s="16">
        <f t="shared" si="17"/>
        <v>1.2588392993308484E-2</v>
      </c>
      <c r="F28" s="16">
        <f t="shared" si="17"/>
        <v>1.3350550831321643E-2</v>
      </c>
      <c r="G28" s="16">
        <f t="shared" si="14"/>
        <v>1.3977003477700183E-2</v>
      </c>
      <c r="H28" s="16">
        <v>1.3977003477700183E-2</v>
      </c>
      <c r="I28" s="16">
        <v>1.3977003477700183E-2</v>
      </c>
      <c r="J28" s="16">
        <v>1.3977003477700183E-2</v>
      </c>
      <c r="K28" s="16">
        <v>1.3977003477700183E-2</v>
      </c>
    </row>
    <row r="29" spans="2:21" ht="14.25" customHeight="1"/>
    <row r="30" spans="2:21" ht="14.25" customHeight="1">
      <c r="P30" s="64"/>
    </row>
    <row r="31" spans="2:21" ht="14.25" customHeight="1">
      <c r="U31" s="39"/>
    </row>
    <row r="32" spans="2:21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</sheetData>
  <pageMargins left="0.7" right="0.7" top="0.75" bottom="0.75" header="0" footer="0"/>
  <pageSetup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/>
  </sheetPr>
  <dimension ref="B1:K1000"/>
  <sheetViews>
    <sheetView showGridLines="0" workbookViewId="0">
      <selection activeCell="S31" sqref="S31"/>
    </sheetView>
  </sheetViews>
  <sheetFormatPr defaultColWidth="14.42578125" defaultRowHeight="15" customHeight="1"/>
  <cols>
    <col min="1" max="1" width="8.85546875" customWidth="1"/>
    <col min="2" max="2" width="28.5703125" customWidth="1"/>
    <col min="3" max="10" width="9.42578125" customWidth="1"/>
    <col min="11" max="11" width="8.140625" customWidth="1"/>
    <col min="12" max="26" width="8.85546875" customWidth="1"/>
  </cols>
  <sheetData>
    <row r="1" spans="2:11" ht="14.25" customHeight="1"/>
    <row r="2" spans="2:11" ht="14.25" customHeight="1">
      <c r="B2" s="2" t="s">
        <v>238</v>
      </c>
      <c r="C2" s="2"/>
      <c r="D2" s="2"/>
      <c r="E2" s="2"/>
      <c r="F2" s="2"/>
      <c r="G2" s="2"/>
      <c r="H2" s="2"/>
      <c r="I2" s="2"/>
      <c r="J2" s="2"/>
      <c r="K2" s="2"/>
    </row>
    <row r="3" spans="2:11" ht="14.25" customHeight="1">
      <c r="B3" s="3" t="s">
        <v>0</v>
      </c>
      <c r="C3" s="4"/>
      <c r="D3" s="4" t="s">
        <v>93</v>
      </c>
      <c r="E3" s="4" t="s">
        <v>92</v>
      </c>
      <c r="F3" s="4" t="s">
        <v>91</v>
      </c>
      <c r="G3" s="5" t="s">
        <v>94</v>
      </c>
      <c r="H3" s="5" t="s">
        <v>95</v>
      </c>
      <c r="I3" s="5" t="s">
        <v>96</v>
      </c>
      <c r="J3" s="5" t="s">
        <v>97</v>
      </c>
      <c r="K3" s="5" t="s">
        <v>98</v>
      </c>
    </row>
    <row r="4" spans="2:11" ht="14.25" customHeight="1">
      <c r="B4" s="6" t="s">
        <v>18</v>
      </c>
      <c r="C4" s="17"/>
      <c r="D4" s="17">
        <f>'Free Cash Flow'!C21</f>
        <v>3613.8699999999994</v>
      </c>
      <c r="E4" s="17">
        <f>'Free Cash Flow'!D21</f>
        <v>5045.2899999999991</v>
      </c>
      <c r="F4" s="17">
        <f>'Free Cash Flow'!E21</f>
        <v>2404.1799999999994</v>
      </c>
      <c r="G4" s="17">
        <f>'Free Cash Flow'!F21</f>
        <v>1894.4632282682842</v>
      </c>
      <c r="H4" s="17">
        <f>'Free Cash Flow'!G21</f>
        <v>3780.9255698846468</v>
      </c>
      <c r="I4" s="17">
        <f>'Free Cash Flow'!H21</f>
        <v>4423.8336661280227</v>
      </c>
      <c r="J4" s="17">
        <f>'Free Cash Flow'!I21</f>
        <v>5135.3672464664123</v>
      </c>
      <c r="K4" s="17">
        <f>'Free Cash Flow'!J21</f>
        <v>6015.0298155441333</v>
      </c>
    </row>
    <row r="5" spans="2:11" ht="14.25" customHeight="1"/>
    <row r="6" spans="2:11" ht="14.25" customHeight="1">
      <c r="B6" s="6" t="s">
        <v>43</v>
      </c>
      <c r="G6" s="6">
        <v>1</v>
      </c>
      <c r="H6" s="6">
        <v>2</v>
      </c>
      <c r="I6" s="6">
        <v>3</v>
      </c>
      <c r="J6" s="6">
        <v>4</v>
      </c>
      <c r="K6" s="6">
        <v>5</v>
      </c>
    </row>
    <row r="7" spans="2:11" ht="14.25" customHeight="1">
      <c r="B7" s="18" t="s">
        <v>44</v>
      </c>
      <c r="C7" s="18"/>
      <c r="D7" s="18"/>
      <c r="E7" s="18"/>
      <c r="F7" s="18"/>
      <c r="G7" s="19">
        <f>G4/(1+$C$12)^G6</f>
        <v>1742.3285402022243</v>
      </c>
      <c r="H7" s="19">
        <f t="shared" ref="H7:K7" si="0">H4/(1+$C$12)^H6</f>
        <v>3198.0545648564757</v>
      </c>
      <c r="I7" s="19">
        <f t="shared" si="0"/>
        <v>3441.3623363248789</v>
      </c>
      <c r="J7" s="19">
        <f t="shared" si="0"/>
        <v>3674.066303045232</v>
      </c>
      <c r="K7" s="19">
        <f t="shared" si="0"/>
        <v>3957.8300141929008</v>
      </c>
    </row>
    <row r="8" spans="2:11" ht="14.25" customHeight="1"/>
    <row r="9" spans="2:11" ht="14.25" customHeight="1">
      <c r="B9" s="110" t="s">
        <v>45</v>
      </c>
      <c r="C9" s="111"/>
      <c r="E9" s="110" t="s">
        <v>46</v>
      </c>
      <c r="F9" s="112"/>
      <c r="G9" s="112"/>
      <c r="H9" s="112"/>
      <c r="I9" s="112"/>
      <c r="J9" s="112"/>
      <c r="K9" s="111"/>
    </row>
    <row r="10" spans="2:11" ht="14.25" customHeight="1">
      <c r="B10" s="1" t="s">
        <v>47</v>
      </c>
      <c r="C10" s="17">
        <f>SUM(G7:K8)</f>
        <v>16013.641758621712</v>
      </c>
    </row>
    <row r="11" spans="2:11" ht="14.25" customHeight="1">
      <c r="B11" s="1" t="s">
        <v>48</v>
      </c>
      <c r="C11" s="31">
        <v>0.05</v>
      </c>
      <c r="E11" s="1"/>
      <c r="F11" s="1"/>
      <c r="G11" s="110" t="s">
        <v>48</v>
      </c>
      <c r="H11" s="112"/>
      <c r="I11" s="112"/>
      <c r="J11" s="112"/>
      <c r="K11" s="111"/>
    </row>
    <row r="12" spans="2:11" ht="15" customHeight="1">
      <c r="B12" s="1" t="s">
        <v>49</v>
      </c>
      <c r="C12" s="20">
        <f>WACC!C18</f>
        <v>8.7316877704593232E-2</v>
      </c>
      <c r="E12" s="1"/>
      <c r="F12" s="23">
        <f>C21</f>
        <v>764.36074040442088</v>
      </c>
      <c r="G12" s="24">
        <f>H12-0.5%</f>
        <v>4.0000000000000008E-2</v>
      </c>
      <c r="H12" s="24">
        <f>I12-0.5%</f>
        <v>4.5000000000000005E-2</v>
      </c>
      <c r="I12" s="75">
        <v>0.05</v>
      </c>
      <c r="J12" s="24">
        <f>I12+0.5%</f>
        <v>5.5E-2</v>
      </c>
      <c r="K12" s="24">
        <f>J12+0.5%</f>
        <v>0.06</v>
      </c>
    </row>
    <row r="13" spans="2:11" ht="14.25" customHeight="1">
      <c r="B13" s="1" t="s">
        <v>50</v>
      </c>
      <c r="C13" s="17">
        <f>K4*(1+C11)/(C12-C11)</f>
        <v>169247.31367715547</v>
      </c>
      <c r="E13" s="113" t="s">
        <v>49</v>
      </c>
      <c r="F13" s="24">
        <f>F14-0.5%</f>
        <v>7.7316877704593223E-2</v>
      </c>
      <c r="G13" s="23">
        <f t="dataTable" ref="G13:K17" dt2D="1" dtr="1" r1="C11" r2="C12"/>
        <v>794.40877719085086</v>
      </c>
      <c r="H13" s="23">
        <v>913.97708339498433</v>
      </c>
      <c r="I13" s="23">
        <v>1077.3162434635876</v>
      </c>
      <c r="J13" s="23">
        <v>1313.8462693113158</v>
      </c>
      <c r="K13" s="23">
        <v>1686.9655983132668</v>
      </c>
    </row>
    <row r="14" spans="2:11" ht="14.25" customHeight="1">
      <c r="B14" s="1" t="s">
        <v>51</v>
      </c>
      <c r="C14" s="17">
        <f>C13/(1+C12)^K6</f>
        <v>111363.05528559882</v>
      </c>
      <c r="D14" s="17"/>
      <c r="E14" s="114"/>
      <c r="F14" s="24">
        <f>F15-0.5%</f>
        <v>8.2316877704593228E-2</v>
      </c>
      <c r="G14" s="23">
        <v>689.57608139449076</v>
      </c>
      <c r="H14" s="25">
        <v>779.21322047207786</v>
      </c>
      <c r="I14" s="25">
        <v>896.58730242420734</v>
      </c>
      <c r="J14" s="25">
        <v>1056.9289896866587</v>
      </c>
      <c r="K14" s="23">
        <v>1289.1184010729246</v>
      </c>
    </row>
    <row r="15" spans="2:11" ht="14.25" customHeight="1">
      <c r="B15" s="1" t="s">
        <v>52</v>
      </c>
      <c r="C15" s="17">
        <f>C10+C14</f>
        <v>127376.69704422053</v>
      </c>
      <c r="E15" s="114"/>
      <c r="F15" s="75">
        <v>8.7316877704593232E-2</v>
      </c>
      <c r="G15" s="23">
        <v>606.95929144224715</v>
      </c>
      <c r="H15" s="25">
        <v>676.36104010681902</v>
      </c>
      <c r="I15" s="26">
        <v>764.36074040442088</v>
      </c>
      <c r="J15" s="25">
        <v>879.59070134229944</v>
      </c>
      <c r="K15" s="23">
        <v>1037.0033605314145</v>
      </c>
    </row>
    <row r="16" spans="2:11" ht="14.25" customHeight="1">
      <c r="B16" s="12" t="s">
        <v>53</v>
      </c>
      <c r="C16" s="17">
        <f>'Balance Sheet'!F4</f>
        <v>67.319999999999993</v>
      </c>
      <c r="E16" s="114"/>
      <c r="F16" s="24">
        <f>F15+0.5%</f>
        <v>9.2316877704593236E-2</v>
      </c>
      <c r="G16" s="23">
        <v>540.18753594020086</v>
      </c>
      <c r="H16" s="25">
        <v>595.30283310012942</v>
      </c>
      <c r="I16" s="25">
        <v>663.44255459133308</v>
      </c>
      <c r="J16" s="25">
        <v>749.84203565583425</v>
      </c>
      <c r="K16" s="23">
        <v>862.97661218787289</v>
      </c>
    </row>
    <row r="17" spans="2:11" ht="14.25" customHeight="1">
      <c r="B17" s="12" t="s">
        <v>54</v>
      </c>
      <c r="C17" s="17">
        <f>WACC!C4</f>
        <v>9090.4000000000015</v>
      </c>
      <c r="E17" s="115"/>
      <c r="F17" s="24">
        <f>F16+0.5%</f>
        <v>9.7316877704593241E-2</v>
      </c>
      <c r="G17" s="23">
        <v>485.11301103456054</v>
      </c>
      <c r="H17" s="23">
        <v>529.78878120316278</v>
      </c>
      <c r="I17" s="23">
        <v>583.90637685473973</v>
      </c>
      <c r="J17" s="23">
        <v>650.81262766877046</v>
      </c>
      <c r="K17" s="23">
        <v>735.64809843085561</v>
      </c>
    </row>
    <row r="18" spans="2:11" ht="14.25" customHeight="1">
      <c r="B18" s="12" t="s">
        <v>55</v>
      </c>
      <c r="C18" s="17"/>
    </row>
    <row r="19" spans="2:11" ht="14.25" customHeight="1">
      <c r="B19" s="27" t="s">
        <v>56</v>
      </c>
      <c r="C19" s="28">
        <f>C15+C16-C17</f>
        <v>118353.61704422053</v>
      </c>
    </row>
    <row r="20" spans="2:11" ht="14.25" customHeight="1">
      <c r="B20" s="1" t="s">
        <v>239</v>
      </c>
      <c r="C20" s="29">
        <v>154.84</v>
      </c>
    </row>
    <row r="21" spans="2:11" ht="14.25" customHeight="1">
      <c r="B21" s="13" t="s">
        <v>57</v>
      </c>
      <c r="C21" s="30">
        <f>C19/C20</f>
        <v>764.36074040442088</v>
      </c>
    </row>
    <row r="22" spans="2:11" ht="14.25" customHeight="1"/>
    <row r="23" spans="2:11" ht="14.25" customHeight="1"/>
    <row r="24" spans="2:11" ht="14.25" customHeight="1"/>
    <row r="25" spans="2:11" ht="14.25" customHeight="1"/>
    <row r="26" spans="2:11" ht="14.25" customHeight="1"/>
    <row r="27" spans="2:11" ht="14.25" customHeight="1"/>
    <row r="28" spans="2:11" ht="14.25" customHeight="1"/>
    <row r="29" spans="2:11" ht="14.25" customHeight="1"/>
    <row r="30" spans="2:11" ht="14.25" customHeight="1"/>
    <row r="31" spans="2:11" ht="14.25" customHeight="1"/>
    <row r="32" spans="2:11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4">
    <mergeCell ref="B9:C9"/>
    <mergeCell ref="E9:K9"/>
    <mergeCell ref="G11:K11"/>
    <mergeCell ref="E13:E17"/>
  </mergeCells>
  <pageMargins left="0.7" right="0.7" top="0.75" bottom="0.75" header="0" footer="0"/>
  <pageSetup orientation="portrait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FF00"/>
  </sheetPr>
  <dimension ref="B1:C1000"/>
  <sheetViews>
    <sheetView showGridLines="0" tabSelected="1" workbookViewId="0">
      <selection activeCell="J15" sqref="J15"/>
    </sheetView>
  </sheetViews>
  <sheetFormatPr defaultColWidth="14.42578125" defaultRowHeight="15" customHeight="1"/>
  <cols>
    <col min="1" max="1" width="8.85546875" customWidth="1"/>
    <col min="2" max="2" width="37.140625" customWidth="1"/>
    <col min="3" max="26" width="8.85546875" customWidth="1"/>
  </cols>
  <sheetData>
    <row r="1" spans="2:3" ht="14.25" customHeight="1"/>
    <row r="2" spans="2:3" ht="14.25" customHeight="1">
      <c r="B2" s="110" t="s">
        <v>58</v>
      </c>
      <c r="C2" s="111"/>
    </row>
    <row r="3" spans="2:3" ht="14.25" customHeight="1">
      <c r="B3" s="1" t="s">
        <v>240</v>
      </c>
      <c r="C3" s="71">
        <f>'Balance Sheet'!F50</f>
        <v>13926</v>
      </c>
    </row>
    <row r="4" spans="2:3" ht="14.25" customHeight="1">
      <c r="B4" s="1" t="s">
        <v>241</v>
      </c>
      <c r="C4" s="71">
        <f>SUM('Balance Sheet'!F37:F41)</f>
        <v>9090.4000000000015</v>
      </c>
    </row>
    <row r="5" spans="2:3" ht="14.25" customHeight="1">
      <c r="B5" s="1"/>
      <c r="C5" s="1"/>
    </row>
    <row r="6" spans="2:3" ht="14.25" customHeight="1">
      <c r="B6" s="1" t="s">
        <v>59</v>
      </c>
      <c r="C6" s="20">
        <f>'Income Statement'!E15/WACC!C4</f>
        <v>5.2703951421279576E-3</v>
      </c>
    </row>
    <row r="7" spans="2:3" ht="14.25" customHeight="1">
      <c r="B7" s="1" t="s">
        <v>60</v>
      </c>
      <c r="C7" s="31">
        <v>0.25</v>
      </c>
    </row>
    <row r="8" spans="2:3" ht="14.25" customHeight="1">
      <c r="B8" s="1" t="s">
        <v>61</v>
      </c>
      <c r="C8" s="20">
        <f>C4/SUM(C3:C4)</f>
        <v>0.39495316383100748</v>
      </c>
    </row>
    <row r="9" spans="2:3" ht="14.25" customHeight="1">
      <c r="B9" s="18" t="s">
        <v>62</v>
      </c>
      <c r="C9" s="32">
        <f>C6*(1-C7)</f>
        <v>3.9527963565959678E-3</v>
      </c>
    </row>
    <row r="10" spans="2:3" ht="14.25" customHeight="1">
      <c r="B10" s="10"/>
      <c r="C10" s="33"/>
    </row>
    <row r="11" spans="2:3" ht="14.25" customHeight="1">
      <c r="B11" s="1" t="s">
        <v>63</v>
      </c>
      <c r="C11" s="31">
        <v>6.9220000000000004E-2</v>
      </c>
    </row>
    <row r="12" spans="2:3" ht="14.25" customHeight="1">
      <c r="B12" s="1" t="s">
        <v>64</v>
      </c>
      <c r="C12" s="31">
        <v>0.125</v>
      </c>
    </row>
    <row r="13" spans="2:3" ht="14.25" customHeight="1">
      <c r="B13" s="1" t="s">
        <v>65</v>
      </c>
      <c r="C13" s="20">
        <f>C12-C11</f>
        <v>5.5779999999999996E-2</v>
      </c>
    </row>
    <row r="14" spans="2:3" ht="14.25" customHeight="1">
      <c r="B14" s="1" t="s">
        <v>66</v>
      </c>
      <c r="C14" s="34">
        <v>1.3</v>
      </c>
    </row>
    <row r="15" spans="2:3" ht="14.25" customHeight="1">
      <c r="B15" s="1" t="s">
        <v>67</v>
      </c>
      <c r="C15" s="20">
        <f>C3/SUM(C3:C4)</f>
        <v>0.60504683616899246</v>
      </c>
    </row>
    <row r="16" spans="2:3" ht="14.25" customHeight="1">
      <c r="B16" s="18" t="s">
        <v>68</v>
      </c>
      <c r="C16" s="32">
        <f>C11+C14*C13</f>
        <v>0.141734</v>
      </c>
    </row>
    <row r="17" spans="2:3" ht="14.25" customHeight="1">
      <c r="B17" s="1"/>
      <c r="C17" s="1"/>
    </row>
    <row r="18" spans="2:3" ht="14.25" customHeight="1">
      <c r="B18" s="13" t="s">
        <v>49</v>
      </c>
      <c r="C18" s="35">
        <f>C9*C8+C16*C15</f>
        <v>8.7316877704593232E-2</v>
      </c>
    </row>
    <row r="19" spans="2:3" ht="14.25" customHeight="1"/>
    <row r="20" spans="2:3" ht="14.25" customHeight="1"/>
    <row r="21" spans="2:3" ht="14.25" customHeight="1"/>
    <row r="22" spans="2:3" ht="14.25" customHeight="1"/>
    <row r="23" spans="2:3" ht="14.25" customHeight="1"/>
    <row r="24" spans="2:3" ht="14.25" customHeight="1"/>
    <row r="25" spans="2:3" ht="14.25" customHeight="1"/>
    <row r="26" spans="2:3" ht="14.25" customHeight="1"/>
    <row r="27" spans="2:3" ht="14.25" customHeight="1"/>
    <row r="28" spans="2:3" ht="14.25" customHeight="1"/>
    <row r="29" spans="2:3" ht="14.25" customHeight="1"/>
    <row r="30" spans="2:3" ht="14.25" customHeight="1"/>
    <row r="31" spans="2:3" ht="14.25" customHeight="1"/>
    <row r="32" spans="2:3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1">
    <mergeCell ref="B2:C2"/>
  </mergeCells>
  <pageMargins left="0.7" right="0.7" top="0.75" bottom="0.75" header="0" footer="0"/>
  <pageSetup orientation="landscape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/>
  </sheetPr>
  <dimension ref="A1:A1000"/>
  <sheetViews>
    <sheetView workbookViewId="0"/>
  </sheetViews>
  <sheetFormatPr defaultColWidth="14.42578125" defaultRowHeight="15" customHeight="1"/>
  <cols>
    <col min="1" max="26" width="8.85546875" customWidth="1"/>
  </cols>
  <sheetData>
    <row r="1" ht="14.25" customHeight="1"/>
    <row r="2" ht="14.25" customHeight="1"/>
    <row r="3" ht="14.25" customHeight="1"/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B1:M1006"/>
  <sheetViews>
    <sheetView workbookViewId="0">
      <selection activeCell="D33" sqref="D33"/>
    </sheetView>
  </sheetViews>
  <sheetFormatPr defaultColWidth="14.42578125" defaultRowHeight="15" customHeight="1"/>
  <cols>
    <col min="1" max="1" width="21.5703125" bestFit="1" customWidth="1"/>
    <col min="2" max="2" width="71.7109375" bestFit="1" customWidth="1"/>
    <col min="3" max="5" width="10.7109375" bestFit="1" customWidth="1"/>
    <col min="6" max="6" width="15.42578125" customWidth="1"/>
    <col min="7" max="7" width="51.140625" customWidth="1"/>
    <col min="8" max="8" width="18.85546875" bestFit="1" customWidth="1"/>
    <col min="9" max="11" width="10.7109375" bestFit="1" customWidth="1"/>
    <col min="12" max="26" width="8.85546875" customWidth="1"/>
  </cols>
  <sheetData>
    <row r="1" spans="2:11" ht="14.25" customHeight="1"/>
    <row r="2" spans="2:11" ht="14.25" customHeight="1">
      <c r="B2" s="118" t="s">
        <v>109</v>
      </c>
      <c r="C2" s="118"/>
      <c r="D2" s="118"/>
      <c r="E2" s="118"/>
      <c r="G2" s="117" t="s">
        <v>110</v>
      </c>
      <c r="H2" s="117"/>
      <c r="I2" s="117"/>
      <c r="J2" s="117"/>
      <c r="K2" s="117"/>
    </row>
    <row r="3" spans="2:11" ht="14.25" customHeight="1">
      <c r="C3" s="36">
        <v>44651</v>
      </c>
      <c r="D3" s="36">
        <v>45016</v>
      </c>
      <c r="E3" s="36">
        <v>45382</v>
      </c>
      <c r="G3" s="46"/>
      <c r="H3" s="61">
        <v>44286</v>
      </c>
      <c r="I3" s="36">
        <v>44651</v>
      </c>
      <c r="J3" s="36">
        <v>45016</v>
      </c>
      <c r="K3" s="36">
        <v>45382</v>
      </c>
    </row>
    <row r="4" spans="2:11" ht="14.25" customHeight="1">
      <c r="B4" s="41" t="s">
        <v>69</v>
      </c>
      <c r="G4" s="40" t="s">
        <v>82</v>
      </c>
      <c r="H4" s="57">
        <v>7795.42</v>
      </c>
      <c r="I4" s="48">
        <v>12441.82</v>
      </c>
      <c r="J4" s="48">
        <v>20267.88</v>
      </c>
      <c r="K4" s="48">
        <v>15093.64</v>
      </c>
    </row>
    <row r="5" spans="2:11" ht="14.25" customHeight="1">
      <c r="B5" s="40" t="s">
        <v>88</v>
      </c>
      <c r="C5" s="48">
        <v>23547.01</v>
      </c>
      <c r="D5" s="48">
        <v>29785.599999999999</v>
      </c>
      <c r="E5" s="48">
        <v>23730.61</v>
      </c>
      <c r="G5" s="40" t="s">
        <v>83</v>
      </c>
      <c r="H5" s="59">
        <v>416.24</v>
      </c>
      <c r="I5" s="48">
        <v>1021.63</v>
      </c>
      <c r="J5" s="48">
        <v>524.11</v>
      </c>
      <c r="K5" s="48">
        <v>544.03</v>
      </c>
    </row>
    <row r="6" spans="2:11" ht="43.5" customHeight="1">
      <c r="B6" s="40" t="s">
        <v>89</v>
      </c>
      <c r="C6" s="48">
        <v>119.72</v>
      </c>
      <c r="D6" s="48">
        <v>114.96</v>
      </c>
      <c r="E6" s="48">
        <v>113.35</v>
      </c>
      <c r="G6" s="50" t="s">
        <v>84</v>
      </c>
      <c r="H6" s="59">
        <v>-222.23</v>
      </c>
      <c r="I6" s="52">
        <v>-453.29</v>
      </c>
      <c r="J6" s="47">
        <v>-1027.9000000000001</v>
      </c>
      <c r="K6" s="52">
        <v>685.61</v>
      </c>
    </row>
    <row r="7" spans="2:11" ht="14.25" customHeight="1">
      <c r="B7" s="6" t="s">
        <v>70</v>
      </c>
      <c r="C7" s="48">
        <v>23666.73</v>
      </c>
      <c r="D7" s="48">
        <v>29900.560000000001</v>
      </c>
      <c r="E7" s="48">
        <v>23843.96</v>
      </c>
      <c r="G7" s="51" t="s">
        <v>111</v>
      </c>
      <c r="H7" s="59">
        <v>196.88</v>
      </c>
      <c r="I7" s="43">
        <v>175.19</v>
      </c>
      <c r="J7" s="43">
        <v>175.72</v>
      </c>
      <c r="K7" s="43">
        <v>85.9</v>
      </c>
    </row>
    <row r="8" spans="2:11" ht="14.25" customHeight="1">
      <c r="B8" s="52" t="s">
        <v>139</v>
      </c>
      <c r="C8" s="48">
        <v>17852.11</v>
      </c>
      <c r="D8" s="48">
        <v>23861.11</v>
      </c>
      <c r="E8" s="48">
        <v>19658.310000000001</v>
      </c>
      <c r="G8" s="51" t="s">
        <v>112</v>
      </c>
      <c r="H8" s="59">
        <v>182.9</v>
      </c>
      <c r="I8" s="43">
        <v>183.79</v>
      </c>
      <c r="J8" s="43">
        <v>230.17</v>
      </c>
      <c r="K8" s="43">
        <v>175.22</v>
      </c>
    </row>
    <row r="9" spans="2:11" ht="14.25" customHeight="1">
      <c r="B9" s="41" t="s">
        <v>71</v>
      </c>
      <c r="G9" s="51" t="s">
        <v>113</v>
      </c>
      <c r="H9" s="59">
        <v>139.51</v>
      </c>
      <c r="I9" s="43">
        <v>173.7</v>
      </c>
      <c r="J9" s="43">
        <v>175</v>
      </c>
      <c r="K9" s="43">
        <v>178.76</v>
      </c>
    </row>
    <row r="10" spans="2:11" ht="14.25" customHeight="1">
      <c r="B10" s="40" t="s">
        <v>85</v>
      </c>
      <c r="C10" s="48">
        <v>351.68</v>
      </c>
      <c r="D10" s="48">
        <v>388.79</v>
      </c>
      <c r="E10" s="48">
        <v>425.89</v>
      </c>
      <c r="G10" s="51" t="s">
        <v>114</v>
      </c>
      <c r="H10" s="59">
        <v>173.66</v>
      </c>
      <c r="I10" s="43">
        <v>174.86</v>
      </c>
      <c r="J10" s="43">
        <v>416.34</v>
      </c>
      <c r="K10" s="43">
        <v>420.22</v>
      </c>
    </row>
    <row r="11" spans="2:11" ht="14.25" customHeight="1">
      <c r="B11" s="51" t="s">
        <v>140</v>
      </c>
      <c r="C11" s="48">
        <v>290.63</v>
      </c>
      <c r="D11" s="48">
        <v>331.17</v>
      </c>
      <c r="E11" s="48">
        <v>363.32</v>
      </c>
      <c r="G11" s="51" t="s">
        <v>115</v>
      </c>
      <c r="H11" s="59">
        <v>25.79</v>
      </c>
      <c r="I11" s="43">
        <v>29.09</v>
      </c>
      <c r="J11" s="43">
        <v>45.89</v>
      </c>
      <c r="K11" s="43">
        <v>42.55</v>
      </c>
    </row>
    <row r="12" spans="2:11" ht="14.25" customHeight="1">
      <c r="G12" s="51" t="s">
        <v>133</v>
      </c>
      <c r="H12" s="57">
        <v>4868.08</v>
      </c>
      <c r="I12" s="48">
        <v>4105.32</v>
      </c>
      <c r="J12" s="39">
        <v>3053.9</v>
      </c>
      <c r="K12" s="39">
        <v>2432.38</v>
      </c>
    </row>
    <row r="13" spans="2:11" ht="14.25" customHeight="1">
      <c r="G13" s="44" t="s">
        <v>2</v>
      </c>
      <c r="H13" s="55">
        <f>SUM(H4:H12)</f>
        <v>13576.250000000002</v>
      </c>
      <c r="I13" s="54">
        <f>SUM(I4:I12)</f>
        <v>17852.11</v>
      </c>
      <c r="J13" s="54">
        <f>SUM(J4:J12)</f>
        <v>23861.11</v>
      </c>
      <c r="K13" s="54">
        <f>SUM(K4:K12)</f>
        <v>19658.310000000001</v>
      </c>
    </row>
    <row r="14" spans="2:11" ht="14.25" customHeight="1">
      <c r="B14" s="40" t="s">
        <v>87</v>
      </c>
      <c r="C14" s="48">
        <v>320.52</v>
      </c>
      <c r="D14" s="48">
        <v>353.85</v>
      </c>
      <c r="E14" s="48">
        <v>433.32</v>
      </c>
    </row>
    <row r="15" spans="2:11" ht="14.25" customHeight="1">
      <c r="B15" s="40" t="s">
        <v>86</v>
      </c>
      <c r="C15" s="48">
        <v>3.92</v>
      </c>
      <c r="D15" s="48">
        <v>12.41</v>
      </c>
      <c r="E15" s="48">
        <v>47.91</v>
      </c>
    </row>
    <row r="16" spans="2:11" ht="14.25" customHeight="1">
      <c r="B16" t="s">
        <v>99</v>
      </c>
      <c r="C16" s="38"/>
      <c r="D16" s="38"/>
      <c r="E16" s="38">
        <v>2.84</v>
      </c>
    </row>
    <row r="17" spans="2:13" ht="14.25" customHeight="1">
      <c r="B17" s="41" t="s">
        <v>72</v>
      </c>
      <c r="C17" s="38">
        <v>4847.8500000000004</v>
      </c>
      <c r="D17" s="38">
        <v>4953.2299999999996</v>
      </c>
      <c r="E17" s="38">
        <v>2912.37</v>
      </c>
    </row>
    <row r="18" spans="2:13" ht="14.25" customHeight="1">
      <c r="B18" s="77" t="s">
        <v>101</v>
      </c>
      <c r="C18" s="38">
        <v>1296.43</v>
      </c>
      <c r="D18" s="49">
        <v>1269.33</v>
      </c>
      <c r="E18" s="49">
        <v>736</v>
      </c>
      <c r="F18" s="43"/>
      <c r="G18" s="116" t="s">
        <v>141</v>
      </c>
      <c r="H18" s="116"/>
      <c r="I18" s="116"/>
      <c r="J18" s="116"/>
    </row>
    <row r="19" spans="2:13" ht="14.25" customHeight="1">
      <c r="B19" s="77" t="s">
        <v>102</v>
      </c>
      <c r="C19" s="38">
        <v>-10.14</v>
      </c>
      <c r="D19" s="49">
        <v>-18.89</v>
      </c>
      <c r="E19" s="49">
        <v>16.260000000000002</v>
      </c>
      <c r="F19" s="43"/>
      <c r="H19" s="36">
        <v>44651</v>
      </c>
      <c r="I19" s="36">
        <v>45016</v>
      </c>
      <c r="J19" s="36">
        <v>45382</v>
      </c>
      <c r="K19" s="43"/>
      <c r="L19" s="43"/>
      <c r="M19" s="43"/>
    </row>
    <row r="20" spans="2:13" ht="14.25" customHeight="1">
      <c r="B20" s="77" t="s">
        <v>100</v>
      </c>
      <c r="C20" s="38">
        <v>1286.29</v>
      </c>
      <c r="D20" s="49">
        <v>1250.44</v>
      </c>
      <c r="E20" s="49">
        <v>752.26</v>
      </c>
      <c r="F20" s="43"/>
      <c r="G20" s="43" t="s">
        <v>116</v>
      </c>
      <c r="H20" s="43">
        <v>4.93</v>
      </c>
      <c r="I20" s="43">
        <v>2.37</v>
      </c>
      <c r="J20" s="43">
        <v>8.76</v>
      </c>
      <c r="K20" s="43"/>
      <c r="L20" s="43"/>
      <c r="M20" s="43"/>
    </row>
    <row r="21" spans="2:13" ht="14.25" customHeight="1">
      <c r="B21" s="42" t="s">
        <v>235</v>
      </c>
      <c r="C21" s="38">
        <v>3561.56</v>
      </c>
      <c r="D21" s="49">
        <v>2160.11</v>
      </c>
      <c r="E21" s="49">
        <v>3702.79</v>
      </c>
      <c r="G21" s="43" t="s">
        <v>118</v>
      </c>
      <c r="H21" s="43">
        <v>74.150000000000006</v>
      </c>
      <c r="I21" s="43">
        <v>64.12</v>
      </c>
      <c r="J21" s="43">
        <v>85.97</v>
      </c>
      <c r="K21" s="43"/>
      <c r="L21" s="45"/>
      <c r="M21" s="45"/>
    </row>
    <row r="22" spans="2:13" ht="14.25" customHeight="1">
      <c r="B22" s="77" t="s">
        <v>103</v>
      </c>
      <c r="C22" s="49"/>
      <c r="D22" s="49"/>
      <c r="E22" s="49"/>
      <c r="G22" s="43" t="s">
        <v>119</v>
      </c>
      <c r="H22" s="43">
        <v>6.11</v>
      </c>
      <c r="I22" s="43">
        <v>5.21</v>
      </c>
      <c r="J22" s="43">
        <v>2.0299999999999998</v>
      </c>
      <c r="K22" s="43"/>
      <c r="L22" s="43"/>
      <c r="M22" s="43"/>
    </row>
    <row r="23" spans="2:13" ht="14.25" customHeight="1">
      <c r="B23" s="77" t="s">
        <v>104</v>
      </c>
      <c r="C23" s="49">
        <v>-45.28</v>
      </c>
      <c r="D23" s="49">
        <v>47.73</v>
      </c>
      <c r="E23" s="49">
        <v>-6.64</v>
      </c>
      <c r="G23" s="43" t="s">
        <v>120</v>
      </c>
      <c r="H23" t="s">
        <v>121</v>
      </c>
      <c r="I23" s="43">
        <v>4.3899999999999997</v>
      </c>
      <c r="J23" s="43" t="s">
        <v>121</v>
      </c>
      <c r="K23" s="43"/>
      <c r="L23" s="43"/>
      <c r="M23" s="43"/>
    </row>
    <row r="24" spans="2:13" ht="14.25" customHeight="1">
      <c r="B24" s="77" t="s">
        <v>105</v>
      </c>
      <c r="C24" s="49">
        <v>11.4</v>
      </c>
      <c r="D24" s="49">
        <v>-12.01</v>
      </c>
      <c r="E24" s="49">
        <v>1.67</v>
      </c>
      <c r="G24" s="43" t="s">
        <v>122</v>
      </c>
      <c r="H24" s="43">
        <v>5</v>
      </c>
      <c r="I24" s="43">
        <v>2.5</v>
      </c>
      <c r="J24" s="43">
        <v>0.1</v>
      </c>
    </row>
    <row r="25" spans="2:13" ht="14.25" customHeight="1">
      <c r="B25" s="77" t="s">
        <v>107</v>
      </c>
      <c r="C25" s="49">
        <v>-33.89</v>
      </c>
      <c r="D25" s="49">
        <v>35.72</v>
      </c>
      <c r="E25" s="49">
        <v>-4.97</v>
      </c>
      <c r="G25" s="43" t="s">
        <v>123</v>
      </c>
      <c r="H25" s="43">
        <f>118.87+3.31</f>
        <v>122.18</v>
      </c>
      <c r="I25" s="43">
        <v>146.75</v>
      </c>
      <c r="J25" s="43">
        <v>141.07</v>
      </c>
    </row>
    <row r="26" spans="2:13" ht="14.25" customHeight="1">
      <c r="B26" s="77" t="s">
        <v>108</v>
      </c>
      <c r="C26" s="49">
        <v>3527.67</v>
      </c>
      <c r="D26" s="49">
        <v>3738.51</v>
      </c>
      <c r="E26" s="49">
        <v>2155.14</v>
      </c>
      <c r="G26" s="43" t="s">
        <v>125</v>
      </c>
      <c r="H26" s="43">
        <v>1.41</v>
      </c>
      <c r="I26" s="43">
        <v>1.42</v>
      </c>
      <c r="J26" s="43">
        <v>3.66</v>
      </c>
    </row>
    <row r="27" spans="2:13" ht="14.25" customHeight="1">
      <c r="B27" s="77" t="s">
        <v>106</v>
      </c>
      <c r="C27" s="49">
        <v>24.21</v>
      </c>
      <c r="D27" s="49">
        <v>25.17</v>
      </c>
      <c r="E27" s="49">
        <v>13.95</v>
      </c>
      <c r="G27" s="43" t="s">
        <v>126</v>
      </c>
      <c r="H27" s="43">
        <v>38.54</v>
      </c>
      <c r="I27" s="43">
        <v>48.88</v>
      </c>
      <c r="J27" s="43">
        <v>54.99</v>
      </c>
    </row>
    <row r="28" spans="2:13" ht="14.25" customHeight="1">
      <c r="D28" s="23"/>
      <c r="E28" s="23"/>
      <c r="F28" s="23"/>
      <c r="G28" s="43" t="s">
        <v>127</v>
      </c>
      <c r="H28" s="43">
        <v>2.13</v>
      </c>
      <c r="I28" s="43">
        <v>1.06</v>
      </c>
      <c r="J28" s="43">
        <v>2.44</v>
      </c>
    </row>
    <row r="29" spans="2:13" ht="14.25" customHeight="1">
      <c r="D29" s="17"/>
      <c r="E29" s="17"/>
      <c r="F29" s="17"/>
      <c r="G29" s="43" t="s">
        <v>128</v>
      </c>
      <c r="H29" s="43">
        <v>0.52</v>
      </c>
      <c r="I29" s="43">
        <v>0.65</v>
      </c>
      <c r="J29" s="43">
        <v>0.14000000000000001</v>
      </c>
    </row>
    <row r="30" spans="2:13" ht="14.25" customHeight="1">
      <c r="D30" s="17"/>
      <c r="E30" s="17"/>
      <c r="F30" s="17"/>
      <c r="G30" s="43" t="s">
        <v>129</v>
      </c>
      <c r="H30" s="43">
        <v>13.67</v>
      </c>
      <c r="I30" s="43">
        <v>15.29</v>
      </c>
      <c r="J30" s="43">
        <v>15.79</v>
      </c>
    </row>
    <row r="31" spans="2:13" ht="14.25" customHeight="1">
      <c r="B31" s="42"/>
      <c r="D31" s="17"/>
      <c r="E31" s="17"/>
      <c r="F31" s="17"/>
      <c r="G31" s="43" t="s">
        <v>117</v>
      </c>
      <c r="H31" t="s">
        <v>121</v>
      </c>
      <c r="I31" s="43">
        <v>10.44</v>
      </c>
      <c r="J31" s="43">
        <v>14.19</v>
      </c>
    </row>
    <row r="32" spans="2:13" ht="14.25" customHeight="1">
      <c r="D32" s="17"/>
      <c r="E32" s="17"/>
      <c r="F32" s="17"/>
      <c r="G32" s="43" t="s">
        <v>130</v>
      </c>
      <c r="H32" s="43">
        <v>1.65</v>
      </c>
      <c r="I32" s="43">
        <v>1.81</v>
      </c>
      <c r="J32" s="43">
        <v>1.82</v>
      </c>
    </row>
    <row r="33" spans="2:10" ht="14.25" customHeight="1">
      <c r="D33" s="17"/>
      <c r="E33" s="17"/>
      <c r="F33" s="17"/>
      <c r="G33" s="43" t="s">
        <v>131</v>
      </c>
      <c r="H33" s="43">
        <v>20.18</v>
      </c>
      <c r="I33" s="43">
        <v>25.97</v>
      </c>
      <c r="J33" s="43">
        <v>32.04</v>
      </c>
    </row>
    <row r="34" spans="2:10" ht="14.25" customHeight="1">
      <c r="D34" s="17"/>
      <c r="E34" s="17"/>
      <c r="F34" s="17"/>
      <c r="G34" s="51" t="s">
        <v>132</v>
      </c>
      <c r="H34" s="43">
        <v>0.16</v>
      </c>
      <c r="I34" s="43">
        <v>0.31</v>
      </c>
      <c r="J34" s="43">
        <v>0.32</v>
      </c>
    </row>
    <row r="35" spans="2:10" ht="14.25" customHeight="1">
      <c r="D35" s="17"/>
      <c r="E35" s="17"/>
      <c r="F35" s="17"/>
      <c r="G35" s="44" t="s">
        <v>134</v>
      </c>
      <c r="H35" s="42">
        <f>SUM(H20:H34)</f>
        <v>290.63</v>
      </c>
      <c r="I35" s="42">
        <f t="shared" ref="I35:J35" si="0">SUM(I20:I34)</f>
        <v>331.17</v>
      </c>
      <c r="J35" s="42">
        <f t="shared" si="0"/>
        <v>363.32</v>
      </c>
    </row>
    <row r="36" spans="2:10" ht="14.25" customHeight="1"/>
    <row r="37" spans="2:10" ht="14.25" customHeight="1"/>
    <row r="38" spans="2:10" ht="14.25" customHeight="1"/>
    <row r="39" spans="2:10" ht="14.25" customHeight="1">
      <c r="B39" s="44"/>
      <c r="C39" s="43"/>
    </row>
    <row r="40" spans="2:10" ht="14.25" customHeight="1">
      <c r="B40" s="44"/>
      <c r="C40" s="43"/>
    </row>
    <row r="41" spans="2:10" ht="14.25" customHeight="1">
      <c r="B41" s="44"/>
      <c r="C41" s="43"/>
    </row>
    <row r="42" spans="2:10" ht="14.25" customHeight="1">
      <c r="B42" s="43"/>
      <c r="C42" s="43"/>
    </row>
    <row r="43" spans="2:10" ht="14.25" customHeight="1">
      <c r="B43" s="44"/>
      <c r="C43" s="43"/>
    </row>
    <row r="44" spans="2:10" ht="14.25" customHeight="1"/>
    <row r="45" spans="2:10" ht="14.25" customHeight="1">
      <c r="G45" s="44"/>
    </row>
    <row r="46" spans="2:10" ht="14.25" customHeight="1"/>
    <row r="47" spans="2:10" ht="14.25" customHeight="1">
      <c r="B47" s="44" t="s">
        <v>124</v>
      </c>
      <c r="C47" s="43"/>
      <c r="D47" s="43"/>
    </row>
    <row r="48" spans="2:10" ht="14.25" customHeight="1">
      <c r="B48" s="43" t="s">
        <v>125</v>
      </c>
      <c r="C48" s="43"/>
    </row>
    <row r="49" spans="2:4" ht="14.25" customHeight="1">
      <c r="B49" s="43" t="s">
        <v>126</v>
      </c>
      <c r="C49" s="43"/>
    </row>
    <row r="50" spans="2:4" ht="14.25" customHeight="1">
      <c r="B50" s="43" t="s">
        <v>127</v>
      </c>
      <c r="C50" s="43"/>
    </row>
    <row r="51" spans="2:4" ht="14.25" customHeight="1">
      <c r="B51" s="43" t="s">
        <v>128</v>
      </c>
      <c r="C51" s="43"/>
    </row>
    <row r="52" spans="2:4" ht="14.25" customHeight="1">
      <c r="B52" s="43" t="s">
        <v>129</v>
      </c>
      <c r="C52" s="43"/>
    </row>
    <row r="53" spans="2:4" ht="14.25" customHeight="1">
      <c r="B53" s="43" t="s">
        <v>130</v>
      </c>
      <c r="C53" s="43"/>
    </row>
    <row r="54" spans="2:4" ht="14.25" customHeight="1">
      <c r="B54" s="43" t="s">
        <v>131</v>
      </c>
      <c r="C54" s="43"/>
    </row>
    <row r="55" spans="2:4" ht="14.25" customHeight="1">
      <c r="B55" s="44" t="s">
        <v>132</v>
      </c>
      <c r="C55" s="43"/>
    </row>
    <row r="56" spans="2:4" ht="14.25" customHeight="1">
      <c r="B56" s="43" t="s">
        <v>135</v>
      </c>
      <c r="C56" s="43"/>
    </row>
    <row r="57" spans="2:4" ht="14.25" customHeight="1">
      <c r="B57" s="43" t="s">
        <v>117</v>
      </c>
      <c r="C57" s="43"/>
      <c r="D57" s="43" t="s">
        <v>121</v>
      </c>
    </row>
    <row r="58" spans="2:4" ht="14.25" customHeight="1">
      <c r="B58" s="43" t="s">
        <v>118</v>
      </c>
      <c r="C58" s="43"/>
    </row>
    <row r="59" spans="2:4" ht="14.25" customHeight="1">
      <c r="B59" s="43" t="s">
        <v>136</v>
      </c>
      <c r="C59" s="43"/>
      <c r="D59" s="43">
        <v>2.83</v>
      </c>
    </row>
    <row r="60" spans="2:4" ht="14.25" customHeight="1">
      <c r="B60" s="43" t="s">
        <v>119</v>
      </c>
      <c r="C60" s="43"/>
    </row>
    <row r="61" spans="2:4" ht="14.25" customHeight="1">
      <c r="B61" s="43" t="s">
        <v>137</v>
      </c>
      <c r="C61" s="43"/>
      <c r="D61" s="43">
        <v>0.47</v>
      </c>
    </row>
    <row r="62" spans="2:4" ht="14.25" customHeight="1">
      <c r="B62" s="43" t="s">
        <v>138</v>
      </c>
      <c r="C62" s="43"/>
      <c r="D62" s="43">
        <v>0.01</v>
      </c>
    </row>
    <row r="63" spans="2:4" ht="14.25" customHeight="1">
      <c r="B63" s="43" t="s">
        <v>120</v>
      </c>
      <c r="C63" s="43"/>
      <c r="D63" s="43" t="s">
        <v>121</v>
      </c>
    </row>
    <row r="64" spans="2:4" ht="14.25" customHeight="1">
      <c r="B64" s="43" t="s">
        <v>122</v>
      </c>
      <c r="C64" s="43"/>
    </row>
    <row r="65" spans="2:4" ht="14.25" customHeight="1">
      <c r="B65" s="43" t="s">
        <v>123</v>
      </c>
      <c r="C65" s="43"/>
    </row>
    <row r="66" spans="2:4" ht="14.25" customHeight="1">
      <c r="D66">
        <f>SUM(D59:D65)</f>
        <v>3.3099999999999996</v>
      </c>
    </row>
    <row r="67" spans="2:4" ht="14.25" customHeight="1"/>
    <row r="68" spans="2:4" ht="14.25" customHeight="1"/>
    <row r="69" spans="2:4" ht="14.25" customHeight="1"/>
    <row r="70" spans="2:4" ht="14.25" customHeight="1">
      <c r="B70" s="44"/>
      <c r="C70" s="53"/>
      <c r="D70" s="53"/>
    </row>
    <row r="71" spans="2:4" ht="14.25" customHeight="1"/>
    <row r="72" spans="2:4" ht="14.25" customHeight="1"/>
    <row r="73" spans="2:4" ht="14.25" customHeight="1"/>
    <row r="74" spans="2:4" ht="14.25" customHeight="1"/>
    <row r="75" spans="2:4" ht="14.25" customHeight="1"/>
    <row r="76" spans="2:4" ht="14.25" customHeight="1"/>
    <row r="77" spans="2:4" ht="14.25" customHeight="1"/>
    <row r="78" spans="2:4" ht="14.25" customHeight="1"/>
    <row r="79" spans="2:4" ht="14.25" customHeight="1"/>
    <row r="80" spans="2:4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  <row r="1002" ht="14.25" customHeight="1"/>
    <row r="1003" ht="14.25" customHeight="1"/>
    <row r="1004" ht="14.25" customHeight="1"/>
    <row r="1005" ht="14.25" customHeight="1"/>
    <row r="1006" ht="14.25" customHeight="1"/>
  </sheetData>
  <mergeCells count="3">
    <mergeCell ref="G18:J18"/>
    <mergeCell ref="G2:K2"/>
    <mergeCell ref="B2:E2"/>
  </mergeCells>
  <pageMargins left="0.7" right="0.7" top="0.75" bottom="0.75" header="0" footer="0"/>
  <pageSetup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B1:S1012"/>
  <sheetViews>
    <sheetView topLeftCell="B1" zoomScale="85" zoomScaleNormal="85" workbookViewId="0">
      <selection activeCell="J39" sqref="J39"/>
    </sheetView>
  </sheetViews>
  <sheetFormatPr defaultColWidth="14.42578125" defaultRowHeight="15" customHeight="1"/>
  <cols>
    <col min="1" max="1" width="8.85546875" customWidth="1"/>
    <col min="2" max="2" width="104.85546875" customWidth="1"/>
    <col min="3" max="5" width="11.85546875" customWidth="1"/>
    <col min="6" max="6" width="11.5703125" customWidth="1"/>
    <col min="7" max="7" width="9.7109375" bestFit="1" customWidth="1"/>
    <col min="8" max="9" width="8.85546875" customWidth="1"/>
    <col min="10" max="10" width="26.85546875" customWidth="1"/>
    <col min="11" max="11" width="8.85546875" customWidth="1"/>
    <col min="12" max="15" width="10" bestFit="1" customWidth="1"/>
    <col min="16" max="26" width="8.85546875" customWidth="1"/>
  </cols>
  <sheetData>
    <row r="1" spans="2:15" ht="14.25" customHeight="1">
      <c r="B1" s="118" t="s">
        <v>172</v>
      </c>
      <c r="C1" s="118"/>
      <c r="D1" s="118"/>
      <c r="E1" s="118"/>
      <c r="F1" s="118"/>
      <c r="J1" s="119" t="s">
        <v>159</v>
      </c>
      <c r="K1" s="119"/>
      <c r="L1" s="119"/>
      <c r="M1" s="119"/>
      <c r="N1" s="119"/>
      <c r="O1" s="119"/>
    </row>
    <row r="2" spans="2:15" ht="14.25" customHeight="1">
      <c r="C2" s="96">
        <v>44286</v>
      </c>
      <c r="D2" s="97">
        <v>44651</v>
      </c>
      <c r="E2" s="97">
        <v>45016</v>
      </c>
      <c r="F2" s="97">
        <v>45382</v>
      </c>
      <c r="J2" s="68"/>
      <c r="K2" s="68"/>
      <c r="L2" s="94">
        <v>44286</v>
      </c>
      <c r="M2" s="95">
        <v>44651</v>
      </c>
      <c r="N2" s="95">
        <v>45016</v>
      </c>
      <c r="O2" s="95">
        <v>45382</v>
      </c>
    </row>
    <row r="3" spans="2:15" ht="14.25" customHeight="1">
      <c r="B3" s="41" t="s">
        <v>73</v>
      </c>
      <c r="J3" s="64" t="s">
        <v>149</v>
      </c>
      <c r="L3" s="65">
        <v>1972.84</v>
      </c>
      <c r="M3" s="65">
        <v>3062.63</v>
      </c>
      <c r="N3" s="65">
        <v>3764.72</v>
      </c>
      <c r="O3" s="65">
        <v>3015.81</v>
      </c>
    </row>
    <row r="4" spans="2:15" ht="14.25" customHeight="1">
      <c r="B4" s="6" t="s">
        <v>74</v>
      </c>
      <c r="C4" s="66">
        <v>10.69</v>
      </c>
      <c r="D4" s="66">
        <v>175.41</v>
      </c>
      <c r="E4" s="59">
        <v>43.21</v>
      </c>
      <c r="F4" s="59">
        <v>67.319999999999993</v>
      </c>
      <c r="J4" s="64"/>
      <c r="N4" s="43"/>
      <c r="O4" s="43"/>
    </row>
    <row r="5" spans="2:15" ht="14.25" customHeight="1">
      <c r="B5" s="58" t="s">
        <v>157</v>
      </c>
      <c r="C5" s="37">
        <v>1555.79</v>
      </c>
      <c r="D5" s="37">
        <v>1125.94</v>
      </c>
      <c r="E5" s="37">
        <v>988.95</v>
      </c>
      <c r="F5" s="37">
        <v>1896.5200000000002</v>
      </c>
      <c r="J5" s="66" t="s">
        <v>150</v>
      </c>
      <c r="L5" s="66">
        <v>208.32</v>
      </c>
      <c r="N5" s="66" t="s">
        <v>121</v>
      </c>
      <c r="O5" s="66" t="s">
        <v>121</v>
      </c>
    </row>
    <row r="6" spans="2:15" ht="14.25" customHeight="1">
      <c r="B6" s="66" t="s">
        <v>149</v>
      </c>
      <c r="C6" s="65">
        <v>1972.84</v>
      </c>
      <c r="D6" s="65">
        <v>3062.63</v>
      </c>
      <c r="E6" s="65">
        <v>3764.72</v>
      </c>
      <c r="F6" s="65">
        <v>3015.81</v>
      </c>
      <c r="J6" s="66" t="s">
        <v>151</v>
      </c>
      <c r="L6" s="65">
        <v>1257.21</v>
      </c>
      <c r="M6" s="65">
        <v>1045.69</v>
      </c>
      <c r="N6" s="66">
        <v>872.7</v>
      </c>
      <c r="O6" s="65">
        <v>1764.44</v>
      </c>
    </row>
    <row r="7" spans="2:15" ht="14.25" customHeight="1">
      <c r="B7" s="66" t="s">
        <v>155</v>
      </c>
      <c r="C7" s="66">
        <v>129.5</v>
      </c>
      <c r="D7" s="66">
        <v>129.57</v>
      </c>
      <c r="E7" s="66">
        <v>136.41999999999999</v>
      </c>
      <c r="F7" s="66">
        <v>157.31</v>
      </c>
      <c r="J7" s="66" t="s">
        <v>152</v>
      </c>
      <c r="L7" s="66">
        <v>10.87</v>
      </c>
      <c r="M7" s="66">
        <v>27.15</v>
      </c>
      <c r="N7" s="66">
        <v>23.17</v>
      </c>
      <c r="O7" s="66">
        <v>29.41</v>
      </c>
    </row>
    <row r="8" spans="2:15" ht="14.25" customHeight="1">
      <c r="B8" s="66" t="s">
        <v>156</v>
      </c>
      <c r="C8" s="66">
        <v>0.72</v>
      </c>
      <c r="D8" s="66">
        <v>1</v>
      </c>
      <c r="E8" s="66">
        <v>0.72</v>
      </c>
      <c r="F8" s="66">
        <v>0.72</v>
      </c>
      <c r="J8" s="66" t="s">
        <v>153</v>
      </c>
      <c r="L8" s="66">
        <v>34.94</v>
      </c>
      <c r="M8" s="66">
        <v>29.73</v>
      </c>
      <c r="N8" s="66">
        <v>38.619999999999997</v>
      </c>
      <c r="O8" s="66">
        <v>51.18</v>
      </c>
    </row>
    <row r="9" spans="2:15" ht="14.25" customHeight="1">
      <c r="B9" s="6" t="s">
        <v>75</v>
      </c>
      <c r="C9" s="66">
        <v>39.29</v>
      </c>
      <c r="D9" s="66">
        <v>124.92</v>
      </c>
      <c r="E9" s="66">
        <v>153.31</v>
      </c>
      <c r="F9" s="66">
        <v>399.36</v>
      </c>
      <c r="J9" s="66" t="s">
        <v>154</v>
      </c>
      <c r="L9" s="66">
        <v>44.45</v>
      </c>
      <c r="M9" s="66">
        <v>23.37</v>
      </c>
      <c r="N9" s="66">
        <v>54.46</v>
      </c>
      <c r="O9" s="66">
        <v>51.49</v>
      </c>
    </row>
    <row r="10" spans="2:15" ht="14.25" customHeight="1">
      <c r="B10" s="41" t="s">
        <v>158</v>
      </c>
      <c r="C10" s="55">
        <v>3708.83</v>
      </c>
      <c r="D10" s="55">
        <v>4619.47</v>
      </c>
      <c r="E10" s="55">
        <v>5087.33</v>
      </c>
      <c r="F10" s="55">
        <v>5537.04</v>
      </c>
      <c r="G10" s="38"/>
      <c r="J10" s="88" t="s">
        <v>157</v>
      </c>
      <c r="K10" s="89"/>
      <c r="L10" s="90">
        <f>SUM(L5:L9)</f>
        <v>1555.79</v>
      </c>
      <c r="M10" s="90">
        <f>SUM(M5:M9)</f>
        <v>1125.94</v>
      </c>
      <c r="N10" s="90">
        <f>SUM(N5:N9)</f>
        <v>988.95</v>
      </c>
      <c r="O10" s="90">
        <f>SUM(O5:O9)</f>
        <v>1896.5200000000002</v>
      </c>
    </row>
    <row r="11" spans="2:15" ht="14.25" customHeight="1">
      <c r="B11" s="41"/>
      <c r="C11" s="55"/>
      <c r="D11" s="55"/>
      <c r="E11" s="55"/>
      <c r="F11" s="55"/>
      <c r="M11" s="66"/>
    </row>
    <row r="12" spans="2:15" ht="14.25" customHeight="1">
      <c r="B12" s="41" t="s">
        <v>90</v>
      </c>
      <c r="C12" s="37"/>
      <c r="D12" s="37"/>
      <c r="E12" s="37"/>
      <c r="F12" s="37"/>
      <c r="J12" s="64"/>
      <c r="L12" s="66"/>
      <c r="M12" s="66"/>
      <c r="N12" s="66"/>
      <c r="O12" s="66"/>
    </row>
    <row r="13" spans="2:15" ht="14.25" customHeight="1">
      <c r="B13" s="77" t="s">
        <v>225</v>
      </c>
      <c r="C13" s="79">
        <v>3037.75</v>
      </c>
      <c r="D13" s="79">
        <v>3108.69</v>
      </c>
      <c r="E13" s="79">
        <v>3128.81</v>
      </c>
      <c r="F13" s="79">
        <v>3509.18</v>
      </c>
      <c r="J13" s="64"/>
      <c r="L13" s="66"/>
      <c r="M13" s="66"/>
      <c r="N13" s="66"/>
      <c r="O13" s="66"/>
    </row>
    <row r="14" spans="2:15" ht="14.25" customHeight="1">
      <c r="B14" s="77" t="s">
        <v>226</v>
      </c>
      <c r="C14" s="77">
        <v>760.11</v>
      </c>
      <c r="D14" s="79">
        <v>3831.28</v>
      </c>
      <c r="E14" s="79">
        <v>9590.27</v>
      </c>
      <c r="F14" s="79">
        <v>17614.79</v>
      </c>
      <c r="J14" s="64"/>
      <c r="L14" s="66"/>
      <c r="M14" s="66"/>
      <c r="N14" s="66"/>
      <c r="O14" s="66"/>
    </row>
    <row r="15" spans="2:15" ht="14.25" customHeight="1">
      <c r="B15" s="77" t="s">
        <v>227</v>
      </c>
      <c r="C15" s="77">
        <v>34.409999999999997</v>
      </c>
      <c r="D15" s="77">
        <v>34.479999999999997</v>
      </c>
      <c r="E15" s="77">
        <v>90.09</v>
      </c>
      <c r="F15" s="77">
        <v>92.49</v>
      </c>
    </row>
    <row r="16" spans="2:15" ht="14.25" customHeight="1">
      <c r="B16" s="77" t="s">
        <v>228</v>
      </c>
      <c r="C16" s="77">
        <v>96.31</v>
      </c>
      <c r="D16" s="77">
        <v>151.66999999999999</v>
      </c>
      <c r="E16" s="77">
        <v>160.88</v>
      </c>
      <c r="F16" s="77">
        <v>480.27</v>
      </c>
    </row>
    <row r="17" spans="2:19" ht="14.25" customHeight="1">
      <c r="B17" s="77" t="s">
        <v>229</v>
      </c>
      <c r="C17" s="77">
        <v>1.03</v>
      </c>
      <c r="D17" s="77">
        <v>5.19</v>
      </c>
      <c r="E17" s="77">
        <v>19.18</v>
      </c>
      <c r="F17" s="77">
        <v>24.69</v>
      </c>
    </row>
    <row r="18" spans="2:19" ht="14.25" customHeight="1">
      <c r="B18" s="77" t="s">
        <v>230</v>
      </c>
      <c r="C18" s="77">
        <v>373.71</v>
      </c>
      <c r="D18" s="77">
        <v>432.53</v>
      </c>
      <c r="E18" s="77">
        <v>569.05999999999995</v>
      </c>
      <c r="F18" s="77">
        <v>774.46</v>
      </c>
    </row>
    <row r="19" spans="2:19" ht="14.25" customHeight="1">
      <c r="B19" s="77" t="s">
        <v>231</v>
      </c>
      <c r="C19" s="43"/>
      <c r="D19" s="43"/>
      <c r="E19" s="43"/>
      <c r="F19" s="43"/>
    </row>
    <row r="20" spans="2:19" ht="14.25" customHeight="1">
      <c r="B20" s="77" t="s">
        <v>150</v>
      </c>
      <c r="C20" s="77" t="s">
        <v>121</v>
      </c>
      <c r="D20" s="77" t="s">
        <v>121</v>
      </c>
      <c r="E20" s="77" t="s">
        <v>121</v>
      </c>
      <c r="F20" s="77">
        <v>259.94</v>
      </c>
    </row>
    <row r="21" spans="2:19" ht="14.25" customHeight="1">
      <c r="B21" s="77" t="s">
        <v>153</v>
      </c>
      <c r="C21" s="77">
        <v>50.95</v>
      </c>
      <c r="D21" s="77">
        <v>227.38</v>
      </c>
      <c r="E21" s="77">
        <v>491.9</v>
      </c>
      <c r="F21" s="77">
        <v>406.17</v>
      </c>
    </row>
    <row r="22" spans="2:19" ht="14.25" customHeight="1">
      <c r="B22" s="77" t="s">
        <v>154</v>
      </c>
      <c r="C22" s="77">
        <v>1.94</v>
      </c>
      <c r="D22" s="77">
        <v>2.31</v>
      </c>
      <c r="E22" s="77">
        <v>2.36</v>
      </c>
      <c r="F22" s="77">
        <v>16.88</v>
      </c>
      <c r="J22" s="119" t="s">
        <v>174</v>
      </c>
      <c r="K22" s="119"/>
      <c r="L22" s="119"/>
      <c r="M22" s="119"/>
      <c r="N22" s="119"/>
      <c r="O22" s="119"/>
      <c r="P22" s="68"/>
      <c r="Q22" s="68"/>
    </row>
    <row r="23" spans="2:19" ht="14.25" customHeight="1">
      <c r="B23" s="77" t="s">
        <v>232</v>
      </c>
      <c r="C23" s="77">
        <v>55.8</v>
      </c>
      <c r="D23" s="77">
        <v>297.11</v>
      </c>
      <c r="E23" s="77">
        <v>814.18</v>
      </c>
      <c r="F23" s="77">
        <v>607.59</v>
      </c>
      <c r="J23" s="64" t="s">
        <v>160</v>
      </c>
      <c r="K23" s="43"/>
      <c r="L23" s="94">
        <v>44286</v>
      </c>
      <c r="M23" s="95">
        <v>44651</v>
      </c>
      <c r="N23" s="95">
        <v>45016</v>
      </c>
      <c r="O23" s="95">
        <v>45382</v>
      </c>
      <c r="Q23" s="64"/>
      <c r="R23" s="43"/>
      <c r="S23" s="43"/>
    </row>
    <row r="24" spans="2:19" ht="14.25" customHeight="1">
      <c r="B24" s="41" t="s">
        <v>147</v>
      </c>
      <c r="C24" s="55">
        <v>4412.01</v>
      </c>
      <c r="D24" s="55">
        <v>8090.64</v>
      </c>
      <c r="E24" s="55">
        <v>14866.73</v>
      </c>
      <c r="F24" s="55">
        <v>23786.46</v>
      </c>
      <c r="J24" s="66" t="s">
        <v>161</v>
      </c>
      <c r="L24" s="66">
        <v>0.45</v>
      </c>
      <c r="M24" s="66">
        <v>50.34</v>
      </c>
      <c r="N24" s="66">
        <v>303.02</v>
      </c>
      <c r="O24" s="66">
        <v>157.21</v>
      </c>
      <c r="Q24" s="66"/>
    </row>
    <row r="25" spans="2:19" ht="14.25" customHeight="1">
      <c r="B25" s="41"/>
      <c r="C25" s="55"/>
      <c r="D25" s="55"/>
      <c r="E25" s="55"/>
      <c r="F25" s="55"/>
      <c r="J25" s="66" t="s">
        <v>162</v>
      </c>
      <c r="L25" s="66">
        <v>3.03</v>
      </c>
      <c r="M25" s="66">
        <v>15.19</v>
      </c>
      <c r="N25" s="66">
        <v>7.85</v>
      </c>
      <c r="O25" s="66">
        <v>160.91999999999999</v>
      </c>
      <c r="Q25" s="66"/>
    </row>
    <row r="26" spans="2:19" ht="14.25" customHeight="1">
      <c r="B26" s="92" t="s">
        <v>76</v>
      </c>
      <c r="C26" s="93">
        <f>C10+C24</f>
        <v>8120.84</v>
      </c>
      <c r="D26" s="93">
        <f>D10+D24</f>
        <v>12710.11</v>
      </c>
      <c r="E26" s="93">
        <f>E10+E24</f>
        <v>19954.059999999998</v>
      </c>
      <c r="F26" s="93">
        <f>F10+F24</f>
        <v>29323.5</v>
      </c>
      <c r="J26" s="66" t="s">
        <v>163</v>
      </c>
      <c r="L26" s="66">
        <v>15.39</v>
      </c>
      <c r="M26" s="66">
        <v>10.69</v>
      </c>
      <c r="N26" s="66">
        <v>31.07</v>
      </c>
      <c r="O26" s="66">
        <v>52.42</v>
      </c>
      <c r="Q26" s="66"/>
    </row>
    <row r="27" spans="2:19" ht="14.25" customHeight="1">
      <c r="B27" s="41"/>
      <c r="C27" s="37"/>
      <c r="D27" s="37"/>
      <c r="E27" s="37"/>
      <c r="F27" s="37"/>
      <c r="J27" s="66" t="s">
        <v>164</v>
      </c>
      <c r="L27" s="65">
        <v>1229.51</v>
      </c>
      <c r="M27" s="65">
        <v>1746.1</v>
      </c>
      <c r="N27" s="65">
        <v>1742.14</v>
      </c>
      <c r="O27" s="65">
        <v>1811.24</v>
      </c>
      <c r="Q27" s="66"/>
    </row>
    <row r="28" spans="2:19" ht="14.25" customHeight="1">
      <c r="B28" s="41" t="s">
        <v>77</v>
      </c>
      <c r="C28" s="37"/>
      <c r="D28" s="37"/>
      <c r="E28" s="37"/>
      <c r="F28" s="37"/>
      <c r="J28" s="66" t="s">
        <v>165</v>
      </c>
      <c r="L28" s="66">
        <v>469.21</v>
      </c>
      <c r="M28" s="66">
        <v>587.15</v>
      </c>
      <c r="N28" s="65">
        <v>2119.6799999999998</v>
      </c>
      <c r="O28" s="65">
        <v>3066.94</v>
      </c>
      <c r="Q28" s="66"/>
    </row>
    <row r="29" spans="2:19" ht="14.25" customHeight="1">
      <c r="B29" s="76" t="s">
        <v>78</v>
      </c>
      <c r="C29" s="37">
        <v>1717.59</v>
      </c>
      <c r="D29" s="37">
        <v>2409.4699999999998</v>
      </c>
      <c r="E29" s="37">
        <v>4203.76</v>
      </c>
      <c r="F29" s="37">
        <v>5248.73</v>
      </c>
      <c r="J29" s="88" t="s">
        <v>168</v>
      </c>
      <c r="K29" s="89"/>
      <c r="L29" s="89">
        <f t="shared" ref="L29:M29" si="0">SUM(L24:L28)</f>
        <v>1717.59</v>
      </c>
      <c r="M29" s="89">
        <f t="shared" si="0"/>
        <v>2409.4699999999998</v>
      </c>
      <c r="N29" s="89">
        <f>SUM(N24:N28)</f>
        <v>4203.76</v>
      </c>
      <c r="O29" s="89">
        <f>SUM(O24:O28)</f>
        <v>5248.73</v>
      </c>
      <c r="Q29" s="64"/>
    </row>
    <row r="30" spans="2:19" ht="14.25" customHeight="1">
      <c r="B30" s="77" t="s">
        <v>166</v>
      </c>
      <c r="C30" s="66">
        <v>78.86</v>
      </c>
      <c r="D30" s="66">
        <v>89.11</v>
      </c>
      <c r="E30" s="66">
        <v>50.15</v>
      </c>
      <c r="F30" s="66">
        <v>62.54</v>
      </c>
      <c r="Q30" s="64"/>
    </row>
    <row r="31" spans="2:19" ht="14.25" customHeight="1">
      <c r="B31" s="77" t="s">
        <v>167</v>
      </c>
      <c r="C31" s="66">
        <v>79.790000000000006</v>
      </c>
      <c r="D31" s="66">
        <v>358.98</v>
      </c>
      <c r="E31" s="66">
        <v>425.23</v>
      </c>
      <c r="F31" s="66">
        <v>425.23</v>
      </c>
      <c r="J31" s="64"/>
      <c r="L31" s="66"/>
      <c r="M31" s="66"/>
      <c r="N31" s="66"/>
      <c r="O31" s="66"/>
      <c r="Q31" s="64"/>
    </row>
    <row r="32" spans="2:19" ht="14.25" customHeight="1">
      <c r="B32" s="77" t="s">
        <v>36</v>
      </c>
      <c r="C32" s="66">
        <v>363.8</v>
      </c>
      <c r="D32" s="66">
        <v>247.43</v>
      </c>
      <c r="E32" s="66">
        <v>376.4</v>
      </c>
      <c r="F32" s="66">
        <v>318.33</v>
      </c>
      <c r="J32" s="64"/>
      <c r="L32" s="66"/>
      <c r="M32" s="66"/>
      <c r="N32" s="66"/>
      <c r="O32" s="66"/>
      <c r="Q32" s="64"/>
    </row>
    <row r="33" spans="2:17" ht="14.25" customHeight="1">
      <c r="B33" s="41" t="s">
        <v>146</v>
      </c>
      <c r="C33" s="55">
        <v>2240.04</v>
      </c>
      <c r="D33" s="55">
        <v>3104.99</v>
      </c>
      <c r="E33" s="55">
        <v>5055.54</v>
      </c>
      <c r="F33" s="55">
        <v>6054.83</v>
      </c>
      <c r="J33" s="64"/>
      <c r="L33" s="66"/>
      <c r="M33" s="66"/>
      <c r="N33" s="66"/>
      <c r="O33" s="66"/>
      <c r="Q33" s="64"/>
    </row>
    <row r="34" spans="2:17" ht="14.25" customHeight="1">
      <c r="B34" s="41"/>
      <c r="C34" s="57"/>
      <c r="D34" s="47"/>
      <c r="E34" s="57"/>
      <c r="F34" s="57"/>
      <c r="O34" s="66"/>
      <c r="Q34" s="64"/>
    </row>
    <row r="35" spans="2:17" ht="14.25" customHeight="1">
      <c r="B35" s="41" t="s">
        <v>145</v>
      </c>
      <c r="C35" s="37"/>
      <c r="D35" s="37"/>
      <c r="E35" s="37"/>
      <c r="F35" s="37"/>
      <c r="Q35" s="64"/>
    </row>
    <row r="36" spans="2:17" ht="14.25" customHeight="1">
      <c r="B36" s="77" t="s">
        <v>160</v>
      </c>
      <c r="C36" s="43"/>
      <c r="D36" s="43"/>
    </row>
    <row r="37" spans="2:17" ht="14.25" customHeight="1">
      <c r="B37" s="73" t="s">
        <v>161</v>
      </c>
      <c r="D37" s="72">
        <v>949.64</v>
      </c>
      <c r="E37" s="74">
        <v>2959.19</v>
      </c>
      <c r="F37" s="74">
        <v>7953.47</v>
      </c>
      <c r="J37" s="64"/>
      <c r="L37" s="67"/>
      <c r="M37" s="67"/>
    </row>
    <row r="38" spans="2:17" ht="14.25" customHeight="1">
      <c r="B38" s="73" t="s">
        <v>162</v>
      </c>
      <c r="C38" s="72">
        <v>5.41</v>
      </c>
      <c r="D38" s="72">
        <v>8.1300000000000008</v>
      </c>
      <c r="E38" s="73">
        <v>7</v>
      </c>
      <c r="F38" s="73">
        <v>108.96</v>
      </c>
    </row>
    <row r="39" spans="2:17" ht="14.25" customHeight="1">
      <c r="B39" s="73" t="s">
        <v>165</v>
      </c>
      <c r="C39" s="72">
        <v>0.69</v>
      </c>
      <c r="D39" s="72">
        <v>1.24</v>
      </c>
      <c r="E39" s="73">
        <v>0.59</v>
      </c>
      <c r="F39" s="73">
        <v>76.75</v>
      </c>
      <c r="J39" s="64"/>
      <c r="K39" s="43"/>
      <c r="L39" s="43"/>
    </row>
    <row r="40" spans="2:17" ht="14.25" customHeight="1">
      <c r="B40" s="73" t="s">
        <v>166</v>
      </c>
      <c r="C40" s="72">
        <v>12.57</v>
      </c>
      <c r="D40" s="72">
        <v>13.47</v>
      </c>
      <c r="E40" s="73">
        <v>14.39</v>
      </c>
      <c r="F40" s="73">
        <v>15.47</v>
      </c>
      <c r="J40" s="73"/>
      <c r="M40" s="74"/>
      <c r="N40" s="74"/>
    </row>
    <row r="41" spans="2:17" ht="14.25" customHeight="1">
      <c r="B41" s="73" t="s">
        <v>176</v>
      </c>
      <c r="E41" s="73">
        <v>252.73</v>
      </c>
      <c r="F41" s="73">
        <v>935.75</v>
      </c>
      <c r="J41" s="73"/>
      <c r="M41" s="73"/>
      <c r="N41" s="73"/>
    </row>
    <row r="42" spans="2:17" ht="14.25" customHeight="1">
      <c r="B42" s="73" t="s">
        <v>175</v>
      </c>
      <c r="C42" s="72">
        <v>266.10000000000002</v>
      </c>
      <c r="D42" s="72">
        <v>244.57</v>
      </c>
      <c r="E42" s="73">
        <v>237.68</v>
      </c>
      <c r="F42" s="73">
        <v>252.27</v>
      </c>
      <c r="J42" s="73"/>
      <c r="M42" s="73"/>
      <c r="N42" s="73"/>
    </row>
    <row r="43" spans="2:17" ht="14.25" customHeight="1">
      <c r="B43" s="41" t="s">
        <v>143</v>
      </c>
      <c r="C43" s="42">
        <v>284.77</v>
      </c>
      <c r="D43" s="55">
        <v>1217.05</v>
      </c>
      <c r="E43" s="55">
        <v>3471.58</v>
      </c>
      <c r="F43" s="55">
        <v>9342.67</v>
      </c>
      <c r="J43" s="64"/>
      <c r="M43" s="73"/>
      <c r="N43" s="73"/>
    </row>
    <row r="44" spans="2:17" ht="14.25" customHeight="1">
      <c r="B44" s="41"/>
      <c r="C44" s="59"/>
      <c r="D44" s="37"/>
      <c r="E44" s="57"/>
      <c r="F44" s="57"/>
      <c r="J44" s="64"/>
      <c r="M44" s="73"/>
      <c r="N44" s="73"/>
    </row>
    <row r="45" spans="2:17" ht="14.25" customHeight="1">
      <c r="B45" s="41" t="s">
        <v>144</v>
      </c>
      <c r="C45" s="60">
        <f>C33+C43</f>
        <v>2524.81</v>
      </c>
      <c r="D45" s="60">
        <f>D33+D43</f>
        <v>4322.04</v>
      </c>
      <c r="E45" s="60">
        <f>E33+E43</f>
        <v>8527.119999999999</v>
      </c>
      <c r="F45" s="60">
        <f>F33+F43</f>
        <v>15397.5</v>
      </c>
      <c r="J45" s="64"/>
      <c r="M45" s="73"/>
      <c r="N45" s="73"/>
    </row>
    <row r="46" spans="2:17" ht="14.25" customHeight="1">
      <c r="B46" s="6"/>
      <c r="C46" s="37"/>
      <c r="D46" s="37"/>
      <c r="E46" s="37"/>
      <c r="F46" s="37"/>
      <c r="J46" s="64"/>
      <c r="M46" s="67"/>
      <c r="N46" s="67"/>
    </row>
    <row r="47" spans="2:17" ht="14.25" customHeight="1">
      <c r="B47" s="41" t="s">
        <v>79</v>
      </c>
      <c r="C47" s="37"/>
      <c r="D47" s="37"/>
      <c r="E47" s="37"/>
      <c r="F47" s="37"/>
    </row>
    <row r="48" spans="2:17" ht="14.25" customHeight="1">
      <c r="B48" s="78" t="s">
        <v>223</v>
      </c>
      <c r="C48" s="78">
        <v>735.63</v>
      </c>
      <c r="D48" s="78">
        <v>735.63</v>
      </c>
      <c r="E48" s="91">
        <v>1471.26</v>
      </c>
      <c r="F48" s="91">
        <v>1615.12</v>
      </c>
    </row>
    <row r="49" spans="2:6" ht="14.25" customHeight="1">
      <c r="B49" s="78" t="s">
        <v>224</v>
      </c>
      <c r="C49" s="91">
        <v>4860.3999999999996</v>
      </c>
      <c r="D49" s="91">
        <v>7652.44</v>
      </c>
      <c r="E49" s="91">
        <v>9955.68</v>
      </c>
      <c r="F49" s="91">
        <v>12310.88</v>
      </c>
    </row>
    <row r="50" spans="2:6" ht="14.25" customHeight="1">
      <c r="B50" s="41" t="s">
        <v>148</v>
      </c>
      <c r="C50" s="57">
        <f t="shared" ref="C50:D50" si="1">C48+C49</f>
        <v>5596.03</v>
      </c>
      <c r="D50" s="57">
        <f t="shared" si="1"/>
        <v>8388.07</v>
      </c>
      <c r="E50" s="57">
        <f>E48+E49</f>
        <v>11426.94</v>
      </c>
      <c r="F50" s="57">
        <f>F48+F49</f>
        <v>13926</v>
      </c>
    </row>
    <row r="51" spans="2:6" ht="14.25" customHeight="1"/>
    <row r="52" spans="2:6" ht="14.25" customHeight="1">
      <c r="B52" s="92" t="s">
        <v>80</v>
      </c>
      <c r="C52" s="93">
        <f>C45+C50</f>
        <v>8120.84</v>
      </c>
      <c r="D52" s="93">
        <f>D45+D50</f>
        <v>12710.11</v>
      </c>
      <c r="E52" s="93">
        <f>E45+E50</f>
        <v>19954.059999999998</v>
      </c>
      <c r="F52" s="93">
        <f>F45+F50</f>
        <v>29323.5</v>
      </c>
    </row>
    <row r="53" spans="2:6" ht="14.25" customHeight="1">
      <c r="B53" s="6"/>
      <c r="C53" s="37"/>
      <c r="D53" s="37"/>
      <c r="E53" s="37"/>
      <c r="F53" s="37"/>
    </row>
    <row r="54" spans="2:6" ht="14.25" customHeight="1">
      <c r="B54" s="6"/>
      <c r="C54" s="37"/>
      <c r="D54" s="37"/>
      <c r="E54" s="37"/>
      <c r="F54" s="37"/>
    </row>
    <row r="55" spans="2:6" ht="14.25" customHeight="1">
      <c r="B55" s="64"/>
      <c r="C55" s="79"/>
      <c r="D55" s="79"/>
      <c r="E55" s="79"/>
      <c r="F55" s="79"/>
    </row>
    <row r="56" spans="2:6" ht="14.25" customHeight="1"/>
    <row r="57" spans="2:6" ht="14.25" customHeight="1"/>
    <row r="58" spans="2:6" ht="14.25" customHeight="1"/>
    <row r="59" spans="2:6" ht="14.25" customHeight="1"/>
    <row r="60" spans="2:6" ht="14.25" customHeight="1">
      <c r="B60" s="64"/>
    </row>
    <row r="61" spans="2:6" ht="14.25" customHeight="1">
      <c r="B61" s="64"/>
    </row>
    <row r="62" spans="2:6" ht="14.25" customHeight="1">
      <c r="B62" s="64"/>
    </row>
    <row r="63" spans="2:6" ht="14.25" customHeight="1">
      <c r="B63" s="64"/>
    </row>
    <row r="64" spans="2:6" ht="14.25" customHeight="1">
      <c r="B64" s="64"/>
    </row>
    <row r="65" spans="2:2" ht="14.25" customHeight="1">
      <c r="B65" s="64"/>
    </row>
    <row r="66" spans="2:2" ht="14.25" customHeight="1">
      <c r="B66" s="64"/>
    </row>
    <row r="67" spans="2:2" ht="14.25" customHeight="1">
      <c r="B67" s="77"/>
    </row>
    <row r="68" spans="2:2" ht="14.25" customHeight="1">
      <c r="B68" s="77"/>
    </row>
    <row r="69" spans="2:2" ht="14.25" customHeight="1">
      <c r="B69" s="77"/>
    </row>
    <row r="70" spans="2:2" ht="14.25" customHeight="1">
      <c r="B70" s="64"/>
    </row>
    <row r="71" spans="2:2" ht="14.25" customHeight="1">
      <c r="B71" s="64"/>
    </row>
    <row r="72" spans="2:2" ht="14.25" customHeight="1"/>
    <row r="73" spans="2:2" ht="14.25" customHeight="1"/>
    <row r="74" spans="2:2" ht="14.25" customHeight="1"/>
    <row r="75" spans="2:2" ht="14.25" customHeight="1"/>
    <row r="76" spans="2:2" ht="14.25" customHeight="1"/>
    <row r="77" spans="2:2" ht="14.25" customHeight="1"/>
    <row r="78" spans="2:2" ht="14.25" customHeight="1"/>
    <row r="79" spans="2:2" ht="14.25" customHeight="1"/>
    <row r="80" spans="2:2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  <row r="1002" ht="14.25" customHeight="1"/>
    <row r="1003" ht="14.25" customHeight="1"/>
    <row r="1004" ht="14.25" customHeight="1"/>
    <row r="1005" ht="14.25" customHeight="1"/>
    <row r="1006" ht="14.25" customHeight="1"/>
    <row r="1007" ht="14.25" customHeight="1"/>
    <row r="1008" ht="14.25" customHeight="1"/>
    <row r="1009" ht="14.25" customHeight="1"/>
    <row r="1010" ht="14.25" customHeight="1"/>
    <row r="1011" ht="14.25" customHeight="1"/>
    <row r="1012" ht="14.25" customHeight="1"/>
  </sheetData>
  <mergeCells count="3">
    <mergeCell ref="J1:O1"/>
    <mergeCell ref="J22:O22"/>
    <mergeCell ref="B1:F1"/>
  </mergeCells>
  <pageMargins left="0.7" right="0.7" top="0.75" bottom="0.75" header="0" footer="0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2D050"/>
  </sheetPr>
  <dimension ref="B1:J1000"/>
  <sheetViews>
    <sheetView topLeftCell="B28" workbookViewId="0">
      <selection activeCell="I37" sqref="I37"/>
    </sheetView>
  </sheetViews>
  <sheetFormatPr defaultColWidth="14.42578125" defaultRowHeight="15" customHeight="1"/>
  <cols>
    <col min="1" max="1" width="8.85546875" customWidth="1"/>
    <col min="2" max="2" width="101.42578125" customWidth="1"/>
    <col min="3" max="5" width="15.42578125" customWidth="1"/>
    <col min="6" max="26" width="8.85546875" customWidth="1"/>
  </cols>
  <sheetData>
    <row r="1" spans="2:10" ht="14.25" customHeight="1"/>
    <row r="2" spans="2:10" ht="14.25" customHeight="1">
      <c r="B2" s="120" t="s">
        <v>177</v>
      </c>
      <c r="C2" s="120"/>
      <c r="D2" s="120"/>
      <c r="E2" s="120"/>
      <c r="H2" s="86"/>
    </row>
    <row r="3" spans="2:10" ht="14.25" customHeight="1">
      <c r="C3" s="80">
        <v>44651</v>
      </c>
      <c r="D3" s="80">
        <v>45016</v>
      </c>
      <c r="E3" s="80">
        <v>45382</v>
      </c>
    </row>
    <row r="4" spans="2:10" ht="14.25" customHeight="1">
      <c r="B4" s="41" t="s">
        <v>81</v>
      </c>
      <c r="H4" s="87"/>
      <c r="I4" s="87"/>
      <c r="J4" s="87"/>
    </row>
    <row r="5" spans="2:10" ht="14.25" customHeight="1">
      <c r="B5" s="77" t="s">
        <v>178</v>
      </c>
      <c r="C5">
        <v>3561.56</v>
      </c>
      <c r="D5" s="45">
        <v>3702.79</v>
      </c>
      <c r="E5" s="45">
        <v>2160.11</v>
      </c>
      <c r="H5" s="64"/>
      <c r="I5" s="79"/>
      <c r="J5" s="79"/>
    </row>
    <row r="6" spans="2:10" ht="14.25" customHeight="1">
      <c r="B6" s="77" t="s">
        <v>221</v>
      </c>
      <c r="D6" s="43"/>
      <c r="E6" s="43"/>
      <c r="H6" s="64"/>
      <c r="I6" s="43"/>
      <c r="J6" s="43"/>
    </row>
    <row r="7" spans="2:10" ht="14.25" customHeight="1">
      <c r="B7" s="77" t="s">
        <v>179</v>
      </c>
      <c r="C7">
        <v>320.52</v>
      </c>
      <c r="D7" s="43">
        <v>353.85</v>
      </c>
      <c r="E7" s="43">
        <v>433.32</v>
      </c>
      <c r="H7" s="77"/>
      <c r="I7" s="77"/>
      <c r="J7" s="77"/>
    </row>
    <row r="8" spans="2:10" ht="14.25" customHeight="1">
      <c r="B8" s="77" t="s">
        <v>180</v>
      </c>
      <c r="C8">
        <v>1286.29</v>
      </c>
      <c r="D8" s="45">
        <v>1250.44</v>
      </c>
      <c r="E8" s="43">
        <v>752.26</v>
      </c>
      <c r="H8" s="77"/>
      <c r="I8" s="79"/>
      <c r="J8" s="79"/>
    </row>
    <row r="9" spans="2:10" ht="14.25" customHeight="1">
      <c r="B9" s="77" t="s">
        <v>181</v>
      </c>
      <c r="C9">
        <v>3.92</v>
      </c>
      <c r="D9" s="43">
        <v>12.41</v>
      </c>
      <c r="E9" s="43">
        <v>47.91</v>
      </c>
      <c r="H9" s="77"/>
      <c r="I9" s="77"/>
      <c r="J9" s="77"/>
    </row>
    <row r="10" spans="2:10" ht="14.25" customHeight="1">
      <c r="B10" s="77" t="s">
        <v>182</v>
      </c>
      <c r="C10">
        <v>4.93</v>
      </c>
      <c r="D10" s="43">
        <v>2.37</v>
      </c>
      <c r="E10" s="43">
        <v>8.76</v>
      </c>
      <c r="H10" s="77"/>
      <c r="I10" s="77"/>
      <c r="J10" s="77"/>
    </row>
    <row r="11" spans="2:10" ht="14.25" customHeight="1">
      <c r="B11" s="77" t="s">
        <v>183</v>
      </c>
      <c r="C11" t="s">
        <v>121</v>
      </c>
      <c r="D11" s="43">
        <v>-3.31</v>
      </c>
      <c r="E11" s="43">
        <v>-0.72</v>
      </c>
      <c r="H11" s="77"/>
      <c r="I11" s="77"/>
      <c r="J11" s="77"/>
    </row>
    <row r="12" spans="2:10" ht="14.25" customHeight="1">
      <c r="B12" s="77" t="s">
        <v>184</v>
      </c>
      <c r="C12">
        <v>-24.81</v>
      </c>
      <c r="D12" s="43">
        <v>-23.22</v>
      </c>
      <c r="E12" s="43">
        <v>-5.98</v>
      </c>
      <c r="H12" s="77"/>
      <c r="I12" s="77"/>
      <c r="J12" s="77"/>
    </row>
    <row r="13" spans="2:10" ht="14.25" customHeight="1">
      <c r="B13" s="77" t="s">
        <v>185</v>
      </c>
      <c r="C13">
        <v>-3.53</v>
      </c>
      <c r="D13" s="43">
        <v>-6.31</v>
      </c>
      <c r="E13" s="43">
        <v>-7.24</v>
      </c>
      <c r="H13" s="77"/>
      <c r="I13" s="77"/>
      <c r="J13" s="77"/>
    </row>
    <row r="14" spans="2:10" ht="14.25" customHeight="1">
      <c r="B14" s="77" t="s">
        <v>186</v>
      </c>
      <c r="C14">
        <v>-10.25</v>
      </c>
      <c r="D14" s="43">
        <v>-13.31</v>
      </c>
      <c r="E14" s="43">
        <v>-6.6</v>
      </c>
      <c r="H14" s="77"/>
      <c r="I14" s="77"/>
      <c r="J14" s="77"/>
    </row>
    <row r="15" spans="2:10" ht="14.25" customHeight="1">
      <c r="B15" s="77" t="s">
        <v>187</v>
      </c>
      <c r="C15">
        <v>-2.23</v>
      </c>
      <c r="D15" s="43">
        <v>-2.4</v>
      </c>
      <c r="E15" s="43">
        <v>-1.2</v>
      </c>
      <c r="H15" s="77"/>
      <c r="I15" s="77"/>
      <c r="J15" s="77"/>
    </row>
    <row r="16" spans="2:10" ht="14.25" customHeight="1">
      <c r="B16" s="77" t="s">
        <v>188</v>
      </c>
      <c r="C16">
        <v>-23.8</v>
      </c>
      <c r="D16" s="43">
        <v>57.23</v>
      </c>
      <c r="E16" s="43">
        <v>14.95</v>
      </c>
      <c r="H16" s="77"/>
      <c r="I16" s="77"/>
      <c r="J16" s="77"/>
    </row>
    <row r="17" spans="2:10" ht="14.25" customHeight="1">
      <c r="B17" s="77" t="s">
        <v>189</v>
      </c>
      <c r="C17">
        <v>5112.6000000000004</v>
      </c>
      <c r="D17" s="45">
        <v>5330.55</v>
      </c>
      <c r="E17" s="45">
        <v>3395.57</v>
      </c>
      <c r="H17" s="64"/>
      <c r="I17" s="79"/>
      <c r="J17" s="79"/>
    </row>
    <row r="18" spans="2:10" ht="14.25" customHeight="1">
      <c r="B18" s="77" t="s">
        <v>220</v>
      </c>
      <c r="D18" s="43"/>
      <c r="E18" s="43"/>
      <c r="H18" s="64"/>
      <c r="I18" s="43"/>
      <c r="J18" s="43"/>
    </row>
    <row r="19" spans="2:10" ht="14.25" customHeight="1">
      <c r="B19" s="77" t="s">
        <v>190</v>
      </c>
      <c r="C19">
        <v>-1089.79</v>
      </c>
      <c r="D19" s="43">
        <v>-702.09</v>
      </c>
      <c r="E19" s="43">
        <v>748.91</v>
      </c>
      <c r="H19" s="77"/>
      <c r="I19" s="77"/>
      <c r="J19" s="79"/>
    </row>
    <row r="20" spans="2:10" ht="14.25" customHeight="1">
      <c r="B20" s="77" t="s">
        <v>151</v>
      </c>
      <c r="C20">
        <v>211.52</v>
      </c>
      <c r="D20" s="43">
        <v>172.99</v>
      </c>
      <c r="E20" s="43">
        <v>-891.74</v>
      </c>
      <c r="H20" s="77"/>
      <c r="I20" s="77"/>
      <c r="J20" s="77"/>
    </row>
    <row r="21" spans="2:10" ht="14.25" customHeight="1">
      <c r="B21" s="77" t="s">
        <v>191</v>
      </c>
      <c r="C21">
        <v>-62.36</v>
      </c>
      <c r="D21" s="43">
        <v>-68.849999999999994</v>
      </c>
      <c r="E21" s="43">
        <v>-269.18</v>
      </c>
      <c r="H21" s="77"/>
      <c r="I21" s="77"/>
      <c r="J21" s="77"/>
    </row>
    <row r="22" spans="2:10" ht="14.25" customHeight="1">
      <c r="B22" s="77" t="s">
        <v>192</v>
      </c>
      <c r="C22">
        <v>533.46</v>
      </c>
      <c r="D22" s="45">
        <v>1645.29</v>
      </c>
      <c r="E22" s="43">
        <v>994.98</v>
      </c>
      <c r="H22" s="77"/>
      <c r="I22" s="79"/>
      <c r="J22" s="77"/>
    </row>
    <row r="23" spans="2:10" ht="14.25" customHeight="1">
      <c r="B23" s="77" t="s">
        <v>193</v>
      </c>
      <c r="C23">
        <v>4705.43</v>
      </c>
      <c r="D23" s="45">
        <v>6377.89</v>
      </c>
      <c r="E23" s="45">
        <v>3978.55</v>
      </c>
      <c r="H23" s="64"/>
      <c r="I23" s="79"/>
      <c r="J23" s="79"/>
    </row>
    <row r="24" spans="2:10" ht="14.25" customHeight="1">
      <c r="B24" s="77" t="s">
        <v>194</v>
      </c>
      <c r="C24">
        <v>-1017.31</v>
      </c>
      <c r="D24" s="45">
        <v>-1205.3599999999999</v>
      </c>
      <c r="E24" s="43">
        <v>-769.4</v>
      </c>
      <c r="H24" s="77"/>
      <c r="I24" s="79"/>
      <c r="J24" s="79"/>
    </row>
    <row r="25" spans="2:10" ht="14.25" customHeight="1">
      <c r="B25" s="81" t="s">
        <v>195</v>
      </c>
      <c r="C25" s="82">
        <v>3688.12</v>
      </c>
      <c r="D25" s="83">
        <v>5172.53</v>
      </c>
      <c r="E25" s="83">
        <v>3209.15</v>
      </c>
      <c r="H25" s="64"/>
      <c r="I25" s="79"/>
      <c r="J25" s="79"/>
    </row>
    <row r="26" spans="2:10" ht="14.25" customHeight="1">
      <c r="B26" s="6"/>
      <c r="C26" s="6"/>
      <c r="D26" s="6"/>
      <c r="E26" s="6"/>
    </row>
    <row r="27" spans="2:10" ht="14.25" customHeight="1">
      <c r="B27" s="42" t="s">
        <v>233</v>
      </c>
      <c r="C27" s="6"/>
      <c r="D27" s="6"/>
      <c r="E27" s="6"/>
    </row>
    <row r="28" spans="2:10" ht="14.25" customHeight="1">
      <c r="B28" s="77" t="s">
        <v>196</v>
      </c>
      <c r="C28">
        <v>-3437.63</v>
      </c>
      <c r="D28" s="45">
        <v>-6170.12</v>
      </c>
      <c r="E28" s="45">
        <v>-8497.8700000000008</v>
      </c>
      <c r="H28" s="86"/>
    </row>
    <row r="29" spans="2:10" ht="14.25" customHeight="1">
      <c r="B29" s="77" t="s">
        <v>197</v>
      </c>
      <c r="C29">
        <v>-67.489999999999995</v>
      </c>
      <c r="D29" s="43">
        <v>-40.67</v>
      </c>
      <c r="E29" s="43">
        <v>-336.54</v>
      </c>
    </row>
    <row r="30" spans="2:10" ht="14.25" customHeight="1">
      <c r="B30" s="77" t="s">
        <v>198</v>
      </c>
      <c r="C30">
        <v>0.32</v>
      </c>
      <c r="D30" s="43">
        <v>0.2</v>
      </c>
      <c r="E30" s="43">
        <v>0.99</v>
      </c>
      <c r="G30" s="42"/>
      <c r="H30" s="87"/>
      <c r="I30" s="87"/>
      <c r="J30" s="87"/>
    </row>
    <row r="31" spans="2:10" ht="14.25" customHeight="1">
      <c r="B31" s="77" t="s">
        <v>199</v>
      </c>
      <c r="C31">
        <v>-58.62</v>
      </c>
      <c r="D31" s="43">
        <v>-136.41</v>
      </c>
      <c r="E31" s="43">
        <v>-203.71</v>
      </c>
      <c r="H31" s="64"/>
      <c r="I31" s="79"/>
      <c r="J31" s="79"/>
    </row>
    <row r="32" spans="2:10" ht="14.25" customHeight="1">
      <c r="B32" s="77" t="s">
        <v>200</v>
      </c>
      <c r="C32">
        <v>208.32</v>
      </c>
      <c r="D32" s="43" t="s">
        <v>121</v>
      </c>
      <c r="E32" s="43">
        <v>-259.94</v>
      </c>
      <c r="H32" s="64"/>
      <c r="I32" s="77"/>
      <c r="J32" s="77"/>
    </row>
    <row r="33" spans="2:10" ht="14.25" customHeight="1">
      <c r="B33" s="77" t="s">
        <v>201</v>
      </c>
      <c r="C33">
        <v>-16.28</v>
      </c>
      <c r="D33" s="43">
        <v>3.98</v>
      </c>
      <c r="E33" s="43">
        <v>-6.24</v>
      </c>
      <c r="H33" s="64"/>
      <c r="I33" s="77"/>
      <c r="J33" s="77"/>
    </row>
    <row r="34" spans="2:10" ht="14.25" customHeight="1">
      <c r="B34" s="77" t="s">
        <v>202</v>
      </c>
      <c r="C34">
        <v>2.23</v>
      </c>
      <c r="D34" s="43">
        <v>2.4</v>
      </c>
      <c r="E34" s="43">
        <v>1.2</v>
      </c>
      <c r="H34" s="64"/>
      <c r="I34" s="77"/>
      <c r="J34" s="77"/>
    </row>
    <row r="35" spans="2:10" ht="14.25" customHeight="1">
      <c r="B35" s="77" t="s">
        <v>203</v>
      </c>
      <c r="C35">
        <v>24.81</v>
      </c>
      <c r="D35" s="43">
        <v>23.22</v>
      </c>
      <c r="E35" s="43">
        <v>5.98</v>
      </c>
      <c r="H35" s="77"/>
      <c r="I35" s="77"/>
      <c r="J35" s="77"/>
    </row>
    <row r="36" spans="2:10" ht="14.25" customHeight="1">
      <c r="B36" s="77" t="s">
        <v>204</v>
      </c>
      <c r="C36">
        <v>-418.11</v>
      </c>
      <c r="D36" s="43">
        <v>-781.64</v>
      </c>
      <c r="E36" s="43">
        <v>277.8</v>
      </c>
      <c r="H36" s="64"/>
      <c r="I36" s="77"/>
      <c r="J36" s="77"/>
    </row>
    <row r="37" spans="2:10" ht="14.25" customHeight="1">
      <c r="B37" s="77" t="s">
        <v>205</v>
      </c>
      <c r="C37">
        <v>16.43</v>
      </c>
      <c r="D37" s="43">
        <v>13.54</v>
      </c>
      <c r="E37" s="43">
        <v>6.46</v>
      </c>
      <c r="H37" s="64"/>
      <c r="I37" s="77"/>
      <c r="J37" s="77"/>
    </row>
    <row r="38" spans="2:10" ht="14.25" customHeight="1">
      <c r="B38" s="81" t="s">
        <v>206</v>
      </c>
      <c r="C38" s="81">
        <v>-3746.02</v>
      </c>
      <c r="D38" s="81">
        <v>-7085.5</v>
      </c>
      <c r="E38" s="81">
        <v>-9011.8700000000008</v>
      </c>
      <c r="H38" s="64"/>
      <c r="I38" s="77"/>
      <c r="J38" s="77"/>
    </row>
    <row r="39" spans="2:10" ht="14.25" customHeight="1">
      <c r="B39" s="6"/>
      <c r="C39" s="6"/>
      <c r="D39" s="6"/>
      <c r="E39" s="6"/>
      <c r="H39" s="64"/>
      <c r="I39" s="77"/>
      <c r="J39" s="77"/>
    </row>
    <row r="40" spans="2:10" ht="14.25" customHeight="1">
      <c r="B40" s="42" t="s">
        <v>234</v>
      </c>
      <c r="C40" s="6"/>
      <c r="D40" s="6"/>
      <c r="E40" s="6"/>
      <c r="H40" s="64"/>
      <c r="I40" s="77"/>
      <c r="J40" s="77"/>
    </row>
    <row r="41" spans="2:10" ht="14.25" customHeight="1">
      <c r="B41" s="77" t="s">
        <v>217</v>
      </c>
      <c r="C41" s="78" t="s">
        <v>121</v>
      </c>
      <c r="D41" s="43" t="s">
        <v>121</v>
      </c>
      <c r="E41" s="45">
        <v>1031.55</v>
      </c>
      <c r="H41" s="64"/>
      <c r="I41" s="79"/>
      <c r="J41" s="79"/>
    </row>
    <row r="42" spans="2:10" ht="14.25" customHeight="1">
      <c r="B42" s="77" t="s">
        <v>207</v>
      </c>
      <c r="C42" t="s">
        <v>121</v>
      </c>
      <c r="D42" s="43">
        <v>550.95000000000005</v>
      </c>
      <c r="E42" s="43" t="s">
        <v>121</v>
      </c>
    </row>
    <row r="43" spans="2:10" ht="14.25" customHeight="1">
      <c r="B43" s="77" t="s">
        <v>208</v>
      </c>
      <c r="C43">
        <v>949.64</v>
      </c>
      <c r="D43" s="45">
        <v>2009.56</v>
      </c>
      <c r="E43" s="45">
        <v>4994.28</v>
      </c>
    </row>
    <row r="44" spans="2:10" ht="14.25" customHeight="1">
      <c r="B44" s="77" t="s">
        <v>209</v>
      </c>
      <c r="C44">
        <v>39.5</v>
      </c>
      <c r="D44" s="43">
        <v>263.5</v>
      </c>
      <c r="E44" s="43">
        <v>-149.71</v>
      </c>
      <c r="H44" s="86"/>
    </row>
    <row r="45" spans="2:10" ht="14.25" customHeight="1">
      <c r="B45" s="77" t="s">
        <v>210</v>
      </c>
      <c r="C45">
        <v>-20.99</v>
      </c>
      <c r="D45" s="43">
        <v>245.2</v>
      </c>
      <c r="E45" s="43">
        <v>773.77</v>
      </c>
    </row>
    <row r="46" spans="2:10" ht="14.25" customHeight="1">
      <c r="B46" s="77" t="s">
        <v>211</v>
      </c>
      <c r="C46">
        <v>-13.6</v>
      </c>
      <c r="D46" s="43">
        <v>-17.309999999999999</v>
      </c>
      <c r="E46" s="43">
        <v>-87.86</v>
      </c>
      <c r="H46" s="87"/>
      <c r="I46" s="87"/>
      <c r="J46" s="87"/>
    </row>
    <row r="47" spans="2:10" ht="14.25" customHeight="1">
      <c r="B47" s="77" t="s">
        <v>212</v>
      </c>
      <c r="C47">
        <v>0.9</v>
      </c>
      <c r="D47" s="43">
        <v>0.93</v>
      </c>
      <c r="E47" s="43">
        <v>1.08</v>
      </c>
      <c r="H47" s="64"/>
      <c r="I47" s="77"/>
      <c r="J47" s="77"/>
    </row>
    <row r="48" spans="2:10" ht="14.25" customHeight="1">
      <c r="B48" s="77" t="s">
        <v>213</v>
      </c>
      <c r="C48">
        <v>-7.58</v>
      </c>
      <c r="D48" s="43">
        <v>-13.99</v>
      </c>
      <c r="E48" s="43">
        <v>-53.29</v>
      </c>
      <c r="H48" s="64"/>
      <c r="I48" s="79"/>
      <c r="J48" s="77"/>
    </row>
    <row r="49" spans="2:10" ht="14.25" customHeight="1">
      <c r="B49" s="77" t="s">
        <v>214</v>
      </c>
      <c r="C49">
        <v>-735.63</v>
      </c>
      <c r="D49" s="45">
        <v>-1250.57</v>
      </c>
      <c r="E49" s="43">
        <v>-687.63</v>
      </c>
      <c r="H49" s="64"/>
      <c r="I49" s="77"/>
      <c r="J49" s="77"/>
    </row>
    <row r="50" spans="2:10" ht="14.25" customHeight="1">
      <c r="B50" s="77" t="s">
        <v>215</v>
      </c>
      <c r="C50" t="s">
        <v>121</v>
      </c>
      <c r="D50" s="43">
        <v>3.31</v>
      </c>
      <c r="E50" s="43">
        <v>0.72</v>
      </c>
      <c r="H50" s="64"/>
      <c r="I50" s="77"/>
      <c r="J50" s="77"/>
    </row>
    <row r="51" spans="2:10" ht="14.25" customHeight="1">
      <c r="B51" s="81" t="s">
        <v>216</v>
      </c>
      <c r="C51" s="81">
        <v>212.24</v>
      </c>
      <c r="D51" s="81">
        <v>1791.56</v>
      </c>
      <c r="E51" s="81">
        <v>5822.93</v>
      </c>
      <c r="H51" s="64"/>
      <c r="I51" s="77"/>
      <c r="J51" s="77"/>
    </row>
    <row r="52" spans="2:10" ht="14.25" customHeight="1">
      <c r="H52" s="64"/>
      <c r="I52" s="77"/>
      <c r="J52" s="77"/>
    </row>
    <row r="53" spans="2:10" ht="14.25" customHeight="1">
      <c r="B53" s="85" t="s">
        <v>218</v>
      </c>
      <c r="C53" s="85">
        <v>154.34</v>
      </c>
      <c r="D53" s="85">
        <v>-121.39</v>
      </c>
      <c r="E53" s="85">
        <v>20.21</v>
      </c>
      <c r="H53" s="64"/>
      <c r="I53" s="77"/>
      <c r="J53" s="77"/>
    </row>
    <row r="54" spans="2:10" ht="14.25" customHeight="1">
      <c r="B54" s="84" t="s">
        <v>219</v>
      </c>
      <c r="C54" s="84">
        <v>10.24</v>
      </c>
      <c r="D54" s="84">
        <v>164.58</v>
      </c>
      <c r="E54" s="84">
        <v>43.19</v>
      </c>
      <c r="H54" s="64"/>
      <c r="I54" s="79"/>
      <c r="J54" s="77"/>
    </row>
    <row r="55" spans="2:10" ht="14.25" customHeight="1">
      <c r="B55" s="84" t="s">
        <v>222</v>
      </c>
      <c r="C55" s="84">
        <v>164.58</v>
      </c>
      <c r="D55" s="84">
        <v>43.19</v>
      </c>
      <c r="E55" s="84">
        <v>63.4</v>
      </c>
      <c r="H55" s="64"/>
      <c r="I55" s="77"/>
      <c r="J55" s="77"/>
    </row>
    <row r="56" spans="2:10" ht="14.25" customHeight="1">
      <c r="H56" s="64"/>
      <c r="I56" s="79"/>
      <c r="J56" s="77"/>
    </row>
    <row r="57" spans="2:10" ht="14.25" customHeight="1"/>
    <row r="58" spans="2:10" ht="14.25" customHeight="1"/>
    <row r="59" spans="2:10" ht="14.25" customHeight="1">
      <c r="H59" s="86"/>
    </row>
    <row r="60" spans="2:10" ht="14.25" customHeight="1"/>
    <row r="61" spans="2:10" ht="14.25" customHeight="1">
      <c r="H61" s="87"/>
      <c r="I61" s="87"/>
      <c r="J61" s="87"/>
    </row>
    <row r="62" spans="2:10" ht="14.25" customHeight="1">
      <c r="H62" s="64"/>
      <c r="I62" s="77"/>
      <c r="J62" s="77"/>
    </row>
    <row r="63" spans="2:10" ht="14.25" customHeight="1"/>
    <row r="64" spans="2:10" ht="14.25" customHeight="1"/>
    <row r="65" spans="8:10" ht="14.25" customHeight="1">
      <c r="H65" s="86"/>
    </row>
    <row r="66" spans="8:10" ht="14.25" customHeight="1"/>
    <row r="67" spans="8:10" ht="14.25" customHeight="1">
      <c r="H67" s="87"/>
      <c r="I67" s="87"/>
      <c r="J67" s="87"/>
    </row>
    <row r="68" spans="8:10" ht="14.25" customHeight="1">
      <c r="H68" s="64"/>
      <c r="I68" s="77"/>
      <c r="J68" s="77"/>
    </row>
    <row r="69" spans="8:10" ht="14.25" customHeight="1"/>
    <row r="70" spans="8:10" ht="14.25" customHeight="1"/>
    <row r="71" spans="8:10" ht="14.25" customHeight="1">
      <c r="H71" s="86"/>
    </row>
    <row r="72" spans="8:10" ht="14.25" customHeight="1"/>
    <row r="73" spans="8:10" ht="14.25" customHeight="1">
      <c r="H73" s="87"/>
      <c r="I73" s="87"/>
      <c r="J73" s="87"/>
    </row>
    <row r="74" spans="8:10" ht="14.25" customHeight="1">
      <c r="H74" s="64"/>
      <c r="I74" s="77"/>
      <c r="J74" s="77"/>
    </row>
    <row r="75" spans="8:10" ht="14.25" customHeight="1"/>
    <row r="76" spans="8:10" ht="14.25" customHeight="1"/>
    <row r="77" spans="8:10" ht="14.25" customHeight="1">
      <c r="H77" s="78"/>
    </row>
    <row r="78" spans="8:10" ht="14.25" customHeight="1"/>
    <row r="79" spans="8:10" ht="14.25" customHeight="1"/>
    <row r="80" spans="8:1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1">
    <mergeCell ref="B2:E2"/>
  </mergeCells>
  <pageMargins left="0.7" right="0.7" top="0.75" bottom="0.75" header="0" footer="0"/>
  <pageSetup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Cover Page</vt:lpstr>
      <vt:lpstr>Free Cash Flow</vt:lpstr>
      <vt:lpstr>Fixed Assets</vt:lpstr>
      <vt:lpstr>Net Working Capital</vt:lpstr>
      <vt:lpstr>DCF</vt:lpstr>
      <vt:lpstr>WACC</vt:lpstr>
      <vt:lpstr>Data Source --&gt;</vt:lpstr>
      <vt:lpstr>Income Statement</vt:lpstr>
      <vt:lpstr>Balance Sheet</vt:lpstr>
      <vt:lpstr>Cash Flow Statement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Q</dc:creator>
  <cp:lastModifiedBy>Aakashneel Kashyapan</cp:lastModifiedBy>
  <dcterms:created xsi:type="dcterms:W3CDTF">2022-06-25T16:24:49Z</dcterms:created>
  <dcterms:modified xsi:type="dcterms:W3CDTF">2024-11-20T09:12:20Z</dcterms:modified>
</cp:coreProperties>
</file>