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queryTables/queryTable1.xml" ContentType="application/vnd.openxmlformats-officedocument.spreadsheetml.queryTable+xml"/>
  <Override PartName="/xl/tables/table11.xml" ContentType="application/vnd.openxmlformats-officedocument.spreadsheetml.table+xml"/>
  <Override PartName="/xl/queryTables/queryTable2.xml" ContentType="application/vnd.openxmlformats-officedocument.spreadsheetml.queryTable+xml"/>
  <Override PartName="/xl/tables/table12.xml" ContentType="application/vnd.openxmlformats-officedocument.spreadsheetml.table+xml"/>
  <Override PartName="/xl/queryTables/queryTable3.xml" ContentType="application/vnd.openxmlformats-officedocument.spreadsheetml.queryTable+xml"/>
  <Override PartName="/xl/tables/table13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8001_{0E608501-738C-48EF-AF8E-066B6A7AA843}" xr6:coauthVersionLast="47" xr6:coauthVersionMax="47" xr10:uidLastSave="{00000000-0000-0000-0000-000000000000}"/>
  <bookViews>
    <workbookView xWindow="-90" yWindow="-90" windowWidth="19380" windowHeight="10260" xr2:uid="{93966B60-7B50-4EF6-87A2-E1815D51471F}"/>
  </bookViews>
  <sheets>
    <sheet name="Zakah Engine" sheetId="8" r:id="rId1"/>
    <sheet name="Inventory" sheetId="7" r:id="rId2"/>
    <sheet name="Exchange Rates" sheetId="3" r:id="rId3"/>
  </sheets>
  <definedNames>
    <definedName name="ExternalData_1" localSheetId="2" hidden="1">'Exchange Rates'!$A$11:$A$12</definedName>
    <definedName name="ExternalData_2" localSheetId="2" hidden="1">'Exchange Rates'!$B$11:$B$12</definedName>
    <definedName name="ExternalData_3" localSheetId="2" hidden="1">'Exchange Rates'!$A$14:$C$19</definedName>
    <definedName name="ExternalData_4" localSheetId="2" hidden="1">'Exchange Rates'!$A$1:$D$8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7" l="1"/>
  <c r="L3" i="7"/>
  <c r="K2" i="7" a="1"/>
  <c r="K2" i="7" s="1"/>
  <c r="K3" i="7" a="1"/>
  <c r="K3" i="7" s="1"/>
  <c r="E2" i="3"/>
  <c r="E3" i="3"/>
  <c r="E4" i="3"/>
  <c r="E5" i="3"/>
  <c r="E6" i="3"/>
  <c r="E7" i="3"/>
  <c r="E8" i="3"/>
  <c r="N13" i="8"/>
  <c r="O2" i="8"/>
  <c r="O3" i="8"/>
  <c r="O4" i="8"/>
  <c r="O5" i="8"/>
  <c r="O6" i="8"/>
  <c r="O7" i="8"/>
  <c r="O8" i="8"/>
  <c r="O9" i="8"/>
  <c r="O10" i="8"/>
  <c r="O11" i="8"/>
  <c r="O12" i="8"/>
  <c r="J15" i="8"/>
  <c r="K14" i="8"/>
  <c r="K8" i="8"/>
  <c r="K9" i="8"/>
  <c r="K10" i="8"/>
  <c r="K11" i="8"/>
  <c r="K12" i="8"/>
  <c r="K13" i="8"/>
  <c r="J5" i="8"/>
  <c r="K4" i="8"/>
  <c r="K3" i="8"/>
  <c r="K2" i="8"/>
  <c r="C12" i="8"/>
  <c r="C13" i="8"/>
  <c r="C11" i="8"/>
  <c r="C14" i="8"/>
  <c r="H9" i="3"/>
  <c r="I8" i="3"/>
  <c r="I7" i="3"/>
  <c r="I6" i="3"/>
  <c r="I5" i="3"/>
  <c r="I4" i="3"/>
  <c r="I3" i="3"/>
  <c r="I2" i="3"/>
  <c r="F33" i="7"/>
  <c r="B14" i="8" s="1"/>
  <c r="E33" i="7"/>
  <c r="B13" i="8" s="1"/>
  <c r="D33" i="7"/>
  <c r="J10" i="7" s="1"/>
  <c r="K10" i="7" s="1"/>
  <c r="C33" i="7"/>
  <c r="B11" i="8" s="1"/>
  <c r="F27" i="7"/>
  <c r="B6" i="8" s="1"/>
  <c r="E27" i="7"/>
  <c r="B5" i="8" s="1"/>
  <c r="D27" i="7"/>
  <c r="B4" i="8" s="1"/>
  <c r="C27" i="7"/>
  <c r="B3" i="8" s="1"/>
  <c r="C5" i="8" a="1"/>
  <c r="C5" i="8" s="1"/>
  <c r="C3" i="8" a="1"/>
  <c r="C3" i="8" s="1"/>
  <c r="I9" i="3" l="1"/>
  <c r="L10" i="7"/>
  <c r="M10" i="7"/>
  <c r="J8" i="7"/>
  <c r="K8" i="7" s="1" a="1"/>
  <c r="K8" i="7" s="1"/>
  <c r="J7" i="7"/>
  <c r="J9" i="7"/>
  <c r="K9" i="7" s="1"/>
  <c r="J11" i="7"/>
  <c r="K11" i="7" s="1"/>
  <c r="J12" i="7"/>
  <c r="K12" i="7" s="1"/>
  <c r="B7" i="8"/>
  <c r="K15" i="8"/>
  <c r="O13" i="8"/>
  <c r="K5" i="8"/>
  <c r="D14" i="8"/>
  <c r="B12" i="8"/>
  <c r="D12" i="8" s="1"/>
  <c r="D13" i="8"/>
  <c r="D11" i="8"/>
  <c r="D3" i="8"/>
  <c r="D5" i="8"/>
  <c r="J13" i="7" l="1"/>
  <c r="M12" i="7"/>
  <c r="L12" i="7"/>
  <c r="L11" i="7"/>
  <c r="M11" i="7"/>
  <c r="L9" i="7"/>
  <c r="M9" i="7"/>
  <c r="L8" i="7"/>
  <c r="M8" i="7"/>
  <c r="B15" i="8"/>
  <c r="K7" i="7" a="1"/>
  <c r="K7" i="7" s="1"/>
  <c r="D15" i="8"/>
  <c r="F14" i="8" s="1"/>
  <c r="G16" i="8" s="1"/>
  <c r="D7" i="8"/>
  <c r="F8" i="8" s="1"/>
  <c r="G10" i="8" s="1"/>
  <c r="L7" i="7" l="1"/>
  <c r="L13" i="7" s="1"/>
  <c r="M7" i="7"/>
  <c r="M13" i="7" s="1"/>
  <c r="K13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CFCD0E-2FAF-45C2-8B8F-058274DF3DA3}" keepAlive="1" name="Query - ckure18K (2)" description="Connection to the 'ckure18K (2)' query in the workbook." type="5" refreshedVersion="8" background="1" refreshOnLoad="1">
    <dbPr connection="Provider=Microsoft.Mashup.OleDb.1;Data Source=$Workbook$;Location=&quot;ckure18K (2)&quot;;Extended Properties=&quot;&quot;" command="SELECT * FROM [ckure18K (2)]"/>
  </connection>
  <connection id="2" xr16:uid="{574DA963-4F26-46C5-B292-2E7BC9EA6D59}" keepAlive="1" name="Query - ckure22K (2)" description="Connection to the 'ckure22K (2)' query in the workbook." type="5" refreshedVersion="8" background="1" refreshOnLoad="1">
    <dbPr connection="Provider=Microsoft.Mashup.OleDb.1;Data Source=$Workbook$;Location=&quot;ckure22K (2)&quot;;Extended Properties=&quot;&quot;" command="SELECT * FROM [ckure22K (2)]"/>
  </connection>
  <connection id="3" xr16:uid="{4A900C9A-0978-40E9-9F12-99384D0A79CD}" keepAlive="1" name="Query - KT Currency" description="Connection to the 'KT Currency' query in the workbook." type="5" refreshedVersion="8" background="1" refreshOnLoad="1">
    <dbPr connection="Provider=Microsoft.Mashup.OleDb.1;Data Source=$Workbook$;Location=&quot;KT Currency&quot;;Extended Properties=&quot;&quot;" command="SELECT * FROM [KT Currency]"/>
  </connection>
  <connection id="4" xr16:uid="{9C632F1F-6B4E-4FAC-AFC5-11B8DBD9E17C}" keepAlive="1" name="Query - KT Gold (2)" description="Connection to the 'KT Gold (2)' query in the workbook." type="5" refreshedVersion="8" background="1" refreshOnLoad="1">
    <dbPr connection="Provider=Microsoft.Mashup.OleDb.1;Data Source=$Workbook$;Location=&quot;KT Gold (2)&quot;;Extended Properties=&quot;&quot;" command="SELECT * FROM [KT Gold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<sst xmlns="http://schemas.openxmlformats.org/spreadsheetml/2006/main" count="108" uniqueCount="72">
  <si>
    <t>22K</t>
  </si>
  <si>
    <t>18K</t>
  </si>
  <si>
    <t>Item</t>
  </si>
  <si>
    <t>Total</t>
  </si>
  <si>
    <t>Total Price</t>
  </si>
  <si>
    <t>Date</t>
  </si>
  <si>
    <t>INR</t>
  </si>
  <si>
    <t>1g</t>
  </si>
  <si>
    <t>HDFC</t>
  </si>
  <si>
    <t>Canara</t>
  </si>
  <si>
    <t>Amount</t>
  </si>
  <si>
    <t>JK-Bank</t>
  </si>
  <si>
    <t>EPF</t>
  </si>
  <si>
    <t>Cash</t>
  </si>
  <si>
    <t>Ribah</t>
  </si>
  <si>
    <t>Zakat</t>
  </si>
  <si>
    <t>HSBC</t>
  </si>
  <si>
    <t>AED</t>
  </si>
  <si>
    <t>Darb</t>
  </si>
  <si>
    <t>Salik</t>
  </si>
  <si>
    <t>Smile</t>
  </si>
  <si>
    <t>RTA Nol</t>
  </si>
  <si>
    <t>Etisalat</t>
  </si>
  <si>
    <t>E&amp;</t>
  </si>
  <si>
    <t>RTA Par</t>
  </si>
  <si>
    <t>Zakat (for Gold in SXR)</t>
  </si>
  <si>
    <t>Purity</t>
  </si>
  <si>
    <t>Limit</t>
  </si>
  <si>
    <t>CBD</t>
  </si>
  <si>
    <t>EI</t>
  </si>
  <si>
    <t>FAB (DF)</t>
  </si>
  <si>
    <t>citi</t>
  </si>
  <si>
    <t>Njam</t>
  </si>
  <si>
    <t>CC (in Dhs)</t>
  </si>
  <si>
    <t>amazon</t>
  </si>
  <si>
    <t>21K</t>
  </si>
  <si>
    <t>Zakat (for Gold in DXB)</t>
  </si>
  <si>
    <t>Items in DXB</t>
  </si>
  <si>
    <t>24K</t>
  </si>
  <si>
    <t>Iflah INR</t>
  </si>
  <si>
    <t>HSBC*3</t>
  </si>
  <si>
    <t>Mashreq*2</t>
  </si>
  <si>
    <t>Debt</t>
  </si>
  <si>
    <t>Debt in INR</t>
  </si>
  <si>
    <t>Unit Price 22K (SXR)</t>
  </si>
  <si>
    <t>#</t>
  </si>
  <si>
    <t>Column1</t>
  </si>
  <si>
    <t>In AED</t>
  </si>
  <si>
    <t>In INR</t>
  </si>
  <si>
    <t>Sum</t>
  </si>
  <si>
    <t>Gold Bisciut</t>
  </si>
  <si>
    <t>E&amp; Money</t>
  </si>
  <si>
    <t>Totals</t>
  </si>
  <si>
    <t>Gram(s)</t>
  </si>
  <si>
    <t>Statistics</t>
  </si>
  <si>
    <t>Gold</t>
  </si>
  <si>
    <t>Weight</t>
  </si>
  <si>
    <t>SXR_18</t>
  </si>
  <si>
    <t>SXR_22</t>
  </si>
  <si>
    <t>DXB_18</t>
  </si>
  <si>
    <t>DXB_22</t>
  </si>
  <si>
    <t>DXB_24</t>
  </si>
  <si>
    <t>DXB_21</t>
  </si>
  <si>
    <t>RAW Value</t>
  </si>
  <si>
    <t>v(INR)</t>
  </si>
  <si>
    <t>v(AED)</t>
  </si>
  <si>
    <t>Citi</t>
  </si>
  <si>
    <t>person1</t>
  </si>
  <si>
    <t>person2</t>
  </si>
  <si>
    <t>Gold Coins (x, x, x, x)</t>
  </si>
  <si>
    <t>Necklace</t>
  </si>
  <si>
    <t>IndiaGoldRate.co.in (value in sxr)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</si>
</sst>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4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theme="7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theme="7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theme="7"/>
      </left>
      <right/>
      <top style="thin">
        <color theme="7"/>
      </top>
      <bottom style="medium">
        <color theme="7"/>
      </bottom>
      <diagonal/>
    </border>
    <border>
      <left/>
      <right/>
      <top style="thin">
        <color theme="7"/>
      </top>
      <bottom style="medium">
        <color theme="7"/>
      </bottom>
      <diagonal/>
    </border>
    <border>
      <left/>
      <right style="thin">
        <color theme="7"/>
      </right>
      <top style="thin">
        <color theme="7"/>
      </top>
      <bottom style="medium">
        <color theme="7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89">
    <xf numFmtId="0" fontId="0" fillId="0" borderId="0" xfId="0"/>
    <xf numFmtId="43" fontId="2" fillId="5" borderId="14" xfId="1" applyFont="1" applyFill="1" applyBorder="1" applyAlignment="1">
      <alignment horizontal="center"/>
    </xf>
    <xf numFmtId="43" fontId="0" fillId="0" borderId="0" xfId="1" applyFont="1" applyAlignment="1">
      <alignment horizontal="center"/>
    </xf>
    <xf numFmtId="43" fontId="0" fillId="0" borderId="28" xfId="1" applyFont="1" applyBorder="1" applyAlignment="1">
      <alignment horizontal="center"/>
    </xf>
    <xf numFmtId="43" fontId="0" fillId="0" borderId="29" xfId="1" applyFont="1" applyBorder="1" applyAlignment="1">
      <alignment horizontal="center"/>
    </xf>
    <xf numFmtId="0" fontId="0" fillId="0" borderId="2" xfId="0" applyBorder="1"/>
    <xf numFmtId="0" fontId="0" fillId="0" borderId="25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6" fillId="0" borderId="25" xfId="0" applyFont="1" applyBorder="1"/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1" xfId="0" applyFont="1" applyBorder="1"/>
    <xf numFmtId="0" fontId="6" fillId="0" borderId="7" xfId="0" applyFont="1" applyBorder="1"/>
    <xf numFmtId="0" fontId="6" fillId="0" borderId="5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6" fillId="0" borderId="7" xfId="0" applyFont="1" applyBorder="1" applyAlignment="1">
      <alignment horizontal="right"/>
    </xf>
    <xf numFmtId="0" fontId="6" fillId="0" borderId="6" xfId="0" applyFont="1" applyBorder="1" applyAlignment="1">
      <alignment horizontal="center"/>
    </xf>
    <xf numFmtId="43" fontId="0" fillId="0" borderId="0" xfId="0" applyNumberFormat="1"/>
    <xf numFmtId="43" fontId="1" fillId="0" borderId="0" xfId="0" applyNumberFormat="1" applyFont="1"/>
    <xf numFmtId="0" fontId="6" fillId="0" borderId="25" xfId="0" applyFont="1" applyBorder="1" applyAlignment="1">
      <alignment horizontal="right"/>
    </xf>
    <xf numFmtId="0" fontId="6" fillId="0" borderId="28" xfId="0" applyFont="1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0" fillId="0" borderId="28" xfId="0" applyBorder="1"/>
    <xf numFmtId="43" fontId="1" fillId="0" borderId="31" xfId="0" applyNumberFormat="1" applyFont="1" applyBorder="1"/>
    <xf numFmtId="0" fontId="0" fillId="0" borderId="29" xfId="0" applyBorder="1"/>
    <xf numFmtId="0" fontId="1" fillId="0" borderId="0" xfId="0" applyFont="1"/>
    <xf numFmtId="43" fontId="0" fillId="0" borderId="30" xfId="0" applyNumberFormat="1" applyBorder="1"/>
    <xf numFmtId="0" fontId="0" fillId="0" borderId="31" xfId="0" applyBorder="1"/>
    <xf numFmtId="0" fontId="5" fillId="0" borderId="3" xfId="2" applyNumberFormat="1" applyBorder="1"/>
    <xf numFmtId="43" fontId="4" fillId="0" borderId="0" xfId="1" applyFont="1" applyBorder="1" applyAlignment="1">
      <alignment horizontal="center"/>
    </xf>
    <xf numFmtId="0" fontId="4" fillId="0" borderId="17" xfId="1" applyNumberFormat="1" applyFont="1" applyBorder="1" applyAlignment="1">
      <alignment horizontal="center"/>
    </xf>
    <xf numFmtId="0" fontId="0" fillId="0" borderId="10" xfId="0" applyBorder="1"/>
    <xf numFmtId="0" fontId="0" fillId="0" borderId="21" xfId="0" applyBorder="1"/>
    <xf numFmtId="0" fontId="4" fillId="0" borderId="4" xfId="1" applyNumberFormat="1" applyFont="1" applyBorder="1" applyAlignment="1">
      <alignment horizontal="center"/>
    </xf>
    <xf numFmtId="0" fontId="4" fillId="0" borderId="6" xfId="1" applyNumberFormat="1" applyFont="1" applyBorder="1" applyAlignment="1">
      <alignment horizontal="center"/>
    </xf>
    <xf numFmtId="43" fontId="4" fillId="0" borderId="15" xfId="1" applyFont="1" applyBorder="1" applyAlignment="1">
      <alignment horizontal="center"/>
    </xf>
    <xf numFmtId="43" fontId="4" fillId="0" borderId="16" xfId="1" applyFont="1" applyBorder="1" applyAlignment="1">
      <alignment horizontal="center"/>
    </xf>
    <xf numFmtId="43" fontId="7" fillId="7" borderId="1" xfId="1" applyFont="1" applyFill="1" applyBorder="1" applyAlignment="1">
      <alignment horizontal="center"/>
    </xf>
    <xf numFmtId="43" fontId="7" fillId="7" borderId="13" xfId="1" applyFont="1" applyFill="1" applyBorder="1" applyAlignment="1">
      <alignment horizontal="center"/>
    </xf>
    <xf numFmtId="43" fontId="7" fillId="7" borderId="9" xfId="1" applyFont="1" applyFill="1" applyBorder="1" applyAlignment="1">
      <alignment horizontal="center"/>
    </xf>
    <xf numFmtId="43" fontId="7" fillId="7" borderId="10" xfId="1" applyFont="1" applyFill="1" applyBorder="1" applyAlignment="1">
      <alignment horizontal="center"/>
    </xf>
    <xf numFmtId="43" fontId="7" fillId="7" borderId="11" xfId="1" applyFont="1" applyFill="1" applyBorder="1" applyAlignment="1">
      <alignment horizontal="center"/>
    </xf>
    <xf numFmtId="43" fontId="7" fillId="7" borderId="12" xfId="1" applyFont="1" applyFill="1" applyBorder="1" applyAlignment="1">
      <alignment horizontal="left"/>
    </xf>
    <xf numFmtId="43" fontId="7" fillId="7" borderId="23" xfId="1" applyFont="1" applyFill="1" applyBorder="1" applyAlignment="1">
      <alignment horizontal="left"/>
    </xf>
    <xf numFmtId="43" fontId="7" fillId="7" borderId="7" xfId="1" applyFont="1" applyFill="1" applyBorder="1" applyAlignment="1">
      <alignment horizontal="center"/>
    </xf>
    <xf numFmtId="43" fontId="7" fillId="7" borderId="22" xfId="1" applyFont="1" applyFill="1" applyBorder="1" applyAlignment="1">
      <alignment horizontal="center"/>
    </xf>
    <xf numFmtId="0" fontId="7" fillId="7" borderId="28" xfId="0" applyFont="1" applyFill="1" applyBorder="1" applyAlignment="1">
      <alignment horizontal="left"/>
    </xf>
    <xf numFmtId="0" fontId="1" fillId="0" borderId="31" xfId="0" applyFont="1" applyBorder="1"/>
    <xf numFmtId="43" fontId="6" fillId="0" borderId="0" xfId="0" applyNumberFormat="1" applyFont="1" applyAlignment="1">
      <alignment horizontal="center"/>
    </xf>
    <xf numFmtId="43" fontId="0" fillId="8" borderId="0" xfId="0" applyNumberFormat="1" applyFill="1"/>
    <xf numFmtId="43" fontId="6" fillId="4" borderId="14" xfId="0" applyNumberFormat="1" applyFont="1" applyFill="1" applyBorder="1"/>
    <xf numFmtId="43" fontId="1" fillId="4" borderId="14" xfId="0" applyNumberFormat="1" applyFont="1" applyFill="1" applyBorder="1"/>
    <xf numFmtId="43" fontId="2" fillId="4" borderId="14" xfId="0" applyNumberFormat="1" applyFont="1" applyFill="1" applyBorder="1"/>
    <xf numFmtId="43" fontId="6" fillId="0" borderId="31" xfId="0" applyNumberFormat="1" applyFont="1" applyBorder="1" applyAlignment="1">
      <alignment horizontal="center"/>
    </xf>
    <xf numFmtId="43" fontId="6" fillId="0" borderId="29" xfId="0" applyNumberFormat="1" applyFont="1" applyBorder="1" applyAlignment="1">
      <alignment horizontal="center"/>
    </xf>
    <xf numFmtId="43" fontId="6" fillId="0" borderId="25" xfId="0" applyNumberFormat="1" applyFont="1" applyBorder="1"/>
    <xf numFmtId="43" fontId="6" fillId="0" borderId="25" xfId="0" applyNumberFormat="1" applyFont="1" applyBorder="1" applyAlignment="1">
      <alignment horizontal="right"/>
    </xf>
    <xf numFmtId="0" fontId="6" fillId="0" borderId="3" xfId="0" applyFont="1" applyBorder="1"/>
    <xf numFmtId="43" fontId="6" fillId="0" borderId="1" xfId="0" applyNumberFormat="1" applyFont="1" applyBorder="1"/>
    <xf numFmtId="43" fontId="6" fillId="0" borderId="1" xfId="0" applyNumberFormat="1" applyFont="1" applyBorder="1" applyAlignment="1">
      <alignment horizontal="right"/>
    </xf>
    <xf numFmtId="0" fontId="6" fillId="0" borderId="5" xfId="0" applyFont="1" applyBorder="1"/>
    <xf numFmtId="43" fontId="6" fillId="0" borderId="7" xfId="0" applyNumberFormat="1" applyFont="1" applyBorder="1"/>
    <xf numFmtId="0" fontId="6" fillId="0" borderId="8" xfId="0" applyFont="1" applyBorder="1"/>
    <xf numFmtId="43" fontId="2" fillId="0" borderId="31" xfId="0" applyNumberFormat="1" applyFont="1" applyBorder="1"/>
    <xf numFmtId="0" fontId="6" fillId="0" borderId="29" xfId="0" applyFont="1" applyBorder="1"/>
    <xf numFmtId="0" fontId="0" fillId="0" borderId="0" xfId="0" applyAlignment="1">
      <alignment horizontal="center"/>
    </xf>
    <xf numFmtId="43" fontId="7" fillId="7" borderId="36" xfId="0" applyNumberFormat="1" applyFont="1" applyFill="1" applyBorder="1"/>
    <xf numFmtId="43" fontId="7" fillId="10" borderId="14" xfId="0" applyNumberFormat="1" applyFont="1" applyFill="1" applyBorder="1"/>
    <xf numFmtId="43" fontId="1" fillId="2" borderId="24" xfId="0" applyNumberFormat="1" applyFont="1" applyFill="1" applyBorder="1" applyAlignment="1">
      <alignment horizontal="center"/>
    </xf>
    <xf numFmtId="43" fontId="1" fillId="2" borderId="32" xfId="0" applyNumberFormat="1" applyFont="1" applyFill="1" applyBorder="1" applyAlignment="1">
      <alignment horizontal="center"/>
    </xf>
    <xf numFmtId="43" fontId="1" fillId="2" borderId="20" xfId="0" applyNumberFormat="1" applyFont="1" applyFill="1" applyBorder="1" applyAlignment="1">
      <alignment horizontal="center"/>
    </xf>
    <xf numFmtId="43" fontId="3" fillId="6" borderId="18" xfId="1" applyFont="1" applyFill="1" applyBorder="1" applyAlignment="1">
      <alignment horizontal="center" vertical="center"/>
    </xf>
    <xf numFmtId="43" fontId="3" fillId="6" borderId="19" xfId="1" applyFont="1" applyFill="1" applyBorder="1" applyAlignment="1">
      <alignment horizontal="center" vertical="center"/>
    </xf>
    <xf numFmtId="43" fontId="3" fillId="6" borderId="26" xfId="1" applyFont="1" applyFill="1" applyBorder="1" applyAlignment="1">
      <alignment horizontal="center" vertical="center"/>
    </xf>
    <xf numFmtId="43" fontId="3" fillId="6" borderId="27" xfId="1" applyFont="1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1" fillId="11" borderId="33" xfId="0" applyFont="1" applyFill="1" applyBorder="1" applyAlignment="1">
      <alignment horizontal="center"/>
    </xf>
    <xf numFmtId="0" fontId="1" fillId="11" borderId="34" xfId="0" applyFont="1" applyFill="1" applyBorder="1" applyAlignment="1">
      <alignment horizontal="center"/>
    </xf>
    <xf numFmtId="0" fontId="1" fillId="11" borderId="35" xfId="0" applyFont="1" applyFill="1" applyBorder="1" applyAlignment="1">
      <alignment horizontal="center"/>
    </xf>
    <xf numFmtId="43" fontId="6" fillId="3" borderId="24" xfId="1" applyFont="1" applyFill="1" applyBorder="1" applyAlignment="1">
      <alignment horizontal="center"/>
    </xf>
    <xf numFmtId="43" fontId="6" fillId="3" borderId="20" xfId="1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numFmt numFmtId="35" formatCode="_(* #,##0.00_);_(* \(#,##0.00\);_(* &quot;-&quot;??_);_(@_)"/>
    </dxf>
    <dxf>
      <numFmt numFmtId="35" formatCode="_(* #,##0.00_);_(* \(#,##0.0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rgb="FF92D050"/>
        </patternFill>
      </fill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rgb="FF92D050"/>
        </patternFill>
      </fill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rgb="FF92D050"/>
        </patternFill>
      </fill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</dxf>
    <dxf>
      <border>
        <bottom style="medium">
          <color indexed="64"/>
        </bottom>
      </border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alignment horizontal="center" vertical="bottom" textRotation="0" wrapText="0" indent="0" justifyLastLine="0" shrinkToFit="0" readingOrder="0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5" formatCode="_(* #,##0.00_);_(* \(#,##0.00\);_(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5" formatCode="_(* #,##0.00_);_(* \(#,##0.00\);_(* &quot;-&quot;??_);_(@_)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medium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numFmt numFmtId="35" formatCode="_(* #,##0.00_);_(* \(#,##0.00\);_(* &quot;-&quot;??_);_(@_)"/>
      <border diagonalUp="0" diagonalDown="0">
        <left/>
        <right/>
        <top/>
        <bottom/>
        <vertical/>
        <horizontal/>
      </border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numFmt numFmtId="35" formatCode="_(* #,##0.00_);_(* \(#,##0.00\);_(* &quot;-&quot;??_);_(@_)"/>
      <border diagonalUp="0" diagonalDown="0">
        <left/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rgb="FF92D050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numFmt numFmtId="35" formatCode="_(* #,##0.00_);_(* \(#,##0.0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numFmt numFmtId="35" formatCode="_(* #,##0.00_);_(* \(#,##0.0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5" formatCode="_(* #,##0.00_);_(* \(#,##0.00\);_(* &quot;-&quot;??_);_(@_)"/>
    </dxf>
    <dxf>
      <font>
        <b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5" formatCode="_(* #,##0.00_);_(* \(#,##0.00\);_(* &quot;-&quot;??_);_(@_)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rgb="FF92D050"/>
        </patternFill>
      </fill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35" formatCode="_(* #,##0.00_);_(* \(#,##0.0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numFmt numFmtId="35" formatCode="_(* #,##0.00_);_(* \(#,##0.00\);_(* &quot;-&quot;??_);_(@_)"/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numFmt numFmtId="35" formatCode="_(* #,##0.00_);_(* \(#,##0.0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5" formatCode="_(* #,##0.00_);_(* \(#,##0.00\);_(* &quot;-&quot;??_);_(@_)"/>
    </dxf>
    <dxf>
      <font>
        <b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5" formatCode="_(* #,##0.00_);_(* \(#,##0.00\);_(* &quot;-&quot;??_);_(@_)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587375</xdr:colOff>
      <xdr:row>3</xdr:row>
      <xdr:rowOff>171450</xdr:rowOff>
    </xdr:from>
    <xdr:to>
      <xdr:col>8</xdr:col>
      <xdr:colOff>3175</xdr:colOff>
      <xdr:row>6</xdr:row>
      <xdr:rowOff>193675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29221B91-A245-4AA2-8422-E3BEF7795207}"/>
            </a:ext>
          </a:extLst>
        </xdr:cNvPr>
        <xdr:cNvCxnSpPr/>
      </xdr:nvCxnSpPr>
      <xdr:spPr>
        <a:xfrm flipH="1">
          <a:off x="5454650" y="742950"/>
          <a:ext cx="635000" cy="5937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6350</xdr:colOff>
      <xdr:row>6</xdr:row>
      <xdr:rowOff>111125</xdr:rowOff>
    </xdr:from>
    <xdr:to>
      <xdr:col>5</xdr:col>
      <xdr:colOff>9525</xdr:colOff>
      <xdr:row>8</xdr:row>
      <xdr:rowOff>57150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DAE837E2-9A29-4086-96E5-6173E1011914}"/>
            </a:ext>
          </a:extLst>
        </xdr:cNvPr>
        <xdr:cNvCxnSpPr/>
      </xdr:nvCxnSpPr>
      <xdr:spPr>
        <a:xfrm>
          <a:off x="3654425" y="1254125"/>
          <a:ext cx="612775" cy="3397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14</xdr:row>
      <xdr:rowOff>104775</xdr:rowOff>
    </xdr:from>
    <xdr:to>
      <xdr:col>5</xdr:col>
      <xdr:colOff>12700</xdr:colOff>
      <xdr:row>14</xdr:row>
      <xdr:rowOff>107950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247ED4AC-BB5A-4F56-95DA-77D1257381DF}"/>
            </a:ext>
          </a:extLst>
        </xdr:cNvPr>
        <xdr:cNvCxnSpPr/>
      </xdr:nvCxnSpPr>
      <xdr:spPr>
        <a:xfrm flipV="1">
          <a:off x="3657600" y="2803525"/>
          <a:ext cx="612775" cy="317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</xdr:row>
      <xdr:rowOff>152400</xdr:rowOff>
    </xdr:from>
    <xdr:to>
      <xdr:col>8</xdr:col>
      <xdr:colOff>9525</xdr:colOff>
      <xdr:row>9</xdr:row>
      <xdr:rowOff>120650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A7556BFB-4A3F-41CF-ABB5-EF193CC3E690}"/>
            </a:ext>
          </a:extLst>
        </xdr:cNvPr>
        <xdr:cNvCxnSpPr/>
      </xdr:nvCxnSpPr>
      <xdr:spPr>
        <a:xfrm flipH="1">
          <a:off x="5476875" y="1295400"/>
          <a:ext cx="619125" cy="5588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</xdr:colOff>
      <xdr:row>12</xdr:row>
      <xdr:rowOff>111125</xdr:rowOff>
    </xdr:from>
    <xdr:to>
      <xdr:col>14</xdr:col>
      <xdr:colOff>606425</xdr:colOff>
      <xdr:row>15</xdr:row>
      <xdr:rowOff>101597</xdr:rowOff>
    </xdr:to>
    <xdr:cxnSp macro="">
      <xdr:nvCxnSpPr>
        <xdr:cNvPr id="37" name="Connector: Curved 36">
          <a:extLst>
            <a:ext uri="{FF2B5EF4-FFF2-40B4-BE49-F238E27FC236}">
              <a16:creationId xmlns:a16="http://schemas.microsoft.com/office/drawing/2014/main" id="{CBB9CF3B-906D-4C8C-9A78-6908A325C676}"/>
            </a:ext>
          </a:extLst>
        </xdr:cNvPr>
        <xdr:cNvCxnSpPr/>
      </xdr:nvCxnSpPr>
      <xdr:spPr>
        <a:xfrm rot="10800000" flipV="1">
          <a:off x="5476882" y="2444750"/>
          <a:ext cx="5337168" cy="581022"/>
        </a:xfrm>
        <a:prstGeom prst="curvedConnector3">
          <a:avLst>
            <a:gd name="adj1" fmla="val -9072"/>
          </a:avLst>
        </a:prstGeom>
        <a:ln>
          <a:solidFill>
            <a:srgbClr val="C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refreshOnLoad="1" removeDataOnSave="1" connectionId="3" xr16:uid="{94A7D892-89E3-4EC1-BD64-9D4BA52226C6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URRENCIES" tableColumnId="1"/>
      <queryTableField id="2" name="MORNING" tableColumnId="2"/>
      <queryTableField id="3" name="EVENING" tableColumnId="3"/>
      <queryTableField id="4" name="YESTERDAY" tableColumnId="4"/>
      <queryTableField id="5" dataBound="0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removeDataOnSave="1" adjustColumnWidth="0" connectionId="1" xr16:uid="{85007208-62F4-4B84-B09B-F641A4CDC3FD}" autoFormatId="16" applyNumberFormats="0" applyBorderFormats="0" applyFontFormats="0" applyPatternFormats="0" applyAlignmentFormats="0" applyWidthHeightFormats="0">
  <queryTableRefresh nextId="2">
    <queryTableFields count="1">
      <queryTableField id="1" name="18K value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refreshOnLoad="1" removeDataOnSave="1" adjustColumnWidth="0" connectionId="2" xr16:uid="{CE86A8EB-6D5C-4DC6-8B25-5547B367F24C}" autoFormatId="16" applyNumberFormats="0" applyBorderFormats="0" applyFontFormats="0" applyPatternFormats="0" applyAlignmentFormats="0" applyWidthHeightFormats="0">
  <queryTableRefresh nextId="2">
    <queryTableFields count="1">
      <queryTableField id="1" name="22K value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refreshOnLoad="1" removeDataOnSave="1" adjustColumnWidth="0" connectionId="4" xr16:uid="{C71B32CA-07E2-4B6E-85CB-12B86107A9E3}" autoFormatId="16" applyNumberFormats="0" applyBorderFormats="0" applyFontFormats="0" applyPatternFormats="0" applyAlignmentFormats="0" applyWidthHeightFormats="0">
  <queryTableRefresh nextId="5">
    <queryTableFields count="3">
      <queryTableField id="1" name="TYPE" tableColumnId="1"/>
      <queryTableField id="2" name="MORNING" tableColumnId="2"/>
      <queryTableField id="3" name="EVENING" tableColumnId="3"/>
    </queryTableFields>
  </queryTableRefresh>
</queryTable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D456833-10B8-4C44-B086-68BBF500A2B9}" name="Table15" displayName="Table15" ref="A2:D7" totalsRowCount="1" headerRowDxfId="116" totalsRowDxfId="115">
  <tableColumns count="4">
    <tableColumn id="1" xr3:uid="{75AF34BC-3859-4D89-93E2-35608AE95E2E}" name="Purity" totalsRowLabel="Total" dataDxfId="114" totalsRowDxfId="113"/>
    <tableColumn id="2" xr3:uid="{B3B2C023-FD72-45E0-B13C-ADEB64C67D5D}" name="Gram(s)" totalsRowFunction="sum" dataDxfId="112" totalsRowDxfId="111">
      <calculatedColumnFormula array="1">ckure18K22[18K value]/40</calculatedColumnFormula>
    </tableColumn>
    <tableColumn id="3" xr3:uid="{6AD78582-73C6-40D0-ABCA-736871D3203C}" name="1g" dataDxfId="110" totalsRowDxfId="109"/>
    <tableColumn id="4" xr3:uid="{C1C74962-0554-4390-A193-1D7142476957}" name="Total Price" totalsRowFunction="sum" dataDxfId="108" totalsRowDxfId="107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B54CA2D-B37F-4E66-AD38-FBBE6E0C4F0D}" name="Table16" displayName="Table16" ref="A10:D15" totalsRowCount="1" headerRowDxfId="106" totalsRowDxfId="105">
  <tableColumns count="4">
    <tableColumn id="1" xr3:uid="{2EC7FC02-EF7B-44DC-8908-1F9C714F78C4}" name="Purity" totalsRowLabel="Total" dataDxfId="104" totalsRowDxfId="103"/>
    <tableColumn id="2" xr3:uid="{4DD85667-3CB8-47D4-9B5F-D476592A29A9}" name="Gram(s)" totalsRowFunction="sum" dataDxfId="102" totalsRowDxfId="101"/>
    <tableColumn id="3" xr3:uid="{E6234898-4C13-41D3-9781-906B2D2541F5}" name="1g" dataDxfId="100" totalsRowDxfId="99">
      <calculatedColumnFormula>'Exchange Rates'!B13</calculatedColumnFormula>
    </tableColumn>
    <tableColumn id="4" xr3:uid="{5A523678-37B2-421A-BE20-663BB1FCA6AC}" name="Total Price" totalsRowFunction="sum" totalsRowDxfId="98">
      <calculatedColumnFormula>Table16[[#This Row],[Gram(s)]]*Table16[[#This Row],[1g]]</calculatedColumnFormula>
    </tableColumn>
  </tableColumns>
  <tableStyleInfo name="TableStyleMedium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01D4E77-B3A9-41D5-AE4E-9429EA9E60F5}" name="Table18" displayName="Table18" ref="I1:K5" totalsRowCount="1" headerRowDxfId="97" headerRowBorderDxfId="96" tableBorderDxfId="95">
  <autoFilter ref="I1:K4" xr:uid="{101D4E77-B3A9-41D5-AE4E-9429EA9E60F5}"/>
  <tableColumns count="3">
    <tableColumn id="1" xr3:uid="{7EF6D192-B736-4A83-97C5-1408F43EA138}" name="Iflah INR" totalsRowLabel="Total" dataDxfId="94"/>
    <tableColumn id="2" xr3:uid="{9CAEFBB4-9F20-448C-9303-DBE1AB91DEDA}" name="Amount" totalsRowFunction="sum" dataDxfId="93" totalsRowDxfId="15"/>
    <tableColumn id="3" xr3:uid="{DB07A449-4911-4806-93F7-E4A89FAB4A15}" name="Zakat" totalsRowFunction="sum" dataDxfId="92" totalsRowDxfId="14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E59056B-901B-4E2B-802E-BB14AF6325D3}" name="Table19" displayName="Table19" ref="I7:K15" totalsRowCount="1" headerRowDxfId="91" headerRowBorderDxfId="90" tableBorderDxfId="89">
  <autoFilter ref="I7:K14" xr:uid="{6E59056B-901B-4E2B-802E-BB14AF6325D3}"/>
  <tableColumns count="3">
    <tableColumn id="1" xr3:uid="{CEFB4D52-C66D-4049-A360-104395625D02}" name="INR" totalsRowLabel="Total" dataDxfId="88"/>
    <tableColumn id="2" xr3:uid="{A4E7DE71-76EC-45DF-9020-ADB9D694EABD}" name="Amount" totalsRowFunction="sum" dataDxfId="87" totalsRowDxfId="13"/>
    <tableColumn id="3" xr3:uid="{CD16402B-110D-4321-A5AE-5509AD1C178E}" name="Zakat" totalsRowFunction="sum" dataDxfId="86" totalsRowDxfId="12">
      <calculatedColumnFormula>Table19[[#This Row],[Amount]]/40</calculatedColumn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99191F8-5895-4374-B0EA-AF69BF9FFAF6}" name="Table20" displayName="Table20" ref="M1:O13" totalsRowCount="1" headerRowDxfId="85" dataDxfId="84">
  <autoFilter ref="M1:O12" xr:uid="{599191F8-5895-4374-B0EA-AF69BF9FFAF6}"/>
  <tableColumns count="3">
    <tableColumn id="1" xr3:uid="{9B4B56CA-EF05-4EE8-85E2-BDB9599CD6B4}" name="AED" totalsRowLabel="Total" dataDxfId="83" totalsRowDxfId="11"/>
    <tableColumn id="2" xr3:uid="{14729B82-7299-410E-8556-072728440A60}" name="Amount" totalsRowFunction="sum" dataDxfId="82" totalsRowDxfId="10"/>
    <tableColumn id="3" xr3:uid="{0AE36E4B-5212-4225-A342-94295FD46F90}" name="Zakat" totalsRowFunction="sum" dataDxfId="81" totalsRowDxfId="9">
      <calculatedColumnFormula>Table20[[#This Row],[Amount]]/40</calculatedColumnFormula>
    </tableColumn>
  </tableColumns>
  <tableStyleInfo name="TableStyleMedium1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5463126-C3A2-4EE7-9334-5C6F1AFF1841}" name="Table11" displayName="Table11" ref="A1:G27" totalsRowCount="1" headerRowDxfId="80" dataDxfId="78" totalsRowDxfId="76" headerRowBorderDxfId="79" tableBorderDxfId="77" totalsRowBorderDxfId="75">
  <tableColumns count="7">
    <tableColumn id="1" xr3:uid="{122D35DD-AC5F-421D-A654-5FFCFB1B61F7}" name="#" dataDxfId="74" totalsRowDxfId="6"/>
    <tableColumn id="2" xr3:uid="{FE1F976C-A58A-4D94-9D88-F669D3EF416B}" name="Item" totalsRowLabel="Totals" dataDxfId="73" totalsRowDxfId="5"/>
    <tableColumn id="3" xr3:uid="{2DEA408F-1B84-42B7-B71D-3D6E7BA8B33C}" name="18K" totalsRowFunction="sum" dataDxfId="72" totalsRowDxfId="4"/>
    <tableColumn id="4" xr3:uid="{A9001517-0C66-45B1-8ADA-1DAB660E61C6}" name="21K" totalsRowFunction="sum" dataDxfId="71" totalsRowDxfId="3"/>
    <tableColumn id="5" xr3:uid="{C66BAE32-E03C-4C58-BB48-8211E22462AD}" name="22K" totalsRowFunction="sum" dataDxfId="70" totalsRowDxfId="2"/>
    <tableColumn id="6" xr3:uid="{DE0B616E-C227-40E4-9C9A-7BCAC934ED31}" name="24K" totalsRowFunction="sum" dataDxfId="69" totalsRowDxfId="1"/>
    <tableColumn id="7" xr3:uid="{9339322E-B70B-4704-B7A7-CBFBD355FF00}" name="Date" dataDxfId="68" totalsRowDxfId="0"/>
  </tableColumns>
  <tableStyleInfo name="TableStyleMedium1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E76886C-305B-40BA-BA9F-BFD1E91D881A}" name="Table13" displayName="Table13" ref="A29:G33" totalsRowShown="0" headerRowDxfId="67" dataDxfId="65" headerRowBorderDxfId="66" tableBorderDxfId="64" totalsRowBorderDxfId="63">
  <tableColumns count="7">
    <tableColumn id="1" xr3:uid="{263C850A-0FFA-4A64-928D-443BAA936C8D}" name="#" dataDxfId="62"/>
    <tableColumn id="2" xr3:uid="{C5F02DCF-D6AF-4311-AC85-300B5D8AF1D6}" name="Items in DXB" dataDxfId="61"/>
    <tableColumn id="3" xr3:uid="{5A3C696F-A7A8-4879-8738-24B464883023}" name="18K" dataDxfId="60"/>
    <tableColumn id="4" xr3:uid="{94F22F8E-E98A-47E2-AEC7-F659DE7F1369}" name="21K" dataDxfId="59"/>
    <tableColumn id="5" xr3:uid="{52245FBB-A9DF-4725-BFF2-A85B5F89D7E4}" name="22K" dataDxfId="58"/>
    <tableColumn id="6" xr3:uid="{1C7759C9-4F40-432F-ABED-0EFF233FF6B9}" name="24K" dataDxfId="57"/>
    <tableColumn id="7" xr3:uid="{77C70B2E-E0B0-4082-A135-7FC374FAAB2F}" name="Date" dataDxfId="56"/>
  </tableColumns>
  <tableStyleInfo name="TableStyleMedium1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634A181-65AE-441D-B9B8-B335EBB95E3E}" name="Table17" displayName="Table17" ref="I1:L3" totalsRowShown="0" headerRowDxfId="55">
  <tableColumns count="4">
    <tableColumn id="1" xr3:uid="{5F17FE77-A961-4344-90F2-1EB9B693D009}" name="Debt" dataDxfId="54"/>
    <tableColumn id="2" xr3:uid="{C49D89FB-D3C8-41E8-B411-C9BD0880706D}" name="Amount" dataDxfId="53"/>
    <tableColumn id="3" xr3:uid="{0B2C8F9D-0B01-42DC-A30E-252001563450}" name="Unit Price 22K (SXR)" dataDxfId="8">
      <calculatedColumnFormula array="1">ckure22K23[22K value]</calculatedColumnFormula>
    </tableColumn>
    <tableColumn id="4" xr3:uid="{E9F70F3C-0B6B-48DC-88B5-17884FD240C5}" name="Debt in INR" dataDxfId="7">
      <calculatedColumnFormula>Table17[[#This Row],[Amount]]*Table17[[#This Row],[Unit Price 22K (SXR)]]</calculatedColumnFormula>
    </tableColumn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F06282-8C54-404E-9AD6-3AA7FFB23D97}" name="Table2" displayName="Table2" ref="I6:M13" totalsRowCount="1" headerRowDxfId="52">
  <tableColumns count="5">
    <tableColumn id="1" xr3:uid="{60B00135-CE32-403B-BAC8-07993CD78588}" name="Gold" totalsRowLabel="Sum"/>
    <tableColumn id="2" xr3:uid="{DA82CCA7-132D-4379-B520-24E5B67291E7}" name="Weight" totalsRowFunction="sum" dataDxfId="51" totalsRowDxfId="50"/>
    <tableColumn id="3" xr3:uid="{F58C2E54-A252-4E0C-BB93-6B3605ADB352}" name="RAW Value" totalsRowFunction="sum" dataDxfId="49" totalsRowDxfId="48"/>
    <tableColumn id="4" xr3:uid="{19CD1074-5F64-4900-8333-F89E75AE7A15}" name="v(INR)" totalsRowFunction="sum" dataDxfId="47" totalsRowDxfId="46"/>
    <tableColumn id="5" xr3:uid="{6DD1BD00-9268-4B42-B275-762DA14ECF18}" name="v(AED)" totalsRowFunction="sum" dataDxfId="45" totalsRowDxfId="44"/>
  </tableColumns>
  <tableStyleInfo name="TableStyleLight1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60ADC66-47E7-4991-8DF1-92013FE29F9B}" name="KT_Currency" displayName="KT_Currency" ref="A1:E8" tableType="queryTable" totalsRowShown="0" headerRowDxfId="43" dataDxfId="41" headerRowBorderDxfId="42" tableBorderDxfId="40" totalsRowBorderDxfId="39">
  <tableColumns count="5">
    <tableColumn id="1" xr3:uid="{A06A49E8-9B05-44F3-8175-EE6D3577E1F4}" uniqueName="1" name="CURRENCIES" queryTableFieldId="1" dataDxfId="23"/>
    <tableColumn id="2" xr3:uid="{B51C158C-A762-402D-AF6C-74D6F07AC5FA}" uniqueName="2" name="MORNING" queryTableFieldId="2" dataDxfId="22"/>
    <tableColumn id="3" xr3:uid="{19A1160F-8FAF-4B74-A7D9-CAA2CE9DDC04}" uniqueName="3" name="EVENING" queryTableFieldId="3" dataDxfId="21"/>
    <tableColumn id="4" xr3:uid="{E693510D-EB2A-4792-ABA8-1283C8BEF56F}" uniqueName="4" name="YESTERDAY" queryTableFieldId="4" dataDxfId="20"/>
    <tableColumn id="5" xr3:uid="{225B3A82-60F8-4138-9A3D-7EF1B2E5771E}" uniqueName="5" name="Column1" queryTableFieldId="5" dataDxfId="19">
      <calculatedColumnFormula>LEFT(D2, 5)</calculatedColumnFormula>
    </tableColumn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905F45E-195F-4C75-91C1-01ADAFD7BB2D}" name="ckure18K22" displayName="ckure18K22" ref="A11:A12" tableType="queryTable" totalsRowShown="0" headerRowDxfId="38" dataDxfId="36" headerRowBorderDxfId="37" tableBorderDxfId="35" totalsRowBorderDxfId="34" headerRowCellStyle="Comma" dataCellStyle="Comma">
  <tableColumns count="1">
    <tableColumn id="1" xr3:uid="{9A59A40B-D264-44AA-8EAF-B05DA973DE14}" uniqueName="1" name="18K value" queryTableFieldId="1" dataDxfId="25" dataCellStyle="Comma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F7AE429E-978C-47AA-BEAA-131EFAC2E4E7}" name="ckure22K23" displayName="ckure22K23" ref="B11:B12" tableType="queryTable" totalsRowShown="0" headerRowDxfId="33" dataDxfId="31" headerRowBorderDxfId="32" tableBorderDxfId="30" totalsRowBorderDxfId="29" headerRowCellStyle="Comma" dataCellStyle="Comma">
  <tableColumns count="1">
    <tableColumn id="1" xr3:uid="{3712D344-FACA-48EA-A521-32512B183822}" uniqueName="1" name="22K value" queryTableFieldId="1" dataDxfId="24" dataCellStyle="Comma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95474EC-8C66-4621-8429-DF353CA66CE2}" name="KT_Gold24" displayName="KT_Gold24" ref="A14:C19" tableType="queryTable" totalsRowShown="0" headerRowDxfId="28" dataDxfId="27" tableBorderDxfId="26" headerRowCellStyle="Comma" dataCellStyle="Comma">
  <tableColumns count="3">
    <tableColumn id="1" xr3:uid="{990688FF-00DF-425A-AED6-BF032E9D838F}" uniqueName="1" name="TYPE" queryTableFieldId="1" dataDxfId="18" dataCellStyle="Comma"/>
    <tableColumn id="2" xr3:uid="{CCD7540D-1793-42C1-82AB-224B4E37C963}" uniqueName="2" name="MORNING" queryTableFieldId="2" dataDxfId="17" dataCellStyle="Comma"/>
    <tableColumn id="3" xr3:uid="{05B2F7BE-5F65-4713-B1F8-1D961A580F77}" uniqueName="3" name="EVENING" queryTableFieldId="3" dataDxfId="16" dataCellStyle="Comm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exceltip.com/working-with-formulas/left-function-in-microsoft-excel.html" TargetMode="External"/><Relationship Id="rId6" Type="http://schemas.openxmlformats.org/officeDocument/2006/relationships/table" Target="../tables/table13.xml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00B0F-B44C-4707-91A3-309A6E11848A}">
  <dimension ref="A1:Q18"/>
  <sheetViews>
    <sheetView tabSelected="1" workbookViewId="0">
      <selection sqref="A1:D1"/>
    </sheetView>
  </sheetViews>
  <sheetFormatPr defaultRowHeight="14.75" x14ac:dyDescent="0.75"/>
  <cols>
    <col min="2" max="2" width="10.6796875" customWidth="1"/>
    <col min="3" max="3" width="19.86328125" customWidth="1"/>
    <col min="4" max="4" width="12.953125" customWidth="1"/>
    <col min="7" max="7" width="10.86328125" bestFit="1" customWidth="1"/>
    <col min="9" max="9" width="10.58984375" customWidth="1"/>
    <col min="10" max="10" width="12.5" bestFit="1" customWidth="1"/>
    <col min="11" max="11" width="10" bestFit="1" customWidth="1"/>
    <col min="14" max="14" width="11.04296875" bestFit="1" customWidth="1"/>
    <col min="15" max="15" width="9" bestFit="1" customWidth="1"/>
    <col min="17" max="17" width="3.7265625" customWidth="1"/>
  </cols>
  <sheetData>
    <row r="1" spans="1:17" ht="15.5" thickBot="1" x14ac:dyDescent="0.9">
      <c r="A1" s="76" t="s">
        <v>25</v>
      </c>
      <c r="B1" s="77"/>
      <c r="C1" s="77"/>
      <c r="D1" s="78"/>
      <c r="I1" s="34" t="s">
        <v>39</v>
      </c>
      <c r="J1" s="34" t="s">
        <v>10</v>
      </c>
      <c r="K1" s="34" t="s">
        <v>15</v>
      </c>
      <c r="M1" s="24" t="s">
        <v>17</v>
      </c>
      <c r="N1" s="24" t="s">
        <v>10</v>
      </c>
      <c r="O1" s="24" t="s">
        <v>15</v>
      </c>
      <c r="Q1" s="83"/>
    </row>
    <row r="2" spans="1:17" x14ac:dyDescent="0.75">
      <c r="A2" s="56" t="s">
        <v>26</v>
      </c>
      <c r="B2" s="56" t="s">
        <v>53</v>
      </c>
      <c r="C2" s="56" t="s">
        <v>7</v>
      </c>
      <c r="D2" s="56" t="s">
        <v>4</v>
      </c>
      <c r="I2" s="24" t="s">
        <v>8</v>
      </c>
      <c r="J2" s="24">
        <v>40</v>
      </c>
      <c r="K2" s="24">
        <f>Table18[[#This Row],[Amount]]/40</f>
        <v>1</v>
      </c>
      <c r="M2" s="24" t="s">
        <v>16</v>
      </c>
      <c r="N2" s="24">
        <v>40</v>
      </c>
      <c r="O2" s="24">
        <f>Table20[[#This Row],[Amount]]/40</f>
        <v>1</v>
      </c>
      <c r="Q2" s="83"/>
    </row>
    <row r="3" spans="1:17" x14ac:dyDescent="0.75">
      <c r="A3" s="24" t="s">
        <v>1</v>
      </c>
      <c r="B3" s="24">
        <f>Table11[[#Totals],[18K]]/40</f>
        <v>0</v>
      </c>
      <c r="C3" s="24" cm="1">
        <f t="array" ref="C3">ckure18K22[18K value]</f>
        <v>4590</v>
      </c>
      <c r="D3" s="24">
        <f>Table15[[#This Row],[Gram(s)]]*Table15[[#This Row],[1g]]</f>
        <v>0</v>
      </c>
      <c r="I3" s="24" t="s">
        <v>13</v>
      </c>
      <c r="J3" s="24">
        <v>40</v>
      </c>
      <c r="K3" s="24">
        <f>Table18[[#This Row],[Amount]]/40</f>
        <v>1</v>
      </c>
      <c r="M3" s="24" t="s">
        <v>18</v>
      </c>
      <c r="N3" s="24">
        <v>40</v>
      </c>
      <c r="O3" s="24">
        <f>Table20[[#This Row],[Amount]]/40</f>
        <v>1</v>
      </c>
      <c r="Q3" s="83"/>
    </row>
    <row r="4" spans="1:17" ht="15.5" thickBot="1" x14ac:dyDescent="0.9">
      <c r="A4" s="24" t="s">
        <v>35</v>
      </c>
      <c r="B4" s="24">
        <f>Table11[[#Totals],[21K]]/40</f>
        <v>0</v>
      </c>
      <c r="C4" s="57"/>
      <c r="D4" s="24"/>
      <c r="I4" s="24" t="s">
        <v>14</v>
      </c>
      <c r="J4" s="24">
        <v>40</v>
      </c>
      <c r="K4" s="24">
        <f>Table18[[#This Row],[Amount]]</f>
        <v>40</v>
      </c>
      <c r="M4" s="24" t="s">
        <v>24</v>
      </c>
      <c r="N4" s="24">
        <v>40</v>
      </c>
      <c r="O4" s="24">
        <f>Table20[[#This Row],[Amount]]/40</f>
        <v>1</v>
      </c>
      <c r="Q4" s="83"/>
    </row>
    <row r="5" spans="1:17" ht="15.5" thickBot="1" x14ac:dyDescent="0.9">
      <c r="A5" s="24" t="s">
        <v>0</v>
      </c>
      <c r="B5" s="24">
        <f>Table11[[#Totals],[22K]]/40</f>
        <v>0</v>
      </c>
      <c r="C5" s="24" cm="1">
        <f t="array" ref="C5">ckure22K23[22K value]</f>
        <v>5610</v>
      </c>
      <c r="D5" s="24">
        <f>Table15[[#This Row],[Gram(s)]]*Table15[[#This Row],[1g]]</f>
        <v>0</v>
      </c>
      <c r="I5" t="s">
        <v>3</v>
      </c>
      <c r="J5" s="24">
        <f>SUBTOTAL(109,Table18[Amount])</f>
        <v>120</v>
      </c>
      <c r="K5" s="58">
        <f>SUBTOTAL(109,Table18[Zakat])</f>
        <v>42</v>
      </c>
      <c r="M5" s="24" t="s">
        <v>19</v>
      </c>
      <c r="N5" s="24">
        <v>40</v>
      </c>
      <c r="O5" s="24">
        <f>Table20[[#This Row],[Amount]]/40</f>
        <v>1</v>
      </c>
      <c r="Q5" s="83"/>
    </row>
    <row r="6" spans="1:17" ht="15.5" thickBot="1" x14ac:dyDescent="0.9">
      <c r="A6" s="24" t="s">
        <v>38</v>
      </c>
      <c r="B6" s="24">
        <f>Table11[[#Totals],[24K]]/40</f>
        <v>0</v>
      </c>
      <c r="C6" s="57"/>
      <c r="D6" s="24"/>
      <c r="M6" s="24" t="s">
        <v>20</v>
      </c>
      <c r="N6" s="24">
        <v>40</v>
      </c>
      <c r="O6" s="24">
        <f>Table20[[#This Row],[Amount]]/40</f>
        <v>1</v>
      </c>
      <c r="Q6" s="83"/>
    </row>
    <row r="7" spans="1:17" ht="15.5" thickBot="1" x14ac:dyDescent="0.9">
      <c r="A7" s="33" t="s">
        <v>3</v>
      </c>
      <c r="B7" s="25">
        <f>SUBTOTAL(109,Table15[Gram(s)])</f>
        <v>0</v>
      </c>
      <c r="C7" s="25"/>
      <c r="D7" s="59">
        <f>SUBTOTAL(109,Table15[Total Price])</f>
        <v>0</v>
      </c>
      <c r="F7" s="1" t="s">
        <v>6</v>
      </c>
      <c r="G7" s="2"/>
      <c r="I7" s="34" t="s">
        <v>6</v>
      </c>
      <c r="J7" s="34" t="s">
        <v>10</v>
      </c>
      <c r="K7" s="34" t="s">
        <v>15</v>
      </c>
      <c r="M7" s="24" t="s">
        <v>51</v>
      </c>
      <c r="N7" s="24">
        <v>40</v>
      </c>
      <c r="O7" s="24">
        <f>Table20[[#This Row],[Amount]]/40</f>
        <v>1</v>
      </c>
      <c r="Q7" s="83"/>
    </row>
    <row r="8" spans="1:17" ht="15.5" thickBot="1" x14ac:dyDescent="0.9">
      <c r="F8" s="79">
        <f>Table15[[#Totals],[Total Price]]+Table18[[#Totals],[Zakat]]+Table19[[#Totals],[Zakat]]</f>
        <v>88</v>
      </c>
      <c r="G8" s="80"/>
      <c r="I8" s="24" t="s">
        <v>66</v>
      </c>
      <c r="J8" s="24">
        <v>40</v>
      </c>
      <c r="K8" s="24">
        <f>Table19[[#This Row],[Amount]]/40</f>
        <v>1</v>
      </c>
      <c r="M8" s="24" t="s">
        <v>23</v>
      </c>
      <c r="N8" s="24">
        <v>40</v>
      </c>
      <c r="O8" s="24">
        <f>Table20[[#This Row],[Amount]]/40</f>
        <v>1</v>
      </c>
      <c r="Q8" s="83"/>
    </row>
    <row r="9" spans="1:17" ht="15.5" thickBot="1" x14ac:dyDescent="0.9">
      <c r="A9" s="76" t="s">
        <v>36</v>
      </c>
      <c r="B9" s="77"/>
      <c r="C9" s="77"/>
      <c r="D9" s="78"/>
      <c r="F9" s="81"/>
      <c r="G9" s="82"/>
      <c r="I9" s="24" t="s">
        <v>8</v>
      </c>
      <c r="J9" s="24">
        <v>40</v>
      </c>
      <c r="K9" s="24">
        <f>Table19[[#This Row],[Amount]]/40</f>
        <v>1</v>
      </c>
      <c r="M9" s="24" t="s">
        <v>21</v>
      </c>
      <c r="N9" s="24">
        <v>40</v>
      </c>
      <c r="O9" s="24">
        <f>Table20[[#This Row],[Amount]]/40</f>
        <v>1</v>
      </c>
      <c r="Q9" s="83"/>
    </row>
    <row r="10" spans="1:17" ht="15.5" thickBot="1" x14ac:dyDescent="0.9">
      <c r="A10" s="56" t="s">
        <v>26</v>
      </c>
      <c r="B10" s="56" t="s">
        <v>53</v>
      </c>
      <c r="C10" s="56" t="s">
        <v>7</v>
      </c>
      <c r="D10" s="56" t="s">
        <v>4</v>
      </c>
      <c r="F10" s="3" t="s">
        <v>47</v>
      </c>
      <c r="G10" s="4">
        <f>F8/'Exchange Rates'!E2</f>
        <v>3.9497307001795332</v>
      </c>
      <c r="I10" s="24" t="s">
        <v>9</v>
      </c>
      <c r="J10" s="24">
        <v>40</v>
      </c>
      <c r="K10" s="24">
        <f>Table19[[#This Row],[Amount]]/40</f>
        <v>1</v>
      </c>
      <c r="M10" s="24" t="s">
        <v>22</v>
      </c>
      <c r="N10" s="24">
        <v>40</v>
      </c>
      <c r="O10" s="24">
        <f>Table20[[#This Row],[Amount]]/40</f>
        <v>1</v>
      </c>
      <c r="Q10" s="83"/>
    </row>
    <row r="11" spans="1:17" x14ac:dyDescent="0.75">
      <c r="A11" s="24" t="s">
        <v>1</v>
      </c>
      <c r="B11" s="24">
        <f>Inventory!C33/40</f>
        <v>0</v>
      </c>
      <c r="C11" s="24">
        <f>'Exchange Rates'!B19</f>
        <v>184.25</v>
      </c>
      <c r="D11" s="24">
        <f>Table16[[#This Row],[Gram(s)]]*Table16[[#This Row],[1g]]</f>
        <v>0</v>
      </c>
      <c r="I11" s="24" t="s">
        <v>11</v>
      </c>
      <c r="J11" s="24">
        <v>40</v>
      </c>
      <c r="K11" s="24">
        <f>Table19[[#This Row],[Amount]]/40</f>
        <v>1</v>
      </c>
      <c r="M11" s="24" t="s">
        <v>34</v>
      </c>
      <c r="N11" s="24">
        <v>40</v>
      </c>
      <c r="O11" s="24">
        <f>Table20[[#This Row],[Amount]]/40</f>
        <v>1</v>
      </c>
      <c r="Q11" s="83"/>
    </row>
    <row r="12" spans="1:17" ht="15.5" thickBot="1" x14ac:dyDescent="0.9">
      <c r="A12" s="24" t="s">
        <v>35</v>
      </c>
      <c r="B12" s="24">
        <f>Inventory!D33/40</f>
        <v>0</v>
      </c>
      <c r="C12" s="24">
        <f>'Exchange Rates'!B18</f>
        <v>215</v>
      </c>
      <c r="D12" s="24">
        <f>Table16[[#This Row],[Gram(s)]]*Table16[[#This Row],[1g]]</f>
        <v>0</v>
      </c>
      <c r="I12" s="24" t="s">
        <v>12</v>
      </c>
      <c r="J12" s="24">
        <v>40</v>
      </c>
      <c r="K12" s="24">
        <f>Table19[[#This Row],[Amount]]/40</f>
        <v>1</v>
      </c>
      <c r="M12" s="24" t="s">
        <v>13</v>
      </c>
      <c r="N12" s="24">
        <v>40</v>
      </c>
      <c r="O12" s="24">
        <f>Table20[[#This Row],[Amount]]/40</f>
        <v>1</v>
      </c>
      <c r="Q12" s="83"/>
    </row>
    <row r="13" spans="1:17" ht="15.5" thickBot="1" x14ac:dyDescent="0.9">
      <c r="A13" s="24" t="s">
        <v>0</v>
      </c>
      <c r="B13" s="24">
        <f>Inventory!E33/40</f>
        <v>0</v>
      </c>
      <c r="C13" s="24">
        <f>'Exchange Rates'!B17</f>
        <v>222.25</v>
      </c>
      <c r="D13" s="24">
        <f>Table16[[#This Row],[Gram(s)]]*Table16[[#This Row],[1g]]</f>
        <v>0</v>
      </c>
      <c r="F13" s="1" t="s">
        <v>17</v>
      </c>
      <c r="G13" s="2"/>
      <c r="I13" s="24" t="s">
        <v>13</v>
      </c>
      <c r="J13" s="24">
        <v>40</v>
      </c>
      <c r="K13" s="24">
        <f>Table19[[#This Row],[Amount]]/40</f>
        <v>1</v>
      </c>
      <c r="M13" s="33" t="s">
        <v>3</v>
      </c>
      <c r="N13" s="25">
        <f>SUBTOTAL(109,Table20[Amount])</f>
        <v>440</v>
      </c>
      <c r="O13" s="59">
        <f>SUBTOTAL(109,Table20[Zakat])</f>
        <v>11</v>
      </c>
      <c r="Q13" s="83"/>
    </row>
    <row r="14" spans="1:17" ht="15.5" thickBot="1" x14ac:dyDescent="0.9">
      <c r="A14" s="24" t="s">
        <v>38</v>
      </c>
      <c r="B14" s="24">
        <f>Inventory!F33/40</f>
        <v>0</v>
      </c>
      <c r="C14" s="24">
        <f>'Exchange Rates'!B16</f>
        <v>240</v>
      </c>
      <c r="D14" s="24">
        <f>Table16[[#This Row],[Gram(s)]]*Table16[[#This Row],[1g]]</f>
        <v>0</v>
      </c>
      <c r="F14" s="79">
        <f>Table16[[#Totals],[Total Price]]+Table20[[#Totals],[Zakat]]</f>
        <v>11</v>
      </c>
      <c r="G14" s="80"/>
      <c r="I14" s="24" t="s">
        <v>14</v>
      </c>
      <c r="J14" s="24">
        <v>40</v>
      </c>
      <c r="K14" s="24">
        <f>Table19[[#This Row],[Amount]]</f>
        <v>40</v>
      </c>
      <c r="Q14" s="83"/>
    </row>
    <row r="15" spans="1:17" ht="15.5" thickBot="1" x14ac:dyDescent="0.9">
      <c r="A15" s="33" t="s">
        <v>3</v>
      </c>
      <c r="B15" s="25">
        <f>SUBTOTAL(109,Table16[Gram(s)])</f>
        <v>0</v>
      </c>
      <c r="C15" s="25"/>
      <c r="D15" s="60">
        <f>SUBTOTAL(109,Table16[Total Price])</f>
        <v>0</v>
      </c>
      <c r="F15" s="81"/>
      <c r="G15" s="82"/>
      <c r="I15" t="s">
        <v>3</v>
      </c>
      <c r="J15" s="24">
        <f>SUBTOTAL(109,Table19[Amount])</f>
        <v>280</v>
      </c>
      <c r="K15" s="58">
        <f>SUBTOTAL(109,Table19[Zakat])</f>
        <v>46</v>
      </c>
      <c r="Q15" s="83"/>
    </row>
    <row r="16" spans="1:17" ht="15.5" thickBot="1" x14ac:dyDescent="0.9">
      <c r="F16" s="3" t="s">
        <v>48</v>
      </c>
      <c r="G16" s="4">
        <f>F14*'Exchange Rates'!E2</f>
        <v>245.08</v>
      </c>
      <c r="Q16" s="83"/>
    </row>
    <row r="17" spans="1:17" x14ac:dyDescent="0.75">
      <c r="Q17" s="83"/>
    </row>
    <row r="18" spans="1:17" x14ac:dyDescent="0.75">
      <c r="A18" s="83"/>
      <c r="B18" s="83"/>
      <c r="C18" s="83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</row>
  </sheetData>
  <mergeCells count="6">
    <mergeCell ref="A1:D1"/>
    <mergeCell ref="A9:D9"/>
    <mergeCell ref="F8:G9"/>
    <mergeCell ref="F14:G15"/>
    <mergeCell ref="A18:Q18"/>
    <mergeCell ref="Q1:Q17"/>
  </mergeCells>
  <pageMargins left="0.7" right="0.7" top="0.75" bottom="0.75" header="0.3" footer="0.3"/>
  <pageSetup orientation="portrait" r:id="rId1"/>
  <ignoredErrors>
    <ignoredError sqref="C11:C13 B3:B6 K14" calculatedColumn="1"/>
  </ignoredErrors>
  <drawing r:id="rId2"/>
  <tableParts count="5"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4EC0E-F4FA-45F0-B20A-5E1DEF84FABB}">
  <dimension ref="A1:M33"/>
  <sheetViews>
    <sheetView workbookViewId="0"/>
  </sheetViews>
  <sheetFormatPr defaultRowHeight="14.75" x14ac:dyDescent="0.75"/>
  <cols>
    <col min="1" max="1" width="4.58984375" customWidth="1"/>
    <col min="2" max="2" width="30.453125" bestFit="1" customWidth="1"/>
    <col min="6" max="6" width="8.86328125" bestFit="1" customWidth="1"/>
    <col min="9" max="9" width="8.26953125" bestFit="1" customWidth="1"/>
    <col min="10" max="10" width="9" bestFit="1" customWidth="1"/>
    <col min="11" max="11" width="18.6328125" bestFit="1" customWidth="1"/>
    <col min="12" max="12" width="12.5" bestFit="1" customWidth="1"/>
    <col min="13" max="13" width="11" bestFit="1" customWidth="1"/>
  </cols>
  <sheetData>
    <row r="1" spans="1:13" ht="15.5" thickBot="1" x14ac:dyDescent="0.9">
      <c r="A1" s="27" t="s">
        <v>45</v>
      </c>
      <c r="B1" s="28" t="s">
        <v>2</v>
      </c>
      <c r="C1" s="28" t="s">
        <v>1</v>
      </c>
      <c r="D1" s="28" t="s">
        <v>35</v>
      </c>
      <c r="E1" s="28" t="s">
        <v>0</v>
      </c>
      <c r="F1" s="28" t="s">
        <v>38</v>
      </c>
      <c r="G1" s="29" t="s">
        <v>5</v>
      </c>
      <c r="I1" s="24" t="s">
        <v>42</v>
      </c>
      <c r="J1" s="24" t="s">
        <v>10</v>
      </c>
      <c r="K1" s="24" t="s">
        <v>44</v>
      </c>
      <c r="L1" s="24" t="s">
        <v>43</v>
      </c>
    </row>
    <row r="2" spans="1:13" x14ac:dyDescent="0.75">
      <c r="A2" s="14">
        <v>1</v>
      </c>
      <c r="B2" s="13" t="s">
        <v>69</v>
      </c>
      <c r="C2" s="26"/>
      <c r="D2" s="26"/>
      <c r="E2" s="26"/>
      <c r="F2" s="26"/>
      <c r="G2" s="15"/>
      <c r="I2" s="24" t="s">
        <v>67</v>
      </c>
      <c r="J2" s="24">
        <v>1</v>
      </c>
      <c r="K2" s="24" cm="1">
        <f t="array" ref="K2">ckure22K23[22K value]</f>
        <v>5610</v>
      </c>
      <c r="L2" s="24">
        <f>Table17[[#This Row],[Amount]]*Table17[[#This Row],[Unit Price 22K (SXR)]]</f>
        <v>5610</v>
      </c>
    </row>
    <row r="3" spans="1:13" x14ac:dyDescent="0.75">
      <c r="A3" s="16">
        <v>2</v>
      </c>
      <c r="B3" s="17" t="s">
        <v>70</v>
      </c>
      <c r="C3" s="21"/>
      <c r="D3" s="21"/>
      <c r="E3" s="21"/>
      <c r="F3" s="21"/>
      <c r="G3" s="19"/>
      <c r="I3" s="24" t="s">
        <v>68</v>
      </c>
      <c r="J3" s="24">
        <v>2</v>
      </c>
      <c r="K3" s="24" cm="1">
        <f t="array" ref="K3">ckure22K23[22K value]</f>
        <v>5610</v>
      </c>
      <c r="L3" s="24">
        <f>Table17[[#This Row],[Amount]]*Table17[[#This Row],[Unit Price 22K (SXR)]]</f>
        <v>11220</v>
      </c>
    </row>
    <row r="4" spans="1:13" x14ac:dyDescent="0.75">
      <c r="A4" s="16">
        <v>3</v>
      </c>
      <c r="B4" s="17"/>
      <c r="C4" s="21"/>
      <c r="D4" s="21"/>
      <c r="E4" s="21"/>
      <c r="F4" s="21"/>
      <c r="G4" s="19"/>
    </row>
    <row r="5" spans="1:13" ht="15.5" thickBot="1" x14ac:dyDescent="0.9">
      <c r="A5" s="16">
        <v>4</v>
      </c>
      <c r="B5" s="17"/>
      <c r="C5" s="21"/>
      <c r="D5" s="21"/>
      <c r="E5" s="21"/>
      <c r="F5" s="21"/>
      <c r="G5" s="19"/>
      <c r="I5" s="84" t="s">
        <v>54</v>
      </c>
      <c r="J5" s="85"/>
      <c r="K5" s="85"/>
      <c r="L5" s="85"/>
      <c r="M5" s="86"/>
    </row>
    <row r="6" spans="1:13" x14ac:dyDescent="0.75">
      <c r="A6" s="16">
        <v>5</v>
      </c>
      <c r="B6" s="17"/>
      <c r="C6" s="21"/>
      <c r="D6" s="21"/>
      <c r="E6" s="21"/>
      <c r="F6" s="21"/>
      <c r="G6" s="19"/>
      <c r="I6" s="73" t="s">
        <v>55</v>
      </c>
      <c r="J6" s="73" t="s">
        <v>56</v>
      </c>
      <c r="K6" s="73" t="s">
        <v>63</v>
      </c>
      <c r="L6" s="73" t="s">
        <v>64</v>
      </c>
      <c r="M6" s="73" t="s">
        <v>65</v>
      </c>
    </row>
    <row r="7" spans="1:13" x14ac:dyDescent="0.75">
      <c r="A7" s="16">
        <v>6</v>
      </c>
      <c r="B7" s="17"/>
      <c r="C7" s="21"/>
      <c r="D7" s="21"/>
      <c r="E7" s="21"/>
      <c r="F7" s="21"/>
      <c r="G7" s="19"/>
      <c r="I7" t="s">
        <v>57</v>
      </c>
      <c r="J7" s="24">
        <f>Table11[[#Totals],[18K]]</f>
        <v>0</v>
      </c>
      <c r="K7" cm="1">
        <f t="array" ref="K7">Table2[[#This Row],[Weight]]*ckure18K22[18K value]</f>
        <v>0</v>
      </c>
      <c r="L7">
        <f>Table2[[#This Row],[RAW Value]]</f>
        <v>0</v>
      </c>
      <c r="M7" s="24">
        <f>Table2[[#This Row],[RAW Value]]/'Exchange Rates'!E2</f>
        <v>0</v>
      </c>
    </row>
    <row r="8" spans="1:13" x14ac:dyDescent="0.75">
      <c r="A8" s="16">
        <v>7</v>
      </c>
      <c r="B8" s="17"/>
      <c r="C8" s="21"/>
      <c r="D8" s="21"/>
      <c r="E8" s="21"/>
      <c r="F8" s="21"/>
      <c r="G8" s="19"/>
      <c r="I8" t="s">
        <v>58</v>
      </c>
      <c r="J8" s="24">
        <f>Table11[[#Totals],[22K]]</f>
        <v>0</v>
      </c>
      <c r="K8" cm="1">
        <f t="array" ref="K8">Table2[[#This Row],[Weight]]*ckure22K23[22K value]</f>
        <v>0</v>
      </c>
      <c r="L8">
        <f>Table2[[#This Row],[RAW Value]]</f>
        <v>0</v>
      </c>
      <c r="M8" s="24">
        <f>Table2[[#This Row],[RAW Value]]/'Exchange Rates'!E2</f>
        <v>0</v>
      </c>
    </row>
    <row r="9" spans="1:13" x14ac:dyDescent="0.75">
      <c r="A9" s="16">
        <v>8</v>
      </c>
      <c r="B9" s="17"/>
      <c r="C9" s="21"/>
      <c r="D9" s="21"/>
      <c r="E9" s="21"/>
      <c r="F9" s="21"/>
      <c r="G9" s="19"/>
      <c r="I9" t="s">
        <v>59</v>
      </c>
      <c r="J9" s="24">
        <f>C33</f>
        <v>0</v>
      </c>
      <c r="K9" s="24">
        <f>Table2[[#This Row],[Weight]]*'Exchange Rates'!B19</f>
        <v>0</v>
      </c>
      <c r="L9" s="24">
        <f>Table2[[#This Row],[RAW Value]]*'Exchange Rates'!E2</f>
        <v>0</v>
      </c>
      <c r="M9" s="24">
        <f>Table2[[#This Row],[RAW Value]]</f>
        <v>0</v>
      </c>
    </row>
    <row r="10" spans="1:13" x14ac:dyDescent="0.75">
      <c r="A10" s="16">
        <v>9</v>
      </c>
      <c r="B10" s="17"/>
      <c r="C10" s="21"/>
      <c r="D10" s="21"/>
      <c r="E10" s="21"/>
      <c r="F10" s="21"/>
      <c r="G10" s="19"/>
      <c r="I10" t="s">
        <v>62</v>
      </c>
      <c r="J10" s="24">
        <f>D33</f>
        <v>0</v>
      </c>
      <c r="K10" s="24">
        <f>Table2[[#This Row],[Weight]]*'Exchange Rates'!B18</f>
        <v>0</v>
      </c>
      <c r="L10" s="24">
        <f>Table2[[#This Row],[RAW Value]]*'Exchange Rates'!E2</f>
        <v>0</v>
      </c>
      <c r="M10" s="24">
        <f>Table2[[#This Row],[RAW Value]]</f>
        <v>0</v>
      </c>
    </row>
    <row r="11" spans="1:13" x14ac:dyDescent="0.75">
      <c r="A11" s="16">
        <v>10</v>
      </c>
      <c r="B11" s="17"/>
      <c r="C11" s="21"/>
      <c r="D11" s="21"/>
      <c r="E11" s="21"/>
      <c r="F11" s="21"/>
      <c r="G11" s="19"/>
      <c r="I11" t="s">
        <v>60</v>
      </c>
      <c r="J11" s="24">
        <f>E33</f>
        <v>0</v>
      </c>
      <c r="K11" s="24">
        <f>Table2[[#This Row],[Weight]]*'Exchange Rates'!B17</f>
        <v>0</v>
      </c>
      <c r="L11" s="24">
        <f>Table2[[#This Row],[RAW Value]]*'Exchange Rates'!E2</f>
        <v>0</v>
      </c>
      <c r="M11" s="24">
        <f>Table2[[#This Row],[RAW Value]]</f>
        <v>0</v>
      </c>
    </row>
    <row r="12" spans="1:13" x14ac:dyDescent="0.75">
      <c r="A12" s="16">
        <v>11</v>
      </c>
      <c r="B12" s="17"/>
      <c r="C12" s="21"/>
      <c r="D12" s="21"/>
      <c r="E12" s="21"/>
      <c r="F12" s="21"/>
      <c r="G12" s="19"/>
      <c r="I12" t="s">
        <v>61</v>
      </c>
      <c r="J12" s="24">
        <f>F33</f>
        <v>0</v>
      </c>
      <c r="K12" s="24">
        <f>Table2[[#This Row],[Weight]]*'Exchange Rates'!B16</f>
        <v>0</v>
      </c>
      <c r="L12" s="24">
        <f>Table2[[#This Row],[RAW Value]]*'Exchange Rates'!E2</f>
        <v>0</v>
      </c>
      <c r="M12" s="24">
        <f>Table2[[#This Row],[RAW Value]]</f>
        <v>0</v>
      </c>
    </row>
    <row r="13" spans="1:13" x14ac:dyDescent="0.75">
      <c r="A13" s="16">
        <v>12</v>
      </c>
      <c r="B13" s="17"/>
      <c r="C13" s="21"/>
      <c r="D13" s="21"/>
      <c r="E13" s="21"/>
      <c r="F13" s="21"/>
      <c r="G13" s="19"/>
      <c r="I13" t="s">
        <v>49</v>
      </c>
      <c r="J13" s="24">
        <f>SUBTOTAL(109,Table2[Weight])</f>
        <v>0</v>
      </c>
      <c r="K13" s="24">
        <f>SUBTOTAL(109,Table2[RAW Value])</f>
        <v>0</v>
      </c>
      <c r="L13" s="24">
        <f>SUBTOTAL(109,Table2[v(INR)])</f>
        <v>0</v>
      </c>
      <c r="M13" s="24">
        <f>SUBTOTAL(109,Table2[v(AED)])</f>
        <v>0</v>
      </c>
    </row>
    <row r="14" spans="1:13" x14ac:dyDescent="0.75">
      <c r="A14" s="16">
        <v>13</v>
      </c>
      <c r="B14" s="17"/>
      <c r="C14" s="21"/>
      <c r="D14" s="21"/>
      <c r="E14" s="21"/>
      <c r="F14" s="21"/>
      <c r="G14" s="19"/>
    </row>
    <row r="15" spans="1:13" x14ac:dyDescent="0.75">
      <c r="A15" s="16">
        <v>14</v>
      </c>
      <c r="B15" s="17"/>
      <c r="C15" s="21"/>
      <c r="D15" s="21"/>
      <c r="E15" s="21"/>
      <c r="F15" s="21"/>
      <c r="G15" s="19"/>
    </row>
    <row r="16" spans="1:13" x14ac:dyDescent="0.75">
      <c r="A16" s="16">
        <v>15</v>
      </c>
      <c r="B16" s="17"/>
      <c r="C16" s="21"/>
      <c r="D16" s="21"/>
      <c r="E16" s="21"/>
      <c r="F16" s="21"/>
      <c r="G16" s="19"/>
    </row>
    <row r="17" spans="1:7" x14ac:dyDescent="0.75">
      <c r="A17" s="16">
        <v>16</v>
      </c>
      <c r="B17" s="17"/>
      <c r="C17" s="21"/>
      <c r="D17" s="21"/>
      <c r="E17" s="21"/>
      <c r="F17" s="21"/>
      <c r="G17" s="19"/>
    </row>
    <row r="18" spans="1:7" x14ac:dyDescent="0.75">
      <c r="A18" s="16">
        <v>17</v>
      </c>
      <c r="B18" s="17"/>
      <c r="C18" s="21"/>
      <c r="D18" s="21"/>
      <c r="E18" s="21"/>
      <c r="F18" s="21"/>
      <c r="G18" s="19"/>
    </row>
    <row r="19" spans="1:7" x14ac:dyDescent="0.75">
      <c r="A19" s="16">
        <v>18</v>
      </c>
      <c r="B19" s="17"/>
      <c r="C19" s="21"/>
      <c r="D19" s="21"/>
      <c r="E19" s="21"/>
      <c r="F19" s="21"/>
      <c r="G19" s="19"/>
    </row>
    <row r="20" spans="1:7" x14ac:dyDescent="0.75">
      <c r="A20" s="16">
        <v>19</v>
      </c>
      <c r="B20" s="17"/>
      <c r="C20" s="21"/>
      <c r="D20" s="21"/>
      <c r="E20" s="21"/>
      <c r="F20" s="21"/>
      <c r="G20" s="19"/>
    </row>
    <row r="21" spans="1:7" x14ac:dyDescent="0.75">
      <c r="A21" s="16">
        <v>20</v>
      </c>
      <c r="B21" s="17"/>
      <c r="C21" s="21"/>
      <c r="D21" s="21"/>
      <c r="E21" s="21"/>
      <c r="F21" s="21"/>
      <c r="G21" s="19"/>
    </row>
    <row r="22" spans="1:7" x14ac:dyDescent="0.75">
      <c r="A22" s="16">
        <v>21</v>
      </c>
      <c r="B22" s="17"/>
      <c r="C22" s="21"/>
      <c r="D22" s="21"/>
      <c r="E22" s="21"/>
      <c r="F22" s="21"/>
      <c r="G22" s="19"/>
    </row>
    <row r="23" spans="1:7" x14ac:dyDescent="0.75">
      <c r="A23" s="16">
        <v>22</v>
      </c>
      <c r="B23" s="17"/>
      <c r="C23" s="21"/>
      <c r="D23" s="21"/>
      <c r="E23" s="21"/>
      <c r="F23" s="21"/>
      <c r="G23" s="19"/>
    </row>
    <row r="24" spans="1:7" x14ac:dyDescent="0.75">
      <c r="A24" s="16">
        <v>23</v>
      </c>
      <c r="B24" s="17"/>
      <c r="C24" s="21"/>
      <c r="D24" s="21"/>
      <c r="E24" s="21"/>
      <c r="F24" s="21"/>
      <c r="G24" s="19"/>
    </row>
    <row r="25" spans="1:7" x14ac:dyDescent="0.75">
      <c r="A25" s="16">
        <v>24</v>
      </c>
      <c r="B25" s="17"/>
      <c r="C25" s="21"/>
      <c r="D25" s="21"/>
      <c r="E25" s="21"/>
      <c r="F25" s="21"/>
      <c r="G25" s="19"/>
    </row>
    <row r="26" spans="1:7" ht="15.5" thickBot="1" x14ac:dyDescent="0.9">
      <c r="A26" s="23">
        <v>25</v>
      </c>
      <c r="B26" s="18"/>
      <c r="C26" s="22"/>
      <c r="D26" s="22"/>
      <c r="E26" s="22"/>
      <c r="F26" s="22"/>
      <c r="G26" s="20"/>
    </row>
    <row r="27" spans="1:7" ht="15.5" thickBot="1" x14ac:dyDescent="0.9">
      <c r="A27" s="27"/>
      <c r="B27" s="55" t="s">
        <v>52</v>
      </c>
      <c r="C27" s="31">
        <f>SUBTOTAL(109,Table11[18K])</f>
        <v>0</v>
      </c>
      <c r="D27" s="31">
        <f>SUBTOTAL(109,Table11[21K])</f>
        <v>0</v>
      </c>
      <c r="E27" s="31">
        <f>SUBTOTAL(109,Table11[22K])</f>
        <v>0</v>
      </c>
      <c r="F27" s="31">
        <f>SUBTOTAL(109,Table11[24K])</f>
        <v>0</v>
      </c>
      <c r="G27" s="29"/>
    </row>
    <row r="28" spans="1:7" ht="15.5" thickBot="1" x14ac:dyDescent="0.9"/>
    <row r="29" spans="1:7" ht="15.5" thickBot="1" x14ac:dyDescent="0.9">
      <c r="A29" s="27" t="s">
        <v>45</v>
      </c>
      <c r="B29" s="61" t="s">
        <v>37</v>
      </c>
      <c r="C29" s="61" t="s">
        <v>1</v>
      </c>
      <c r="D29" s="61" t="s">
        <v>35</v>
      </c>
      <c r="E29" s="61" t="s">
        <v>0</v>
      </c>
      <c r="F29" s="61" t="s">
        <v>38</v>
      </c>
      <c r="G29" s="62" t="s">
        <v>5</v>
      </c>
    </row>
    <row r="30" spans="1:7" x14ac:dyDescent="0.75">
      <c r="A30" s="14">
        <v>1</v>
      </c>
      <c r="B30" s="63"/>
      <c r="C30" s="64"/>
      <c r="D30" s="64"/>
      <c r="E30" s="64"/>
      <c r="F30" s="13"/>
      <c r="G30" s="65">
        <v>2019</v>
      </c>
    </row>
    <row r="31" spans="1:7" x14ac:dyDescent="0.75">
      <c r="A31" s="16">
        <v>2</v>
      </c>
      <c r="B31" s="66"/>
      <c r="C31" s="67"/>
      <c r="D31" s="67"/>
      <c r="E31" s="67"/>
      <c r="F31" s="17"/>
      <c r="G31" s="68">
        <v>2022</v>
      </c>
    </row>
    <row r="32" spans="1:7" ht="15.5" thickBot="1" x14ac:dyDescent="0.9">
      <c r="A32" s="23">
        <v>3</v>
      </c>
      <c r="B32" s="69" t="s">
        <v>50</v>
      </c>
      <c r="C32" s="18"/>
      <c r="D32" s="18"/>
      <c r="E32" s="18"/>
      <c r="F32" s="18"/>
      <c r="G32" s="70">
        <v>2023</v>
      </c>
    </row>
    <row r="33" spans="1:7" ht="15.5" thickBot="1" x14ac:dyDescent="0.9">
      <c r="A33" s="27"/>
      <c r="B33" s="71" t="s">
        <v>3</v>
      </c>
      <c r="C33" s="71">
        <f>SUM(C30:C32)</f>
        <v>0</v>
      </c>
      <c r="D33" s="71">
        <f>SUM(D30:D32)</f>
        <v>0</v>
      </c>
      <c r="E33" s="71">
        <f>SUM(E30:E32)</f>
        <v>0</v>
      </c>
      <c r="F33" s="71">
        <f>SUM(F30:F32)</f>
        <v>0</v>
      </c>
      <c r="G33" s="72"/>
    </row>
  </sheetData>
  <mergeCells count="1">
    <mergeCell ref="I5:M5"/>
  </mergeCell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44AEB-0EEB-49EA-9149-1F3662CC3FF6}">
  <dimension ref="A1:I19"/>
  <sheetViews>
    <sheetView workbookViewId="0"/>
  </sheetViews>
  <sheetFormatPr defaultRowHeight="14.75" x14ac:dyDescent="0.75"/>
  <cols>
    <col min="1" max="1" width="21.54296875" bestFit="1" customWidth="1"/>
    <col min="2" max="4" width="25.40625" bestFit="1" customWidth="1"/>
    <col min="5" max="5" width="8.1328125" bestFit="1" customWidth="1"/>
    <col min="7" max="7" width="11.40625" bestFit="1" customWidth="1"/>
    <col min="8" max="8" width="11" bestFit="1" customWidth="1"/>
    <col min="9" max="9" width="9" bestFit="1" customWidth="1"/>
  </cols>
  <sheetData>
    <row r="1" spans="1:9" ht="15.5" thickBot="1" x14ac:dyDescent="0.9">
      <c r="A1" s="30"/>
      <c r="B1" s="35"/>
      <c r="C1" s="35"/>
      <c r="D1" s="35"/>
      <c r="E1" s="32" t="s">
        <v>46</v>
      </c>
      <c r="G1" s="47" t="s">
        <v>33</v>
      </c>
      <c r="H1" s="48" t="s">
        <v>27</v>
      </c>
      <c r="I1" s="49" t="s">
        <v>15</v>
      </c>
    </row>
    <row r="2" spans="1:9" x14ac:dyDescent="0.75">
      <c r="A2" s="5"/>
      <c r="B2" s="6"/>
      <c r="C2" s="6"/>
      <c r="D2" s="6"/>
      <c r="E2" s="36" t="str">
        <f t="shared" ref="E2:E8" si="0">LEFT(D2, 5)</f>
        <v>22.28</v>
      </c>
      <c r="G2" s="50" t="s">
        <v>28</v>
      </c>
      <c r="H2" s="45">
        <v>31000</v>
      </c>
      <c r="I2" s="46">
        <f t="shared" ref="I2:I8" si="1">H2/40</f>
        <v>775</v>
      </c>
    </row>
    <row r="3" spans="1:9" x14ac:dyDescent="0.75">
      <c r="A3" s="7"/>
      <c r="B3" s="8"/>
      <c r="C3" s="8"/>
      <c r="D3" s="8"/>
      <c r="E3" s="9" t="str">
        <f t="shared" si="0"/>
        <v>77.02</v>
      </c>
      <c r="G3" s="50" t="s">
        <v>40</v>
      </c>
      <c r="H3" s="45">
        <v>54000</v>
      </c>
      <c r="I3" s="46">
        <f t="shared" si="1"/>
        <v>1350</v>
      </c>
    </row>
    <row r="4" spans="1:9" x14ac:dyDescent="0.75">
      <c r="A4" s="7"/>
      <c r="B4" s="8"/>
      <c r="C4" s="8"/>
      <c r="D4" s="8"/>
      <c r="E4" s="9" t="str">
        <f t="shared" si="0"/>
        <v>27.58</v>
      </c>
      <c r="G4" s="50" t="s">
        <v>29</v>
      </c>
      <c r="H4" s="45">
        <v>28000</v>
      </c>
      <c r="I4" s="46">
        <f t="shared" si="1"/>
        <v>700</v>
      </c>
    </row>
    <row r="5" spans="1:9" x14ac:dyDescent="0.75">
      <c r="A5" s="7"/>
      <c r="B5" s="8"/>
      <c r="C5" s="8"/>
      <c r="D5" s="8"/>
      <c r="E5" s="9" t="str">
        <f t="shared" si="0"/>
        <v>89.17</v>
      </c>
      <c r="G5" s="50" t="s">
        <v>30</v>
      </c>
      <c r="H5" s="45">
        <v>70000</v>
      </c>
      <c r="I5" s="46">
        <f t="shared" si="1"/>
        <v>1750</v>
      </c>
    </row>
    <row r="6" spans="1:9" x14ac:dyDescent="0.75">
      <c r="A6" s="7"/>
      <c r="B6" s="8"/>
      <c r="C6" s="8"/>
      <c r="D6" s="8"/>
      <c r="E6" s="9" t="str">
        <f t="shared" si="0"/>
        <v>35.75</v>
      </c>
      <c r="G6" s="50" t="s">
        <v>31</v>
      </c>
      <c r="H6" s="45">
        <v>3550</v>
      </c>
      <c r="I6" s="46">
        <f t="shared" si="1"/>
        <v>88.75</v>
      </c>
    </row>
    <row r="7" spans="1:9" x14ac:dyDescent="0.75">
      <c r="A7" s="7"/>
      <c r="B7" s="8"/>
      <c r="C7" s="8"/>
      <c r="D7" s="8"/>
      <c r="E7" s="9" t="str">
        <f t="shared" si="0"/>
        <v>5.00</v>
      </c>
      <c r="G7" s="50" t="s">
        <v>41</v>
      </c>
      <c r="H7" s="45">
        <v>100000</v>
      </c>
      <c r="I7" s="46">
        <f t="shared" si="1"/>
        <v>2500</v>
      </c>
    </row>
    <row r="8" spans="1:9" ht="15.5" thickBot="1" x14ac:dyDescent="0.9">
      <c r="A8" s="10"/>
      <c r="B8" s="11"/>
      <c r="C8" s="11"/>
      <c r="D8" s="11"/>
      <c r="E8" s="12" t="str">
        <f t="shared" si="0"/>
        <v>14.75</v>
      </c>
      <c r="G8" s="51" t="s">
        <v>32</v>
      </c>
      <c r="H8" s="52">
        <v>31000</v>
      </c>
      <c r="I8" s="53">
        <f t="shared" si="1"/>
        <v>775</v>
      </c>
    </row>
    <row r="9" spans="1:9" ht="15.5" thickBot="1" x14ac:dyDescent="0.9">
      <c r="G9" s="54" t="s">
        <v>3</v>
      </c>
      <c r="H9" s="74">
        <f>SUM(H2:H8)</f>
        <v>317550</v>
      </c>
      <c r="I9" s="75">
        <f>SUM(I2:I8)</f>
        <v>7938.75</v>
      </c>
    </row>
    <row r="10" spans="1:9" ht="15.5" thickBot="1" x14ac:dyDescent="0.9">
      <c r="A10" s="87" t="s">
        <v>71</v>
      </c>
      <c r="B10" s="88"/>
    </row>
    <row r="11" spans="1:9" x14ac:dyDescent="0.75">
      <c r="A11" s="43"/>
      <c r="B11" s="43"/>
    </row>
    <row r="12" spans="1:9" x14ac:dyDescent="0.75">
      <c r="A12" s="44"/>
      <c r="B12" s="44"/>
    </row>
    <row r="14" spans="1:9" ht="15.5" thickBot="1" x14ac:dyDescent="0.9">
      <c r="A14" s="37"/>
      <c r="B14" s="37"/>
      <c r="C14" s="37"/>
    </row>
    <row r="15" spans="1:9" x14ac:dyDescent="0.75">
      <c r="A15" s="38"/>
      <c r="B15" s="39"/>
      <c r="C15" s="40"/>
    </row>
    <row r="16" spans="1:9" x14ac:dyDescent="0.75">
      <c r="A16" s="41"/>
      <c r="B16" s="8"/>
      <c r="C16" s="9"/>
    </row>
    <row r="17" spans="1:3" x14ac:dyDescent="0.75">
      <c r="A17" s="41"/>
      <c r="B17" s="8"/>
      <c r="C17" s="9"/>
    </row>
    <row r="18" spans="1:3" x14ac:dyDescent="0.75">
      <c r="A18" s="41"/>
      <c r="B18" s="8"/>
      <c r="C18" s="9"/>
    </row>
    <row r="19" spans="1:3" x14ac:dyDescent="0.75">
      <c r="A19" s="42"/>
      <c r="B19" s="11"/>
      <c r="C19" s="12"/>
    </row>
  </sheetData>
  <mergeCells count="1">
    <mergeCell ref="A10:B10"/>
  </mergeCells>
  <hyperlinks>
    <hyperlink ref="E2" r:id="rId1" display="https://www.exceltip.com/working-with-formulas/left-function-in-microsoft-excel.html" xr:uid="{9AE4BD3C-CBC2-4459-B2BA-A54A8FC8025C}"/>
  </hyperlinks>
  <pageMargins left="0.7" right="0.7" top="0.75" bottom="0.75" header="0.3" footer="0.3"/>
  <pageSetup orientation="portrait" r:id="rId2"/>
  <tableParts count="4"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E851A6-1760-46C4-8105-817044D3CC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Zakah Engine</vt:lpstr>
      <vt:lpstr>Inventory</vt:lpstr>
      <vt:lpstr>Exchange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Aamer Shah</dc:creator>
  <cp:lastModifiedBy>A</cp:lastModifiedBy>
  <cp:lastPrinted>2023-03-31T08:51:33Z</cp:lastPrinted>
  <dcterms:created xsi:type="dcterms:W3CDTF">2022-07-13T16:10:02Z</dcterms:created>
  <dcterms:modified xsi:type="dcterms:W3CDTF">2023-03-31T13:15:27Z</dcterms:modified>
</cp:coreProperties>
</file>