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3B48463-8F12-4955-BFB7-8966A0C916B4}" xr6:coauthVersionLast="47" xr6:coauthVersionMax="47" xr10:uidLastSave="{00000000-0000-0000-0000-000000000000}"/>
  <bookViews>
    <workbookView xWindow="-120" yWindow="-120" windowWidth="20730" windowHeight="11040" firstSheet="2" activeTab="5" xr2:uid="{DB82B581-682A-41DE-80A6-0F10E833C313}"/>
  </bookViews>
  <sheets>
    <sheet name="Part 1 Person A" sheetId="1" r:id="rId1"/>
    <sheet name="Expenses Person A" sheetId="2" r:id="rId2"/>
    <sheet name="Person A Mortgage" sheetId="3" r:id="rId3"/>
    <sheet name="Person A Jubilee" sheetId="5" r:id="rId4"/>
    <sheet name="Person A Allianz" sheetId="9" r:id="rId5"/>
    <sheet name="Person A ICICI" sheetId="10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7" i="10" l="1"/>
  <c r="T16" i="10"/>
  <c r="T15" i="10"/>
  <c r="T14" i="10"/>
  <c r="T15" i="9"/>
  <c r="T14" i="9"/>
  <c r="N14" i="9"/>
  <c r="T30" i="1"/>
  <c r="T28" i="1"/>
  <c r="T12" i="1"/>
  <c r="F13" i="1"/>
  <c r="E15" i="10"/>
  <c r="C15" i="10"/>
  <c r="J14" i="10"/>
  <c r="G8" i="10"/>
  <c r="R14" i="10" s="1"/>
  <c r="K14" i="5"/>
  <c r="E15" i="9"/>
  <c r="D15" i="9"/>
  <c r="C15" i="9"/>
  <c r="C16" i="9" s="1"/>
  <c r="R14" i="9"/>
  <c r="K14" i="9"/>
  <c r="J14" i="9"/>
  <c r="G8" i="9"/>
  <c r="J14" i="5"/>
  <c r="M14" i="5" s="1"/>
  <c r="N14" i="5" s="1"/>
  <c r="O14" i="5" s="1"/>
  <c r="K16" i="5"/>
  <c r="K17" i="5"/>
  <c r="K15" i="5"/>
  <c r="R16" i="5"/>
  <c r="R17" i="5"/>
  <c r="R18" i="5"/>
  <c r="K18" i="5" s="1"/>
  <c r="R19" i="5"/>
  <c r="R20" i="5" s="1"/>
  <c r="C23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2" i="3"/>
  <c r="G8" i="5"/>
  <c r="R14" i="5" s="1"/>
  <c r="D23" i="5"/>
  <c r="D24" i="5"/>
  <c r="D25" i="5"/>
  <c r="D26" i="5"/>
  <c r="D27" i="5"/>
  <c r="D28" i="5"/>
  <c r="C24" i="5"/>
  <c r="C25" i="5"/>
  <c r="C26" i="5" s="1"/>
  <c r="C27" i="5" s="1"/>
  <c r="C28" i="5" s="1"/>
  <c r="C23" i="5"/>
  <c r="E15" i="5"/>
  <c r="C15" i="5"/>
  <c r="D15" i="5" s="1"/>
  <c r="J15" i="10" l="1"/>
  <c r="R15" i="10"/>
  <c r="K14" i="10"/>
  <c r="M14" i="10" s="1"/>
  <c r="N14" i="10" s="1"/>
  <c r="E16" i="10"/>
  <c r="D15" i="10"/>
  <c r="C16" i="10"/>
  <c r="M14" i="9"/>
  <c r="C17" i="9"/>
  <c r="D16" i="9"/>
  <c r="R15" i="9"/>
  <c r="E16" i="9"/>
  <c r="J15" i="9"/>
  <c r="R21" i="5"/>
  <c r="K20" i="5"/>
  <c r="K19" i="5"/>
  <c r="J15" i="5"/>
  <c r="C16" i="5"/>
  <c r="R15" i="5"/>
  <c r="E16" i="5"/>
  <c r="D16" i="10" l="1"/>
  <c r="C17" i="10"/>
  <c r="O14" i="10"/>
  <c r="R16" i="10"/>
  <c r="K15" i="10"/>
  <c r="J16" i="10"/>
  <c r="E17" i="10"/>
  <c r="O14" i="9"/>
  <c r="C18" i="9"/>
  <c r="D17" i="9"/>
  <c r="J16" i="9"/>
  <c r="E17" i="9"/>
  <c r="R16" i="9"/>
  <c r="K15" i="9"/>
  <c r="R22" i="5"/>
  <c r="K21" i="5"/>
  <c r="D16" i="5"/>
  <c r="C17" i="5"/>
  <c r="J16" i="5"/>
  <c r="E17" i="5"/>
  <c r="G15" i="10" l="1"/>
  <c r="M15" i="10" s="1"/>
  <c r="N15" i="10" s="1"/>
  <c r="S14" i="10"/>
  <c r="D17" i="10"/>
  <c r="C18" i="10"/>
  <c r="J17" i="10"/>
  <c r="E18" i="10"/>
  <c r="R17" i="10"/>
  <c r="K16" i="10"/>
  <c r="S14" i="9"/>
  <c r="G15" i="9"/>
  <c r="M15" i="9" s="1"/>
  <c r="R17" i="9"/>
  <c r="K16" i="9"/>
  <c r="C19" i="9"/>
  <c r="D18" i="9"/>
  <c r="J17" i="9"/>
  <c r="E18" i="9"/>
  <c r="K22" i="5"/>
  <c r="R23" i="5"/>
  <c r="D17" i="5"/>
  <c r="C18" i="5"/>
  <c r="E18" i="5"/>
  <c r="J17" i="5"/>
  <c r="N15" i="9" l="1"/>
  <c r="O15" i="9"/>
  <c r="J18" i="10"/>
  <c r="E19" i="10"/>
  <c r="R18" i="10"/>
  <c r="K17" i="10"/>
  <c r="D18" i="10"/>
  <c r="C19" i="10"/>
  <c r="O15" i="10"/>
  <c r="J18" i="9"/>
  <c r="E19" i="9"/>
  <c r="C20" i="9"/>
  <c r="D19" i="9"/>
  <c r="R18" i="9"/>
  <c r="K17" i="9"/>
  <c r="R24" i="5"/>
  <c r="K23" i="5"/>
  <c r="E19" i="5"/>
  <c r="J18" i="5"/>
  <c r="D18" i="5"/>
  <c r="C19" i="5"/>
  <c r="J19" i="10" l="1"/>
  <c r="E20" i="10"/>
  <c r="G16" i="10"/>
  <c r="M16" i="10" s="1"/>
  <c r="N16" i="10" s="1"/>
  <c r="S15" i="10"/>
  <c r="D19" i="10"/>
  <c r="C20" i="10"/>
  <c r="R19" i="10"/>
  <c r="K18" i="10"/>
  <c r="S15" i="9"/>
  <c r="G16" i="9"/>
  <c r="M16" i="9" s="1"/>
  <c r="N16" i="9" s="1"/>
  <c r="O16" i="9" s="1"/>
  <c r="C21" i="9"/>
  <c r="D20" i="9"/>
  <c r="K18" i="9"/>
  <c r="R19" i="9"/>
  <c r="J19" i="9"/>
  <c r="E20" i="9"/>
  <c r="R25" i="5"/>
  <c r="K24" i="5"/>
  <c r="D19" i="5"/>
  <c r="C20" i="5"/>
  <c r="E20" i="5"/>
  <c r="J19" i="5"/>
  <c r="D20" i="10" l="1"/>
  <c r="C21" i="10"/>
  <c r="O16" i="10"/>
  <c r="J20" i="10"/>
  <c r="E21" i="10"/>
  <c r="R20" i="10"/>
  <c r="K19" i="10"/>
  <c r="J20" i="9"/>
  <c r="E21" i="9"/>
  <c r="R20" i="9"/>
  <c r="K19" i="9"/>
  <c r="C22" i="9"/>
  <c r="D21" i="9"/>
  <c r="G17" i="9"/>
  <c r="M17" i="9" s="1"/>
  <c r="N17" i="9" s="1"/>
  <c r="T16" i="9"/>
  <c r="S16" i="9"/>
  <c r="R26" i="5"/>
  <c r="K25" i="5"/>
  <c r="J20" i="5"/>
  <c r="E21" i="5"/>
  <c r="D20" i="5"/>
  <c r="C21" i="5"/>
  <c r="G17" i="10" l="1"/>
  <c r="M17" i="10" s="1"/>
  <c r="N17" i="10" s="1"/>
  <c r="S16" i="10"/>
  <c r="R21" i="10"/>
  <c r="K20" i="10"/>
  <c r="J21" i="10"/>
  <c r="E22" i="10"/>
  <c r="D21" i="10"/>
  <c r="C22" i="10"/>
  <c r="O17" i="9"/>
  <c r="R21" i="9"/>
  <c r="K20" i="9"/>
  <c r="C23" i="9"/>
  <c r="D22" i="9"/>
  <c r="J21" i="9"/>
  <c r="E22" i="9"/>
  <c r="K26" i="5"/>
  <c r="R27" i="5"/>
  <c r="D21" i="5"/>
  <c r="C22" i="5"/>
  <c r="D22" i="5" s="1"/>
  <c r="E22" i="5"/>
  <c r="J21" i="5"/>
  <c r="J22" i="10" l="1"/>
  <c r="E23" i="10"/>
  <c r="O17" i="10"/>
  <c r="R22" i="10"/>
  <c r="K21" i="10"/>
  <c r="D22" i="10"/>
  <c r="C23" i="10"/>
  <c r="G18" i="9"/>
  <c r="M18" i="9" s="1"/>
  <c r="N18" i="9" s="1"/>
  <c r="T17" i="9"/>
  <c r="S17" i="9"/>
  <c r="J22" i="9"/>
  <c r="E23" i="9"/>
  <c r="R22" i="9"/>
  <c r="K21" i="9"/>
  <c r="C24" i="9"/>
  <c r="D23" i="9"/>
  <c r="R28" i="5"/>
  <c r="K28" i="5" s="1"/>
  <c r="K27" i="5"/>
  <c r="J22" i="5"/>
  <c r="E23" i="5"/>
  <c r="G18" i="10" l="1"/>
  <c r="M18" i="10" s="1"/>
  <c r="N18" i="10" s="1"/>
  <c r="S17" i="10"/>
  <c r="J23" i="10"/>
  <c r="E24" i="10"/>
  <c r="D23" i="10"/>
  <c r="C24" i="10"/>
  <c r="R23" i="10"/>
  <c r="K22" i="10"/>
  <c r="C25" i="9"/>
  <c r="D24" i="9"/>
  <c r="J23" i="9"/>
  <c r="E24" i="9"/>
  <c r="O18" i="9"/>
  <c r="R23" i="9"/>
  <c r="K22" i="9"/>
  <c r="E24" i="5"/>
  <c r="J23" i="5"/>
  <c r="R24" i="10" l="1"/>
  <c r="K23" i="10"/>
  <c r="D24" i="10"/>
  <c r="C25" i="10"/>
  <c r="J24" i="10"/>
  <c r="E25" i="10"/>
  <c r="O18" i="10"/>
  <c r="T18" i="10" s="1"/>
  <c r="G19" i="9"/>
  <c r="M19" i="9" s="1"/>
  <c r="N19" i="9" s="1"/>
  <c r="T18" i="9"/>
  <c r="S18" i="9"/>
  <c r="R24" i="9"/>
  <c r="K23" i="9"/>
  <c r="J24" i="9"/>
  <c r="E25" i="9"/>
  <c r="C26" i="9"/>
  <c r="D25" i="9"/>
  <c r="E25" i="5"/>
  <c r="J24" i="5"/>
  <c r="G19" i="10" l="1"/>
  <c r="M19" i="10" s="1"/>
  <c r="N19" i="10" s="1"/>
  <c r="S18" i="10"/>
  <c r="J25" i="10"/>
  <c r="E26" i="10"/>
  <c r="D25" i="10"/>
  <c r="C26" i="10"/>
  <c r="R25" i="10"/>
  <c r="K24" i="10"/>
  <c r="J25" i="9"/>
  <c r="E26" i="9"/>
  <c r="C27" i="9"/>
  <c r="D26" i="9"/>
  <c r="R25" i="9"/>
  <c r="K24" i="9"/>
  <c r="O19" i="9"/>
  <c r="E26" i="5"/>
  <c r="J25" i="5"/>
  <c r="O19" i="10" l="1"/>
  <c r="R26" i="10"/>
  <c r="K25" i="10"/>
  <c r="D26" i="10"/>
  <c r="C27" i="10"/>
  <c r="J26" i="10"/>
  <c r="E27" i="10"/>
  <c r="G20" i="9"/>
  <c r="M20" i="9" s="1"/>
  <c r="N20" i="9" s="1"/>
  <c r="T19" i="9"/>
  <c r="S19" i="9"/>
  <c r="C28" i="9"/>
  <c r="D28" i="9" s="1"/>
  <c r="D27" i="9"/>
  <c r="R26" i="9"/>
  <c r="K25" i="9"/>
  <c r="J26" i="9"/>
  <c r="E27" i="9"/>
  <c r="E27" i="5"/>
  <c r="J26" i="5"/>
  <c r="G20" i="10" l="1"/>
  <c r="M20" i="10" s="1"/>
  <c r="N20" i="10" s="1"/>
  <c r="T19" i="10"/>
  <c r="S19" i="10"/>
  <c r="D27" i="10"/>
  <c r="C28" i="10"/>
  <c r="D28" i="10" s="1"/>
  <c r="R27" i="10"/>
  <c r="K26" i="10"/>
  <c r="J27" i="10"/>
  <c r="E28" i="10"/>
  <c r="R27" i="9"/>
  <c r="K26" i="9"/>
  <c r="J27" i="9"/>
  <c r="E28" i="9"/>
  <c r="O20" i="9"/>
  <c r="E28" i="5"/>
  <c r="J27" i="5"/>
  <c r="J28" i="10" l="1"/>
  <c r="G30" i="10"/>
  <c r="R28" i="10"/>
  <c r="K27" i="10"/>
  <c r="O20" i="10"/>
  <c r="G21" i="9"/>
  <c r="M21" i="9" s="1"/>
  <c r="N21" i="9" s="1"/>
  <c r="T20" i="9"/>
  <c r="S20" i="9"/>
  <c r="R28" i="9"/>
  <c r="K27" i="9"/>
  <c r="J28" i="9"/>
  <c r="G30" i="9"/>
  <c r="J28" i="5"/>
  <c r="G30" i="5"/>
  <c r="T20" i="10" l="1"/>
  <c r="G21" i="10"/>
  <c r="M21" i="10" s="1"/>
  <c r="N21" i="10" s="1"/>
  <c r="S20" i="10"/>
  <c r="K28" i="10"/>
  <c r="K28" i="9"/>
  <c r="O21" i="9"/>
  <c r="O21" i="10" l="1"/>
  <c r="G22" i="9"/>
  <c r="M22" i="9" s="1"/>
  <c r="N22" i="9" s="1"/>
  <c r="T21" i="9"/>
  <c r="S21" i="9"/>
  <c r="G22" i="10" l="1"/>
  <c r="M22" i="10" s="1"/>
  <c r="N22" i="10" s="1"/>
  <c r="T21" i="10"/>
  <c r="S21" i="10"/>
  <c r="O22" i="9"/>
  <c r="O22" i="10" l="1"/>
  <c r="G23" i="9"/>
  <c r="M23" i="9" s="1"/>
  <c r="N23" i="9" s="1"/>
  <c r="T22" i="9"/>
  <c r="S22" i="9"/>
  <c r="V15" i="1"/>
  <c r="I13" i="1"/>
  <c r="K13" i="1" s="1"/>
  <c r="I14" i="1"/>
  <c r="I15" i="1"/>
  <c r="K15" i="1" s="1"/>
  <c r="I12" i="1"/>
  <c r="T13" i="1"/>
  <c r="V13" i="1" s="1"/>
  <c r="E7" i="2"/>
  <c r="T15" i="1"/>
  <c r="E12" i="2"/>
  <c r="C2" i="3"/>
  <c r="F2" i="3"/>
  <c r="E2" i="3"/>
  <c r="C4" i="3"/>
  <c r="E4" i="3" s="1"/>
  <c r="F4" i="3" s="1"/>
  <c r="B5" i="3" s="1"/>
  <c r="E12" i="1"/>
  <c r="E13" i="1" s="1"/>
  <c r="E14" i="1" s="1"/>
  <c r="E15" i="1" s="1"/>
  <c r="E16" i="1" s="1"/>
  <c r="E17" i="1" s="1"/>
  <c r="H16" i="1"/>
  <c r="I16" i="1" s="1"/>
  <c r="K16" i="1" s="1"/>
  <c r="B12" i="2"/>
  <c r="C10" i="1"/>
  <c r="C9" i="1" s="1"/>
  <c r="C8" i="1" s="1"/>
  <c r="C7" i="1" s="1"/>
  <c r="C6" i="1" s="1"/>
  <c r="C5" i="1" s="1"/>
  <c r="C4" i="1" s="1"/>
  <c r="C3" i="1" s="1"/>
  <c r="C2" i="1" s="1"/>
  <c r="D2" i="1" s="1"/>
  <c r="E2" i="1" s="1"/>
  <c r="G2" i="1" s="1"/>
  <c r="C13" i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D12" i="1"/>
  <c r="F12" i="1" s="1"/>
  <c r="T22" i="10" l="1"/>
  <c r="G23" i="10"/>
  <c r="M23" i="10" s="1"/>
  <c r="S22" i="10"/>
  <c r="O23" i="9"/>
  <c r="D4" i="1"/>
  <c r="E4" i="1" s="1"/>
  <c r="G4" i="1" s="1"/>
  <c r="V12" i="1"/>
  <c r="J12" i="1"/>
  <c r="K12" i="1"/>
  <c r="T14" i="1"/>
  <c r="V14" i="1" s="1"/>
  <c r="K14" i="1"/>
  <c r="H17" i="1"/>
  <c r="I17" i="1" s="1"/>
  <c r="K17" i="1" s="1"/>
  <c r="T16" i="1"/>
  <c r="V16" i="1" s="1"/>
  <c r="C5" i="3"/>
  <c r="E5" i="3" s="1"/>
  <c r="F5" i="3" s="1"/>
  <c r="B6" i="3" s="1"/>
  <c r="E18" i="1"/>
  <c r="E19" i="1" s="1"/>
  <c r="E20" i="1" s="1"/>
  <c r="E21" i="1" s="1"/>
  <c r="E22" i="1" s="1"/>
  <c r="E23" i="1" s="1"/>
  <c r="E24" i="1" s="1"/>
  <c r="E25" i="1" s="1"/>
  <c r="E26" i="1" s="1"/>
  <c r="D13" i="1"/>
  <c r="D10" i="1"/>
  <c r="E10" i="1" s="1"/>
  <c r="G10" i="1" s="1"/>
  <c r="D6" i="1"/>
  <c r="E6" i="1" s="1"/>
  <c r="G6" i="1" s="1"/>
  <c r="D9" i="1"/>
  <c r="E9" i="1" s="1"/>
  <c r="G9" i="1" s="1"/>
  <c r="D5" i="1"/>
  <c r="E5" i="1" s="1"/>
  <c r="G5" i="1" s="1"/>
  <c r="D8" i="1"/>
  <c r="E8" i="1" s="1"/>
  <c r="G8" i="1" s="1"/>
  <c r="D7" i="1"/>
  <c r="E7" i="1" s="1"/>
  <c r="G7" i="1" s="1"/>
  <c r="D3" i="1"/>
  <c r="E3" i="1" s="1"/>
  <c r="G3" i="1" s="1"/>
  <c r="N23" i="10" l="1"/>
  <c r="O23" i="10"/>
  <c r="G24" i="9"/>
  <c r="M24" i="9" s="1"/>
  <c r="N24" i="9" s="1"/>
  <c r="T23" i="9"/>
  <c r="S23" i="9"/>
  <c r="H10" i="1"/>
  <c r="H18" i="1"/>
  <c r="I18" i="1" s="1"/>
  <c r="K18" i="1" s="1"/>
  <c r="T17" i="1"/>
  <c r="V17" i="1" s="1"/>
  <c r="C6" i="3"/>
  <c r="E6" i="3" s="1"/>
  <c r="F6" i="3" s="1"/>
  <c r="B7" i="3" s="1"/>
  <c r="C7" i="3" s="1"/>
  <c r="E7" i="3" s="1"/>
  <c r="F7" i="3" s="1"/>
  <c r="B8" i="3" s="1"/>
  <c r="C8" i="3"/>
  <c r="E8" i="3" s="1"/>
  <c r="F8" i="3" s="1"/>
  <c r="B9" i="3" s="1"/>
  <c r="J13" i="1"/>
  <c r="D14" i="1"/>
  <c r="F14" i="1" s="1"/>
  <c r="J14" i="1" s="1"/>
  <c r="G24" i="10" l="1"/>
  <c r="M24" i="10" s="1"/>
  <c r="N24" i="10" s="1"/>
  <c r="T23" i="10"/>
  <c r="S23" i="10"/>
  <c r="O24" i="9"/>
  <c r="H19" i="1"/>
  <c r="I19" i="1" s="1"/>
  <c r="K19" i="1" s="1"/>
  <c r="T19" i="1"/>
  <c r="V19" i="1" s="1"/>
  <c r="T18" i="1"/>
  <c r="V18" i="1" s="1"/>
  <c r="H20" i="1"/>
  <c r="I20" i="1" s="1"/>
  <c r="K20" i="1" s="1"/>
  <c r="C9" i="3"/>
  <c r="E9" i="3" s="1"/>
  <c r="F9" i="3" s="1"/>
  <c r="B10" i="3" s="1"/>
  <c r="D15" i="1"/>
  <c r="O24" i="10" l="1"/>
  <c r="G25" i="9"/>
  <c r="M25" i="9" s="1"/>
  <c r="N25" i="9" s="1"/>
  <c r="T24" i="9"/>
  <c r="S24" i="9"/>
  <c r="H21" i="1"/>
  <c r="I21" i="1" s="1"/>
  <c r="C10" i="3"/>
  <c r="E10" i="3" s="1"/>
  <c r="F10" i="3" s="1"/>
  <c r="B11" i="3" s="1"/>
  <c r="F15" i="1"/>
  <c r="J15" i="1" s="1"/>
  <c r="D16" i="1"/>
  <c r="T24" i="10" l="1"/>
  <c r="G25" i="10"/>
  <c r="M25" i="10" s="1"/>
  <c r="N25" i="10" s="1"/>
  <c r="S24" i="10"/>
  <c r="O25" i="9"/>
  <c r="K21" i="1"/>
  <c r="T20" i="1"/>
  <c r="V20" i="1" s="1"/>
  <c r="T21" i="1"/>
  <c r="V21" i="1" s="1"/>
  <c r="H22" i="1"/>
  <c r="I22" i="1" s="1"/>
  <c r="K22" i="1" s="1"/>
  <c r="C11" i="3"/>
  <c r="E11" i="3" s="1"/>
  <c r="F11" i="3" s="1"/>
  <c r="B12" i="3" s="1"/>
  <c r="F16" i="1"/>
  <c r="J16" i="1" s="1"/>
  <c r="D17" i="1"/>
  <c r="O25" i="10" l="1"/>
  <c r="G26" i="9"/>
  <c r="M26" i="9" s="1"/>
  <c r="N26" i="9" s="1"/>
  <c r="T25" i="9"/>
  <c r="S25" i="9"/>
  <c r="H23" i="1"/>
  <c r="I23" i="1" s="1"/>
  <c r="C12" i="3"/>
  <c r="E12" i="3" s="1"/>
  <c r="F12" i="3" s="1"/>
  <c r="B13" i="3" s="1"/>
  <c r="F17" i="1"/>
  <c r="J17" i="1" s="1"/>
  <c r="D18" i="1"/>
  <c r="G26" i="10" l="1"/>
  <c r="M26" i="10" s="1"/>
  <c r="N26" i="10" s="1"/>
  <c r="T25" i="10"/>
  <c r="S25" i="10"/>
  <c r="O26" i="9"/>
  <c r="K23" i="1"/>
  <c r="T23" i="1"/>
  <c r="V23" i="1" s="1"/>
  <c r="T22" i="1"/>
  <c r="V22" i="1" s="1"/>
  <c r="H24" i="1"/>
  <c r="I24" i="1" s="1"/>
  <c r="K24" i="1" s="1"/>
  <c r="C13" i="3"/>
  <c r="E13" i="3" s="1"/>
  <c r="F13" i="3" s="1"/>
  <c r="B14" i="3" s="1"/>
  <c r="F18" i="1"/>
  <c r="J18" i="1" s="1"/>
  <c r="D19" i="1"/>
  <c r="O26" i="10" l="1"/>
  <c r="G27" i="9"/>
  <c r="M27" i="9" s="1"/>
  <c r="N27" i="9" s="1"/>
  <c r="T26" i="9"/>
  <c r="S26" i="9"/>
  <c r="H25" i="1"/>
  <c r="I25" i="1" s="1"/>
  <c r="C14" i="3"/>
  <c r="E14" i="3" s="1"/>
  <c r="F14" i="3" s="1"/>
  <c r="B15" i="3" s="1"/>
  <c r="F19" i="1"/>
  <c r="J19" i="1" s="1"/>
  <c r="D20" i="1"/>
  <c r="T26" i="10" l="1"/>
  <c r="G27" i="10"/>
  <c r="M27" i="10" s="1"/>
  <c r="N27" i="10" s="1"/>
  <c r="S26" i="10"/>
  <c r="O27" i="9"/>
  <c r="K25" i="1"/>
  <c r="I27" i="1"/>
  <c r="T25" i="1"/>
  <c r="V25" i="1" s="1"/>
  <c r="T24" i="1"/>
  <c r="V24" i="1" s="1"/>
  <c r="H26" i="1"/>
  <c r="I26" i="1" s="1"/>
  <c r="K26" i="1" s="1"/>
  <c r="C15" i="3"/>
  <c r="E15" i="3" s="1"/>
  <c r="F15" i="3" s="1"/>
  <c r="B16" i="3" s="1"/>
  <c r="F20" i="1"/>
  <c r="J20" i="1" s="1"/>
  <c r="D21" i="1"/>
  <c r="O27" i="10" l="1"/>
  <c r="G28" i="9"/>
  <c r="M28" i="9" s="1"/>
  <c r="N28" i="9" s="1"/>
  <c r="T27" i="9"/>
  <c r="S27" i="9"/>
  <c r="K27" i="1"/>
  <c r="K28" i="1" s="1"/>
  <c r="K29" i="1" s="1"/>
  <c r="C16" i="3"/>
  <c r="E16" i="3" s="1"/>
  <c r="F16" i="3" s="1"/>
  <c r="B17" i="3" s="1"/>
  <c r="F21" i="1"/>
  <c r="J21" i="1" s="1"/>
  <c r="D22" i="1"/>
  <c r="G28" i="10" l="1"/>
  <c r="M28" i="10" s="1"/>
  <c r="T27" i="10"/>
  <c r="S27" i="10"/>
  <c r="O28" i="9"/>
  <c r="T26" i="1"/>
  <c r="C17" i="3"/>
  <c r="E17" i="3" s="1"/>
  <c r="F17" i="3" s="1"/>
  <c r="B18" i="3" s="1"/>
  <c r="F22" i="1"/>
  <c r="J22" i="1" s="1"/>
  <c r="D23" i="1"/>
  <c r="N28" i="10" l="1"/>
  <c r="O28" i="10" s="1"/>
  <c r="T28" i="9"/>
  <c r="O30" i="9"/>
  <c r="S28" i="9"/>
  <c r="T27" i="1"/>
  <c r="V26" i="1"/>
  <c r="V28" i="1" s="1"/>
  <c r="V30" i="1" s="1"/>
  <c r="C18" i="3"/>
  <c r="E18" i="3" s="1"/>
  <c r="F18" i="3" s="1"/>
  <c r="F23" i="1"/>
  <c r="J23" i="1" s="1"/>
  <c r="D24" i="1"/>
  <c r="O30" i="10" l="1"/>
  <c r="T28" i="10"/>
  <c r="S28" i="10"/>
  <c r="F24" i="1"/>
  <c r="J24" i="1" s="1"/>
  <c r="D25" i="1"/>
  <c r="F25" i="1" l="1"/>
  <c r="J25" i="1" s="1"/>
  <c r="D26" i="1"/>
  <c r="F26" i="1" l="1"/>
  <c r="J26" i="1" s="1"/>
  <c r="T14" i="5" l="1"/>
  <c r="S14" i="5"/>
  <c r="G15" i="5"/>
  <c r="M15" i="5" s="1"/>
  <c r="N15" i="5" s="1"/>
  <c r="O15" i="5" l="1"/>
  <c r="T15" i="5" s="1"/>
  <c r="S15" i="5" l="1"/>
  <c r="G16" i="5"/>
  <c r="M16" i="5" s="1"/>
  <c r="N16" i="5" l="1"/>
  <c r="O16" i="5" s="1"/>
  <c r="T16" i="5" s="1"/>
  <c r="G17" i="5" l="1"/>
  <c r="M17" i="5" s="1"/>
  <c r="S16" i="5"/>
  <c r="N17" i="5" l="1"/>
  <c r="O17" i="5" s="1"/>
  <c r="T17" i="5" s="1"/>
  <c r="S17" i="5" l="1"/>
  <c r="G18" i="5"/>
  <c r="M18" i="5" s="1"/>
  <c r="N18" i="5" l="1"/>
  <c r="O18" i="5" s="1"/>
  <c r="T18" i="5" s="1"/>
  <c r="S18" i="5" l="1"/>
  <c r="G19" i="5"/>
  <c r="M19" i="5" s="1"/>
  <c r="N19" i="5" l="1"/>
  <c r="O19" i="5"/>
  <c r="T19" i="5" s="1"/>
  <c r="S19" i="5" l="1"/>
  <c r="G20" i="5"/>
  <c r="M20" i="5" s="1"/>
  <c r="N20" i="5" l="1"/>
  <c r="O20" i="5"/>
  <c r="T20" i="5" s="1"/>
  <c r="G21" i="5" l="1"/>
  <c r="M21" i="5" s="1"/>
  <c r="S20" i="5"/>
  <c r="N21" i="5" l="1"/>
  <c r="O21" i="5" s="1"/>
  <c r="T21" i="5" s="1"/>
  <c r="G22" i="5" l="1"/>
  <c r="M22" i="5" s="1"/>
  <c r="S21" i="5"/>
  <c r="N22" i="5" l="1"/>
  <c r="O22" i="5" s="1"/>
  <c r="T22" i="5" s="1"/>
  <c r="G23" i="5" l="1"/>
  <c r="M23" i="5" s="1"/>
  <c r="S22" i="5"/>
  <c r="N23" i="5" l="1"/>
  <c r="O23" i="5" s="1"/>
  <c r="T23" i="5" s="1"/>
  <c r="G24" i="5" l="1"/>
  <c r="M24" i="5" s="1"/>
  <c r="S23" i="5"/>
  <c r="N24" i="5" l="1"/>
  <c r="O24" i="5" s="1"/>
  <c r="T24" i="5" s="1"/>
  <c r="G25" i="5" l="1"/>
  <c r="M25" i="5" s="1"/>
  <c r="S24" i="5"/>
  <c r="N25" i="5" l="1"/>
  <c r="O25" i="5" s="1"/>
  <c r="T25" i="5" s="1"/>
  <c r="S25" i="5" l="1"/>
  <c r="G26" i="5"/>
  <c r="M26" i="5" s="1"/>
  <c r="N26" i="5" l="1"/>
  <c r="O26" i="5" s="1"/>
  <c r="T26" i="5" s="1"/>
  <c r="S26" i="5" l="1"/>
  <c r="G27" i="5"/>
  <c r="M27" i="5" s="1"/>
  <c r="N27" i="5" l="1"/>
  <c r="O27" i="5" s="1"/>
  <c r="T27" i="5" s="1"/>
  <c r="G28" i="5" l="1"/>
  <c r="M28" i="5" s="1"/>
  <c r="S27" i="5"/>
  <c r="N28" i="5" l="1"/>
  <c r="O28" i="5" s="1"/>
  <c r="T28" i="5" s="1"/>
  <c r="S28" i="5" l="1"/>
  <c r="O30" i="5"/>
</calcChain>
</file>

<file path=xl/sharedStrings.xml><?xml version="1.0" encoding="utf-8"?>
<sst xmlns="http://schemas.openxmlformats.org/spreadsheetml/2006/main" count="180" uniqueCount="101">
  <si>
    <t>year after grad</t>
  </si>
  <si>
    <t>salary</t>
  </si>
  <si>
    <t>yearly</t>
  </si>
  <si>
    <t>yearly saving before marriage</t>
  </si>
  <si>
    <t xml:space="preserve">present value </t>
  </si>
  <si>
    <t>Income required on annual basis</t>
  </si>
  <si>
    <t xml:space="preserve">yearly expense </t>
  </si>
  <si>
    <t xml:space="preserve">yearly savings </t>
  </si>
  <si>
    <t>total life events</t>
  </si>
  <si>
    <t>disposable income</t>
  </si>
  <si>
    <t xml:space="preserve">Pv of total life event </t>
  </si>
  <si>
    <t>total present value</t>
  </si>
  <si>
    <t>monthly</t>
  </si>
  <si>
    <t xml:space="preserve">Expenses </t>
  </si>
  <si>
    <t>Expenses after Death</t>
  </si>
  <si>
    <t>Utility</t>
  </si>
  <si>
    <t>PKR value</t>
  </si>
  <si>
    <t xml:space="preserve">mortgage </t>
  </si>
  <si>
    <t>Electricity</t>
  </si>
  <si>
    <t>Gas</t>
  </si>
  <si>
    <t>Labor</t>
  </si>
  <si>
    <t>Leisure</t>
  </si>
  <si>
    <t>debt</t>
  </si>
  <si>
    <t xml:space="preserve">food </t>
  </si>
  <si>
    <t xml:space="preserve">medical coverage </t>
  </si>
  <si>
    <t>Travel+Fuel</t>
  </si>
  <si>
    <t>Sum</t>
  </si>
  <si>
    <t xml:space="preserve">fv </t>
  </si>
  <si>
    <t xml:space="preserve">interest rate </t>
  </si>
  <si>
    <t>n</t>
  </si>
  <si>
    <t xml:space="preserve">monthly payment </t>
  </si>
  <si>
    <t>year</t>
  </si>
  <si>
    <t xml:space="preserve">beginning of year balance </t>
  </si>
  <si>
    <t xml:space="preserve">year end interest on balance </t>
  </si>
  <si>
    <t xml:space="preserve">total year end payment </t>
  </si>
  <si>
    <t xml:space="preserve">ammortization </t>
  </si>
  <si>
    <t>end of year</t>
  </si>
  <si>
    <t>education</t>
  </si>
  <si>
    <t>childbirth</t>
  </si>
  <si>
    <t>Initial Sum Assured</t>
  </si>
  <si>
    <t>present value of saving at y10</t>
  </si>
  <si>
    <t>saving percentage</t>
  </si>
  <si>
    <t>saves 5%</t>
  </si>
  <si>
    <t>saves 10%</t>
  </si>
  <si>
    <t>Policy Setting</t>
  </si>
  <si>
    <t>Surrender Penalty</t>
  </si>
  <si>
    <t>Premium</t>
  </si>
  <si>
    <t>Year 1</t>
  </si>
  <si>
    <t>Cover Multiple</t>
  </si>
  <si>
    <t>Year 2</t>
  </si>
  <si>
    <t>Sum Assured</t>
  </si>
  <si>
    <t>Paid in Case of Death</t>
  </si>
  <si>
    <t>Sum Assured + CV</t>
  </si>
  <si>
    <t>Policyholders Account</t>
  </si>
  <si>
    <t>Start of the Period</t>
  </si>
  <si>
    <t>During</t>
  </si>
  <si>
    <t>Closing Time</t>
  </si>
  <si>
    <t>Policy Year</t>
  </si>
  <si>
    <t>Age of PH</t>
  </si>
  <si>
    <t>Premium Paid</t>
  </si>
  <si>
    <t>Opening Account Balance</t>
  </si>
  <si>
    <t>Allocation Percentage</t>
  </si>
  <si>
    <t>Bid Offer Spread</t>
  </si>
  <si>
    <t>Premium Allocated to Account</t>
  </si>
  <si>
    <t>Mortality Charge</t>
  </si>
  <si>
    <t>Policy Admin Fee</t>
  </si>
  <si>
    <t>Investment Income Earned</t>
  </si>
  <si>
    <t>Investment Management Charge</t>
  </si>
  <si>
    <t>Closing Account Balance</t>
  </si>
  <si>
    <t>Sum At Risk</t>
  </si>
  <si>
    <t>Paid in Case of Surrender- Year End</t>
  </si>
  <si>
    <t>Total Premium Paid</t>
  </si>
  <si>
    <t>This appendix should give a basic working on how to make an illustration. Use the principles here to construct your own workings for the products</t>
  </si>
  <si>
    <t xml:space="preserve">funeral cost </t>
  </si>
  <si>
    <t xml:space="preserve">cover multiple </t>
  </si>
  <si>
    <t>q(x)</t>
  </si>
  <si>
    <t>age</t>
  </si>
  <si>
    <t xml:space="preserve">Life expectancy </t>
  </si>
  <si>
    <t>Year 1/2</t>
  </si>
  <si>
    <t>onwards</t>
  </si>
  <si>
    <t>less cash value</t>
  </si>
  <si>
    <t>no surrender value mentioned in brochure. For a similar insurance plan by jubilee 5% was charged</t>
  </si>
  <si>
    <t>100% Cash Value of the fund</t>
  </si>
  <si>
    <t>20% of Account Value</t>
  </si>
  <si>
    <t>Year 3</t>
  </si>
  <si>
    <t>Year 4</t>
  </si>
  <si>
    <t>Lower of 6% (AP or FV), subject to a maximum of 21000</t>
  </si>
  <si>
    <t>Lower of 2% of (AP or FV), subject to a maximum of  7000</t>
  </si>
  <si>
    <t>Lower of 3% of (AP or FV), subject to a maximum of  14000</t>
  </si>
  <si>
    <t>Lower of 4% of (AP or FV), subject to a maximum of  17500</t>
  </si>
  <si>
    <t>Nil</t>
  </si>
  <si>
    <t>Year 5 onwards</t>
  </si>
  <si>
    <t xml:space="preserve">yearly salary </t>
  </si>
  <si>
    <t>monthly salary</t>
  </si>
  <si>
    <t xml:space="preserve">total value of savings </t>
  </si>
  <si>
    <t>single payout - (savings-PKR 11,200)</t>
  </si>
  <si>
    <t>single payout (income required on annual basis of first year*15)</t>
  </si>
  <si>
    <t xml:space="preserve">total income required </t>
  </si>
  <si>
    <t>total sum assured</t>
  </si>
  <si>
    <t>Sum of total life event</t>
  </si>
  <si>
    <t>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</si>
</sst>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PKR]\ #,##0.00"/>
    <numFmt numFmtId="165" formatCode="_([$PKR]\ * #,##0.00_);_([$PKR]\ * \(#,##0.00\);_([$PKR]\ * &quot;-&quot;??_);_(@_)"/>
    <numFmt numFmtId="166" formatCode="0.0"/>
    <numFmt numFmtId="170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6">
    <xf numFmtId="0" fontId="0" fillId="0" borderId="0" xfId="0"/>
    <xf numFmtId="164" fontId="0" fillId="0" borderId="0" xfId="0" applyNumberFormat="1"/>
    <xf numFmtId="164" fontId="0" fillId="0" borderId="0" xfId="2" applyNumberFormat="1" applyFont="1"/>
    <xf numFmtId="165" fontId="0" fillId="0" borderId="0" xfId="0" applyNumberFormat="1"/>
    <xf numFmtId="0" fontId="3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/>
    <xf numFmtId="0" fontId="3" fillId="0" borderId="0" xfId="0" applyFont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0" fillId="0" borderId="3" xfId="0" applyBorder="1"/>
    <xf numFmtId="165" fontId="0" fillId="0" borderId="4" xfId="2" applyNumberFormat="1" applyFont="1" applyBorder="1"/>
    <xf numFmtId="0" fontId="0" fillId="0" borderId="5" xfId="0" applyBorder="1"/>
    <xf numFmtId="165" fontId="0" fillId="0" borderId="6" xfId="0" applyNumberForma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8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164" fontId="0" fillId="0" borderId="0" xfId="0" applyNumberFormat="1" applyBorder="1"/>
    <xf numFmtId="164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9" xfId="0" applyBorder="1"/>
    <xf numFmtId="0" fontId="0" fillId="0" borderId="10" xfId="0" applyBorder="1"/>
    <xf numFmtId="9" fontId="0" fillId="0" borderId="0" xfId="0" applyNumberFormat="1" applyBorder="1"/>
    <xf numFmtId="0" fontId="3" fillId="0" borderId="11" xfId="0" applyFont="1" applyBorder="1"/>
    <xf numFmtId="0" fontId="3" fillId="0" borderId="0" xfId="0" applyFont="1" applyBorder="1"/>
    <xf numFmtId="0" fontId="3" fillId="0" borderId="12" xfId="0" applyFont="1" applyBorder="1"/>
    <xf numFmtId="166" fontId="0" fillId="0" borderId="12" xfId="0" applyNumberFormat="1" applyBorder="1"/>
    <xf numFmtId="166" fontId="0" fillId="0" borderId="15" xfId="0" applyNumberFormat="1" applyBorder="1"/>
    <xf numFmtId="0" fontId="5" fillId="0" borderId="0" xfId="0" applyFont="1"/>
    <xf numFmtId="0" fontId="5" fillId="0" borderId="16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20" xfId="0" applyFont="1" applyBorder="1"/>
    <xf numFmtId="0" fontId="5" fillId="0" borderId="0" xfId="0" applyFont="1" applyAlignment="1">
      <alignment horizontal="left"/>
    </xf>
    <xf numFmtId="3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3" fillId="0" borderId="21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2" xfId="0" applyFont="1" applyBorder="1"/>
    <xf numFmtId="3" fontId="5" fillId="0" borderId="22" xfId="0" applyNumberFormat="1" applyFont="1" applyBorder="1"/>
    <xf numFmtId="0" fontId="5" fillId="0" borderId="23" xfId="0" applyFont="1" applyBorder="1"/>
    <xf numFmtId="3" fontId="5" fillId="0" borderId="23" xfId="0" applyNumberFormat="1" applyFont="1" applyBorder="1"/>
    <xf numFmtId="0" fontId="5" fillId="0" borderId="27" xfId="0" applyFont="1" applyBorder="1"/>
    <xf numFmtId="3" fontId="5" fillId="0" borderId="27" xfId="0" applyNumberFormat="1" applyFont="1" applyBorder="1"/>
    <xf numFmtId="0" fontId="5" fillId="0" borderId="21" xfId="0" applyFont="1" applyBorder="1"/>
    <xf numFmtId="3" fontId="6" fillId="0" borderId="21" xfId="0" applyNumberFormat="1" applyFont="1" applyBorder="1"/>
    <xf numFmtId="0" fontId="5" fillId="0" borderId="20" xfId="0" applyFont="1" applyBorder="1"/>
    <xf numFmtId="0" fontId="5" fillId="0" borderId="24" xfId="0" applyFont="1" applyBorder="1"/>
    <xf numFmtId="0" fontId="5" fillId="0" borderId="25" xfId="0" applyFont="1" applyBorder="1"/>
    <xf numFmtId="0" fontId="5" fillId="0" borderId="26" xfId="0" applyFont="1" applyBorder="1"/>
    <xf numFmtId="0" fontId="5" fillId="0" borderId="21" xfId="0" applyFont="1" applyBorder="1"/>
    <xf numFmtId="0" fontId="0" fillId="0" borderId="28" xfId="0" applyBorder="1"/>
    <xf numFmtId="0" fontId="0" fillId="0" borderId="21" xfId="0" applyBorder="1"/>
    <xf numFmtId="2" fontId="7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3" fontId="5" fillId="0" borderId="21" xfId="0" applyNumberFormat="1" applyFont="1" applyBorder="1"/>
    <xf numFmtId="9" fontId="5" fillId="0" borderId="21" xfId="3" applyFont="1" applyBorder="1"/>
    <xf numFmtId="0" fontId="5" fillId="0" borderId="0" xfId="0" applyFont="1" applyBorder="1" applyAlignment="1">
      <alignment vertical="center" wrapText="1"/>
    </xf>
    <xf numFmtId="170" fontId="5" fillId="0" borderId="21" xfId="3" applyNumberFormat="1" applyFont="1" applyBorder="1"/>
    <xf numFmtId="0" fontId="5" fillId="0" borderId="0" xfId="0" applyFont="1" applyAlignment="1"/>
    <xf numFmtId="0" fontId="5" fillId="0" borderId="0" xfId="0" applyFont="1" applyBorder="1" applyAlignment="1">
      <alignment vertical="center"/>
    </xf>
    <xf numFmtId="164" fontId="0" fillId="0" borderId="15" xfId="0" applyNumberFormat="1" applyBorder="1" applyAlignment="1">
      <alignment horizontal="center"/>
    </xf>
    <xf numFmtId="0" fontId="0" fillId="0" borderId="40" xfId="0" applyBorder="1" applyAlignment="1">
      <alignment horizontal="center" wrapText="1"/>
    </xf>
    <xf numFmtId="164" fontId="0" fillId="0" borderId="39" xfId="0" applyNumberFormat="1" applyBorder="1" applyAlignment="1">
      <alignment horizontal="center"/>
    </xf>
    <xf numFmtId="164" fontId="0" fillId="0" borderId="40" xfId="0" applyNumberFormat="1" applyBorder="1" applyAlignment="1">
      <alignment horizontal="center"/>
    </xf>
    <xf numFmtId="0" fontId="0" fillId="0" borderId="41" xfId="0" applyBorder="1"/>
    <xf numFmtId="0" fontId="3" fillId="0" borderId="43" xfId="0" applyFont="1" applyBorder="1" applyAlignment="1">
      <alignment horizontal="center"/>
    </xf>
    <xf numFmtId="0" fontId="3" fillId="0" borderId="44" xfId="0" applyFont="1" applyBorder="1" applyAlignment="1">
      <alignment horizontal="center"/>
    </xf>
    <xf numFmtId="0" fontId="0" fillId="0" borderId="38" xfId="0" applyBorder="1"/>
    <xf numFmtId="0" fontId="0" fillId="0" borderId="4" xfId="0" applyBorder="1"/>
    <xf numFmtId="0" fontId="3" fillId="0" borderId="45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0" fillId="0" borderId="46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3" fillId="0" borderId="48" xfId="0" applyNumberFormat="1" applyFont="1" applyBorder="1" applyAlignment="1">
      <alignment horizontal="center"/>
    </xf>
    <xf numFmtId="1" fontId="0" fillId="0" borderId="15" xfId="0" applyNumberFormat="1" applyBorder="1"/>
    <xf numFmtId="0" fontId="3" fillId="0" borderId="50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0" fillId="0" borderId="52" xfId="0" applyNumberFormat="1" applyBorder="1" applyAlignment="1">
      <alignment horizontal="center" vertical="center"/>
    </xf>
    <xf numFmtId="164" fontId="0" fillId="0" borderId="53" xfId="0" applyNumberFormat="1" applyBorder="1" applyAlignment="1">
      <alignment horizontal="center" vertical="center"/>
    </xf>
    <xf numFmtId="164" fontId="0" fillId="0" borderId="51" xfId="0" applyNumberFormat="1" applyBorder="1"/>
    <xf numFmtId="0" fontId="0" fillId="0" borderId="54" xfId="0" applyBorder="1"/>
    <xf numFmtId="164" fontId="3" fillId="0" borderId="44" xfId="0" applyNumberFormat="1" applyFont="1" applyBorder="1"/>
    <xf numFmtId="164" fontId="0" fillId="2" borderId="2" xfId="0" applyNumberFormat="1" applyFill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52" xfId="0" applyFont="1" applyBorder="1" applyAlignment="1">
      <alignment horizontal="center"/>
    </xf>
    <xf numFmtId="0" fontId="0" fillId="0" borderId="55" xfId="0" applyBorder="1"/>
    <xf numFmtId="0" fontId="3" fillId="0" borderId="39" xfId="0" applyFont="1" applyBorder="1" applyAlignment="1">
      <alignment horizontal="center"/>
    </xf>
    <xf numFmtId="164" fontId="0" fillId="0" borderId="56" xfId="0" applyNumberFormat="1" applyBorder="1" applyAlignment="1">
      <alignment horizontal="left"/>
    </xf>
    <xf numFmtId="164" fontId="0" fillId="0" borderId="56" xfId="0" applyNumberFormat="1" applyBorder="1"/>
    <xf numFmtId="164" fontId="0" fillId="2" borderId="4" xfId="0" applyNumberFormat="1" applyFill="1" applyBorder="1" applyAlignment="1">
      <alignment horizontal="center"/>
    </xf>
    <xf numFmtId="164" fontId="0" fillId="0" borderId="21" xfId="0" applyNumberFormat="1" applyBorder="1" applyAlignment="1">
      <alignment horizontal="left"/>
    </xf>
    <xf numFmtId="0" fontId="0" fillId="2" borderId="21" xfId="0" applyFill="1" applyBorder="1"/>
    <xf numFmtId="164" fontId="0" fillId="2" borderId="21" xfId="1" applyNumberFormat="1" applyFont="1" applyFill="1" applyBorder="1" applyAlignment="1">
      <alignment horizontal="left"/>
    </xf>
    <xf numFmtId="165" fontId="0" fillId="0" borderId="21" xfId="0" applyNumberFormat="1" applyBorder="1" applyAlignment="1">
      <alignment horizontal="left"/>
    </xf>
    <xf numFmtId="164" fontId="0" fillId="0" borderId="21" xfId="0" applyNumberFormat="1" applyBorder="1" applyAlignment="1">
      <alignment horizontal="right"/>
    </xf>
    <xf numFmtId="164" fontId="0" fillId="0" borderId="21" xfId="2" applyNumberFormat="1" applyFont="1" applyBorder="1"/>
    <xf numFmtId="0" fontId="0" fillId="0" borderId="58" xfId="0" applyBorder="1"/>
    <xf numFmtId="164" fontId="0" fillId="0" borderId="58" xfId="0" applyNumberFormat="1" applyBorder="1" applyAlignment="1">
      <alignment horizontal="left"/>
    </xf>
    <xf numFmtId="0" fontId="3" fillId="0" borderId="58" xfId="0" applyFont="1" applyBorder="1" applyAlignment="1">
      <alignment horizontal="left"/>
    </xf>
    <xf numFmtId="0" fontId="3" fillId="0" borderId="58" xfId="0" applyFont="1" applyBorder="1" applyAlignment="1">
      <alignment horizontal="center"/>
    </xf>
    <xf numFmtId="0" fontId="3" fillId="0" borderId="59" xfId="0" applyFont="1" applyBorder="1"/>
    <xf numFmtId="0" fontId="3" fillId="0" borderId="60" xfId="0" applyFont="1" applyBorder="1"/>
    <xf numFmtId="165" fontId="0" fillId="0" borderId="61" xfId="0" applyNumberFormat="1" applyBorder="1"/>
    <xf numFmtId="0" fontId="3" fillId="0" borderId="62" xfId="0" applyFont="1" applyBorder="1"/>
    <xf numFmtId="0" fontId="0" fillId="0" borderId="63" xfId="0" applyBorder="1"/>
    <xf numFmtId="164" fontId="0" fillId="0" borderId="63" xfId="0" applyNumberFormat="1" applyBorder="1" applyAlignment="1">
      <alignment horizontal="left"/>
    </xf>
    <xf numFmtId="165" fontId="0" fillId="0" borderId="63" xfId="0" applyNumberFormat="1" applyBorder="1" applyAlignment="1">
      <alignment horizontal="left"/>
    </xf>
    <xf numFmtId="164" fontId="0" fillId="0" borderId="63" xfId="0" applyNumberFormat="1" applyBorder="1" applyAlignment="1">
      <alignment horizontal="right"/>
    </xf>
    <xf numFmtId="164" fontId="0" fillId="0" borderId="63" xfId="2" applyNumberFormat="1" applyFont="1" applyBorder="1"/>
    <xf numFmtId="164" fontId="3" fillId="0" borderId="43" xfId="0" applyNumberFormat="1" applyFont="1" applyBorder="1" applyAlignment="1">
      <alignment horizontal="left"/>
    </xf>
    <xf numFmtId="165" fontId="0" fillId="0" borderId="64" xfId="0" applyNumberFormat="1" applyBorder="1"/>
    <xf numFmtId="164" fontId="0" fillId="0" borderId="0" xfId="2" applyNumberFormat="1" applyFont="1" applyBorder="1"/>
    <xf numFmtId="165" fontId="0" fillId="0" borderId="33" xfId="0" applyNumberFormat="1" applyBorder="1"/>
    <xf numFmtId="165" fontId="0" fillId="0" borderId="34" xfId="0" applyNumberFormat="1" applyBorder="1"/>
    <xf numFmtId="165" fontId="0" fillId="0" borderId="65" xfId="0" applyNumberFormat="1" applyBorder="1"/>
    <xf numFmtId="164" fontId="3" fillId="0" borderId="49" xfId="2" applyNumberFormat="1" applyFont="1" applyBorder="1"/>
    <xf numFmtId="164" fontId="3" fillId="0" borderId="38" xfId="0" applyNumberFormat="1" applyFont="1" applyBorder="1"/>
    <xf numFmtId="164" fontId="3" fillId="0" borderId="66" xfId="0" applyNumberFormat="1" applyFont="1" applyBorder="1"/>
    <xf numFmtId="164" fontId="3" fillId="0" borderId="35" xfId="0" applyNumberFormat="1" applyFont="1" applyBorder="1"/>
    <xf numFmtId="0" fontId="3" fillId="0" borderId="42" xfId="0" applyFont="1" applyBorder="1"/>
    <xf numFmtId="0" fontId="4" fillId="0" borderId="67" xfId="0" applyFont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4" xfId="0" applyBorder="1" applyAlignment="1">
      <alignment horizontal="center" wrapText="1"/>
    </xf>
    <xf numFmtId="0" fontId="7" fillId="0" borderId="69" xfId="0" applyFont="1" applyBorder="1" applyAlignment="1">
      <alignment horizontal="center"/>
    </xf>
    <xf numFmtId="0" fontId="7" fillId="0" borderId="70" xfId="0" applyFont="1" applyBorder="1" applyAlignment="1">
      <alignment horizontal="center"/>
    </xf>
    <xf numFmtId="0" fontId="7" fillId="0" borderId="73" xfId="0" applyFont="1" applyBorder="1" applyAlignment="1">
      <alignment horizontal="center"/>
    </xf>
    <xf numFmtId="0" fontId="7" fillId="0" borderId="72" xfId="0" applyFont="1" applyBorder="1" applyAlignment="1">
      <alignment horizontal="center"/>
    </xf>
    <xf numFmtId="0" fontId="7" fillId="0" borderId="74" xfId="0" applyFont="1" applyBorder="1" applyAlignment="1">
      <alignment horizontal="center"/>
    </xf>
    <xf numFmtId="2" fontId="7" fillId="0" borderId="75" xfId="0" applyNumberFormat="1" applyFont="1" applyBorder="1" applyAlignment="1">
      <alignment horizontal="center"/>
    </xf>
    <xf numFmtId="0" fontId="7" fillId="0" borderId="76" xfId="0" applyFont="1" applyBorder="1" applyAlignment="1">
      <alignment horizontal="center"/>
    </xf>
    <xf numFmtId="0" fontId="7" fillId="0" borderId="77" xfId="0" applyFont="1" applyBorder="1" applyAlignment="1">
      <alignment horizontal="center"/>
    </xf>
    <xf numFmtId="0" fontId="7" fillId="0" borderId="78" xfId="0" applyFont="1" applyBorder="1" applyAlignment="1">
      <alignment horizontal="center"/>
    </xf>
    <xf numFmtId="0" fontId="8" fillId="0" borderId="7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57" xfId="0" applyFont="1" applyBorder="1"/>
  </cellXfs>
  <cellStyles count="4">
    <cellStyle name="Comma" xfId="1" builtinId="3"/>
    <cellStyle name="Currency" xfId="2" builtinId="4"/>
    <cellStyle name="Normal" xfId="0" builtinId="0"/>
    <cellStyle name="Percent 2" xfId="3" xr:uid="{1AF4371D-09EF-4072-8FD3-1E276B89CF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2A76-2767-4DCA-BE8E-55E6E5D4C0ED}">
  <dimension ref="A1:Z67"/>
  <sheetViews>
    <sheetView topLeftCell="I1" zoomScale="80" zoomScaleNormal="80" workbookViewId="0">
      <selection activeCell="G31" sqref="G31"/>
    </sheetView>
  </sheetViews>
  <sheetFormatPr defaultRowHeight="15" x14ac:dyDescent="0.25"/>
  <cols>
    <col min="1" max="1" width="9.140625" customWidth="1"/>
    <col min="2" max="2" width="15.5703125" bestFit="1" customWidth="1"/>
    <col min="3" max="3" width="15.7109375" bestFit="1" customWidth="1"/>
    <col min="4" max="4" width="16.5703125" bestFit="1" customWidth="1"/>
    <col min="5" max="5" width="28.5703125" bestFit="1" customWidth="1"/>
    <col min="6" max="6" width="18" bestFit="1" customWidth="1"/>
    <col min="7" max="7" width="28.5703125" bestFit="1" customWidth="1"/>
    <col min="8" max="8" width="23.140625" bestFit="1" customWidth="1"/>
    <col min="9" max="9" width="16.7109375" bestFit="1" customWidth="1"/>
    <col min="10" max="10" width="26" customWidth="1"/>
    <col min="11" max="11" width="26.7109375" bestFit="1" customWidth="1"/>
    <col min="12" max="12" width="24.7109375" customWidth="1"/>
    <col min="13" max="13" width="22.5703125" bestFit="1" customWidth="1"/>
    <col min="14" max="14" width="17.85546875" bestFit="1" customWidth="1"/>
    <col min="15" max="15" width="15.7109375" bestFit="1" customWidth="1"/>
    <col min="18" max="18" width="7.28515625" customWidth="1"/>
    <col min="19" max="19" width="27.7109375" customWidth="1"/>
    <col min="20" max="20" width="29.28515625" customWidth="1"/>
    <col min="21" max="21" width="20.5703125" customWidth="1"/>
    <col min="22" max="22" width="25" bestFit="1" customWidth="1"/>
    <col min="23" max="23" width="18.28515625" bestFit="1" customWidth="1"/>
  </cols>
  <sheetData>
    <row r="1" spans="1:22" x14ac:dyDescent="0.25">
      <c r="B1" s="107" t="s">
        <v>0</v>
      </c>
      <c r="C1" s="109" t="s">
        <v>1</v>
      </c>
      <c r="D1" s="109" t="s">
        <v>2</v>
      </c>
      <c r="E1" s="109" t="s">
        <v>3</v>
      </c>
      <c r="F1" s="105" t="s">
        <v>41</v>
      </c>
      <c r="G1" s="109" t="s">
        <v>40</v>
      </c>
      <c r="H1" s="9"/>
    </row>
    <row r="2" spans="1:22" x14ac:dyDescent="0.25">
      <c r="B2" s="108">
        <v>1</v>
      </c>
      <c r="C2" s="110">
        <f t="shared" ref="C2:C9" si="0">C3/(1.1)</f>
        <v>74217.083215184815</v>
      </c>
      <c r="D2" s="110">
        <f>C2*12</f>
        <v>890604.99858221784</v>
      </c>
      <c r="E2" s="110">
        <f>D2*0.05</f>
        <v>44530.249929110898</v>
      </c>
      <c r="F2" s="106" t="s">
        <v>42</v>
      </c>
      <c r="G2" s="111">
        <f>E2*1.22^9</f>
        <v>266620.54308937717</v>
      </c>
      <c r="H2" s="5"/>
      <c r="I2" s="6"/>
    </row>
    <row r="3" spans="1:22" x14ac:dyDescent="0.25">
      <c r="B3" s="108">
        <v>2</v>
      </c>
      <c r="C3" s="110">
        <f t="shared" si="0"/>
        <v>81638.791536703298</v>
      </c>
      <c r="D3" s="110">
        <f t="shared" ref="D3:D26" si="1">C3*12</f>
        <v>979665.49844043958</v>
      </c>
      <c r="E3" s="110">
        <f t="shared" ref="E3:E6" si="2">D3*0.05</f>
        <v>48983.274922021985</v>
      </c>
      <c r="F3" s="106"/>
      <c r="G3" s="111">
        <f>E3*1.22^8</f>
        <v>240395.571637963</v>
      </c>
      <c r="H3" s="5"/>
      <c r="I3" s="6"/>
    </row>
    <row r="4" spans="1:22" x14ac:dyDescent="0.25">
      <c r="B4" s="108">
        <v>3</v>
      </c>
      <c r="C4" s="110">
        <f t="shared" si="0"/>
        <v>89802.670690373634</v>
      </c>
      <c r="D4" s="110">
        <f t="shared" si="1"/>
        <v>1077632.0482844836</v>
      </c>
      <c r="E4" s="110">
        <f t="shared" si="2"/>
        <v>53881.60241422418</v>
      </c>
      <c r="F4" s="106"/>
      <c r="G4" s="111">
        <f>E4*1.22^7</f>
        <v>216750.10557521257</v>
      </c>
      <c r="H4" s="5"/>
      <c r="I4" s="6"/>
    </row>
    <row r="5" spans="1:22" x14ac:dyDescent="0.25">
      <c r="B5" s="108">
        <v>4</v>
      </c>
      <c r="C5" s="110">
        <f t="shared" si="0"/>
        <v>98782.937759410997</v>
      </c>
      <c r="D5" s="110">
        <f t="shared" si="1"/>
        <v>1185395.253112932</v>
      </c>
      <c r="E5" s="110">
        <f t="shared" si="2"/>
        <v>59269.762655646598</v>
      </c>
      <c r="F5" s="106"/>
      <c r="G5" s="111">
        <f>E5*1.22^6</f>
        <v>195430.4230596179</v>
      </c>
      <c r="H5" s="5"/>
      <c r="I5" s="6"/>
    </row>
    <row r="6" spans="1:22" x14ac:dyDescent="0.25">
      <c r="B6" s="108">
        <v>5</v>
      </c>
      <c r="C6" s="110">
        <f t="shared" si="0"/>
        <v>108661.23153535211</v>
      </c>
      <c r="D6" s="110">
        <f t="shared" si="1"/>
        <v>1303934.7784242253</v>
      </c>
      <c r="E6" s="110">
        <f t="shared" si="2"/>
        <v>65196.738921211268</v>
      </c>
      <c r="F6" s="106"/>
      <c r="G6" s="111">
        <f>E6*1.22^5</f>
        <v>176207.75849637683</v>
      </c>
      <c r="H6" s="5"/>
      <c r="I6" s="6"/>
    </row>
    <row r="7" spans="1:22" x14ac:dyDescent="0.25">
      <c r="B7" s="108">
        <v>6</v>
      </c>
      <c r="C7" s="110">
        <f t="shared" si="0"/>
        <v>119527.35468888734</v>
      </c>
      <c r="D7" s="110">
        <f t="shared" si="1"/>
        <v>1434328.2562666479</v>
      </c>
      <c r="E7" s="110">
        <f>D7*0.1</f>
        <v>143432.82562666479</v>
      </c>
      <c r="F7" s="106" t="s">
        <v>43</v>
      </c>
      <c r="G7" s="111">
        <f>E7*1.22^4</f>
        <v>317751.69564920414</v>
      </c>
      <c r="H7" s="5"/>
      <c r="I7" s="6"/>
    </row>
    <row r="8" spans="1:22" ht="15.75" thickBot="1" x14ac:dyDescent="0.3">
      <c r="B8" s="108">
        <v>7</v>
      </c>
      <c r="C8" s="110">
        <f t="shared" si="0"/>
        <v>131480.09015777608</v>
      </c>
      <c r="D8" s="110">
        <f t="shared" si="1"/>
        <v>1577761.081893313</v>
      </c>
      <c r="E8" s="110">
        <f t="shared" ref="E8:E10" si="3">D8*0.1</f>
        <v>157776.10818933131</v>
      </c>
      <c r="F8" s="106"/>
      <c r="G8" s="111">
        <f>E8*1.22^3</f>
        <v>286497.43050338089</v>
      </c>
      <c r="H8" s="5"/>
      <c r="I8" s="6"/>
    </row>
    <row r="9" spans="1:22" ht="15.75" thickBot="1" x14ac:dyDescent="0.3">
      <c r="B9" s="108">
        <v>8</v>
      </c>
      <c r="C9" s="110">
        <f t="shared" si="0"/>
        <v>144628.0991735537</v>
      </c>
      <c r="D9" s="110">
        <f t="shared" si="1"/>
        <v>1735537.1900826443</v>
      </c>
      <c r="E9" s="110">
        <f t="shared" si="3"/>
        <v>173553.71900826445</v>
      </c>
      <c r="F9" s="106"/>
      <c r="G9" s="111">
        <f>E9*1.22^2</f>
        <v>258317.35537190081</v>
      </c>
      <c r="H9" s="104" t="s">
        <v>94</v>
      </c>
      <c r="I9" s="6"/>
    </row>
    <row r="10" spans="1:22" ht="16.5" thickTop="1" thickBot="1" x14ac:dyDescent="0.3">
      <c r="B10" s="108">
        <v>9</v>
      </c>
      <c r="C10" s="110">
        <f>C12/(1.1)</f>
        <v>159090.90909090909</v>
      </c>
      <c r="D10" s="110">
        <f t="shared" si="1"/>
        <v>1909090.9090909092</v>
      </c>
      <c r="E10" s="110">
        <f t="shared" si="3"/>
        <v>190909.09090909094</v>
      </c>
      <c r="F10" s="106"/>
      <c r="G10" s="111">
        <f>E10*1.22^1</f>
        <v>232909.09090909094</v>
      </c>
      <c r="H10" s="112">
        <f>SUM(G2:G10)</f>
        <v>2190879.9742921242</v>
      </c>
      <c r="S10" s="90" t="s">
        <v>31</v>
      </c>
      <c r="T10" s="143" t="s">
        <v>5</v>
      </c>
      <c r="U10" s="144"/>
      <c r="V10" s="142" t="s">
        <v>39</v>
      </c>
    </row>
    <row r="11" spans="1:22" x14ac:dyDescent="0.25">
      <c r="A11" s="165" t="s">
        <v>31</v>
      </c>
      <c r="B11" s="119" t="s">
        <v>0</v>
      </c>
      <c r="C11" s="120" t="s">
        <v>93</v>
      </c>
      <c r="D11" s="120" t="s">
        <v>92</v>
      </c>
      <c r="E11" s="121" t="s">
        <v>6</v>
      </c>
      <c r="F11" s="121" t="s">
        <v>7</v>
      </c>
      <c r="G11" s="121" t="s">
        <v>38</v>
      </c>
      <c r="H11" s="121" t="s">
        <v>37</v>
      </c>
      <c r="I11" s="122" t="s">
        <v>8</v>
      </c>
      <c r="J11" s="122" t="s">
        <v>9</v>
      </c>
      <c r="K11" s="123" t="s">
        <v>10</v>
      </c>
      <c r="L11" s="4"/>
      <c r="S11" s="85"/>
      <c r="T11" s="21"/>
      <c r="U11" s="145"/>
      <c r="V11" s="102"/>
    </row>
    <row r="12" spans="1:22" x14ac:dyDescent="0.25">
      <c r="A12" s="124">
        <v>1</v>
      </c>
      <c r="B12" s="114">
        <v>10</v>
      </c>
      <c r="C12" s="115">
        <v>175000</v>
      </c>
      <c r="D12" s="113">
        <f t="shared" si="1"/>
        <v>2100000</v>
      </c>
      <c r="E12" s="116">
        <f>140000*12</f>
        <v>1680000</v>
      </c>
      <c r="F12" s="116">
        <f>D12-E12</f>
        <v>420000</v>
      </c>
      <c r="G12" s="116">
        <v>60000</v>
      </c>
      <c r="H12" s="117">
        <v>0</v>
      </c>
      <c r="I12" s="118">
        <f>H12+G12</f>
        <v>60000</v>
      </c>
      <c r="J12" s="118">
        <f>F12-I12</f>
        <v>360000</v>
      </c>
      <c r="K12" s="125">
        <f>I12/(1.22)^A12</f>
        <v>49180.327868852459</v>
      </c>
      <c r="L12" s="1"/>
      <c r="O12" s="1"/>
      <c r="S12" s="92">
        <v>1</v>
      </c>
      <c r="T12" s="93">
        <f>'Expenses Person A'!$E$12*12+I12</f>
        <v>1606000</v>
      </c>
      <c r="U12" s="146"/>
      <c r="V12" s="23">
        <f>T12/(1.22)^S12</f>
        <v>1316393.4426229508</v>
      </c>
    </row>
    <row r="13" spans="1:22" x14ac:dyDescent="0.25">
      <c r="A13" s="124">
        <v>2</v>
      </c>
      <c r="B13" s="66">
        <v>11</v>
      </c>
      <c r="C13" s="113">
        <f>C12*(1.1)</f>
        <v>192500.00000000003</v>
      </c>
      <c r="D13" s="113">
        <f t="shared" si="1"/>
        <v>2310000.0000000005</v>
      </c>
      <c r="E13" s="116">
        <f>E12*1.09</f>
        <v>1831200.0000000002</v>
      </c>
      <c r="F13" s="116">
        <f>D13-E13</f>
        <v>478800.00000000023</v>
      </c>
      <c r="G13" s="116">
        <v>130000</v>
      </c>
      <c r="H13" s="117">
        <v>0</v>
      </c>
      <c r="I13" s="118">
        <f t="shared" ref="I13:I26" si="4">H13+G13</f>
        <v>130000</v>
      </c>
      <c r="J13" s="118">
        <f>F13-I13</f>
        <v>348800.00000000023</v>
      </c>
      <c r="K13" s="125">
        <f t="shared" ref="K13:K26" si="5">I13/(1.22)^A13</f>
        <v>87342.112335393715</v>
      </c>
      <c r="L13" s="1"/>
      <c r="N13" s="20"/>
      <c r="O13" s="22"/>
      <c r="S13" s="92">
        <v>2</v>
      </c>
      <c r="T13" s="93">
        <f>'Expenses Person A'!$E$12*12+I13</f>
        <v>1676000</v>
      </c>
      <c r="U13" s="146"/>
      <c r="V13" s="23">
        <f>T13/(1.22)^S13</f>
        <v>1126041.3867239989</v>
      </c>
    </row>
    <row r="14" spans="1:22" x14ac:dyDescent="0.25">
      <c r="A14" s="124">
        <v>3</v>
      </c>
      <c r="B14" s="66">
        <v>12</v>
      </c>
      <c r="C14" s="113">
        <f t="shared" ref="C14:C26" si="6">C13*(1.1)</f>
        <v>211750.00000000006</v>
      </c>
      <c r="D14" s="113">
        <f t="shared" si="1"/>
        <v>2541000.0000000009</v>
      </c>
      <c r="E14" s="116">
        <f t="shared" ref="E14:E26" si="7">E13*1.09</f>
        <v>1996008.0000000005</v>
      </c>
      <c r="F14" s="116">
        <f>D14-E14</f>
        <v>544992.00000000047</v>
      </c>
      <c r="G14" s="116">
        <v>150000</v>
      </c>
      <c r="H14" s="117">
        <v>0</v>
      </c>
      <c r="I14" s="118">
        <f t="shared" si="4"/>
        <v>150000</v>
      </c>
      <c r="J14" s="118">
        <f>F14-I14</f>
        <v>394992.00000000047</v>
      </c>
      <c r="K14" s="125">
        <f t="shared" si="5"/>
        <v>82606.033104092421</v>
      </c>
      <c r="L14" s="1"/>
      <c r="O14" s="1"/>
      <c r="S14" s="92">
        <v>3</v>
      </c>
      <c r="T14" s="93">
        <f>'Expenses Person A'!$E$12*12+I14</f>
        <v>1696000</v>
      </c>
      <c r="U14" s="146"/>
      <c r="V14" s="23">
        <f>T14/(1.22)^S14</f>
        <v>933998.8809636049</v>
      </c>
    </row>
    <row r="15" spans="1:22" x14ac:dyDescent="0.25">
      <c r="A15" s="124">
        <v>4</v>
      </c>
      <c r="B15" s="66">
        <v>13</v>
      </c>
      <c r="C15" s="113">
        <f t="shared" si="6"/>
        <v>232925.00000000009</v>
      </c>
      <c r="D15" s="113">
        <f t="shared" si="1"/>
        <v>2795100.0000000009</v>
      </c>
      <c r="E15" s="116">
        <f t="shared" si="7"/>
        <v>2175648.7200000007</v>
      </c>
      <c r="F15" s="116">
        <f t="shared" ref="F13:F26" si="8">D15-E15</f>
        <v>619451.28000000026</v>
      </c>
      <c r="G15" s="116">
        <v>75000</v>
      </c>
      <c r="H15" s="117">
        <v>0</v>
      </c>
      <c r="I15" s="118">
        <f t="shared" si="4"/>
        <v>75000</v>
      </c>
      <c r="J15" s="118">
        <f>F15-I15</f>
        <v>544451.28000000026</v>
      </c>
      <c r="K15" s="125">
        <f t="shared" si="5"/>
        <v>33854.931600037882</v>
      </c>
      <c r="L15" s="1"/>
      <c r="O15" s="1"/>
      <c r="S15" s="92">
        <v>4</v>
      </c>
      <c r="T15" s="93">
        <f>'Expenses Person A'!$E$12*12+I15</f>
        <v>1621000</v>
      </c>
      <c r="U15" s="146"/>
      <c r="V15" s="23">
        <f>T15/(1.22)^S15</f>
        <v>731717.92164881877</v>
      </c>
    </row>
    <row r="16" spans="1:22" x14ac:dyDescent="0.25">
      <c r="A16" s="124">
        <v>5</v>
      </c>
      <c r="B16" s="66">
        <v>14</v>
      </c>
      <c r="C16" s="113">
        <f t="shared" si="6"/>
        <v>256217.50000000012</v>
      </c>
      <c r="D16" s="113">
        <f t="shared" si="1"/>
        <v>3074610.0000000014</v>
      </c>
      <c r="E16" s="116">
        <f t="shared" si="7"/>
        <v>2371457.1048000008</v>
      </c>
      <c r="F16" s="116">
        <f t="shared" si="8"/>
        <v>703152.89520000061</v>
      </c>
      <c r="G16" s="116">
        <v>0</v>
      </c>
      <c r="H16" s="117">
        <f>15000*12</f>
        <v>180000</v>
      </c>
      <c r="I16" s="118">
        <f t="shared" si="4"/>
        <v>180000</v>
      </c>
      <c r="J16" s="118">
        <f>F16-I16</f>
        <v>523152.89520000061</v>
      </c>
      <c r="K16" s="125">
        <f t="shared" si="5"/>
        <v>66599.865442697468</v>
      </c>
      <c r="L16" s="1"/>
      <c r="O16" s="1"/>
      <c r="S16" s="92">
        <v>5</v>
      </c>
      <c r="T16" s="93">
        <f>'Expenses Person A'!$E$12*12+I16</f>
        <v>1726000</v>
      </c>
      <c r="U16" s="146"/>
      <c r="V16" s="23">
        <f>T16/(1.22)^S16</f>
        <v>638618.70974497683</v>
      </c>
    </row>
    <row r="17" spans="1:26" x14ac:dyDescent="0.25">
      <c r="A17" s="124">
        <v>6</v>
      </c>
      <c r="B17" s="66">
        <v>15</v>
      </c>
      <c r="C17" s="113">
        <f t="shared" si="6"/>
        <v>281839.25000000017</v>
      </c>
      <c r="D17" s="113">
        <f t="shared" si="1"/>
        <v>3382071.0000000019</v>
      </c>
      <c r="E17" s="116">
        <f t="shared" si="7"/>
        <v>2584888.2442320012</v>
      </c>
      <c r="F17" s="116">
        <f t="shared" si="8"/>
        <v>797182.75576800061</v>
      </c>
      <c r="G17" s="116">
        <v>0</v>
      </c>
      <c r="H17" s="117">
        <f>H16*1.05</f>
        <v>189000</v>
      </c>
      <c r="I17" s="118">
        <f t="shared" si="4"/>
        <v>189000</v>
      </c>
      <c r="J17" s="118">
        <f>F17-I17</f>
        <v>608182.75576800061</v>
      </c>
      <c r="K17" s="125">
        <f t="shared" si="5"/>
        <v>57319.556323633071</v>
      </c>
      <c r="L17" s="1"/>
      <c r="O17" s="1"/>
      <c r="S17" s="92">
        <v>6</v>
      </c>
      <c r="T17" s="93">
        <f>'Expenses Person A'!$E$12*12+I17</f>
        <v>1735000</v>
      </c>
      <c r="U17" s="146"/>
      <c r="V17" s="23">
        <f>T17/(1.22)^S17</f>
        <v>526187.46148943587</v>
      </c>
    </row>
    <row r="18" spans="1:26" x14ac:dyDescent="0.25">
      <c r="A18" s="124">
        <v>7</v>
      </c>
      <c r="B18" s="66">
        <v>16</v>
      </c>
      <c r="C18" s="113">
        <f t="shared" si="6"/>
        <v>310023.17500000022</v>
      </c>
      <c r="D18" s="113">
        <f t="shared" si="1"/>
        <v>3720278.1000000024</v>
      </c>
      <c r="E18" s="116">
        <f t="shared" si="7"/>
        <v>2817528.1862128815</v>
      </c>
      <c r="F18" s="116">
        <f t="shared" si="8"/>
        <v>902749.91378712095</v>
      </c>
      <c r="G18" s="116">
        <v>0</v>
      </c>
      <c r="H18" s="117">
        <f t="shared" ref="H18:I26" si="9">H17*1.05</f>
        <v>198450</v>
      </c>
      <c r="I18" s="118">
        <f t="shared" si="4"/>
        <v>198450</v>
      </c>
      <c r="J18" s="118">
        <f>F18-I18</f>
        <v>704299.91378712095</v>
      </c>
      <c r="K18" s="125">
        <f t="shared" si="5"/>
        <v>49332.405032635019</v>
      </c>
      <c r="L18" s="1"/>
      <c r="O18" s="1"/>
      <c r="S18" s="92">
        <v>7</v>
      </c>
      <c r="T18" s="93">
        <f>'Expenses Person A'!$E$12*12+I18</f>
        <v>1744450</v>
      </c>
      <c r="U18" s="146"/>
      <c r="V18" s="23">
        <f>T18/(1.22)^S18</f>
        <v>433650.36008657172</v>
      </c>
      <c r="X18" s="20"/>
      <c r="Y18" s="20"/>
    </row>
    <row r="19" spans="1:26" x14ac:dyDescent="0.25">
      <c r="A19" s="124">
        <v>8</v>
      </c>
      <c r="B19" s="66">
        <v>17</v>
      </c>
      <c r="C19" s="113">
        <f t="shared" si="6"/>
        <v>341025.49250000028</v>
      </c>
      <c r="D19" s="113">
        <f t="shared" si="1"/>
        <v>4092305.9100000034</v>
      </c>
      <c r="E19" s="116">
        <f t="shared" si="7"/>
        <v>3071105.722972041</v>
      </c>
      <c r="F19" s="116">
        <f t="shared" si="8"/>
        <v>1021200.1870279624</v>
      </c>
      <c r="G19" s="116">
        <v>0</v>
      </c>
      <c r="H19" s="117">
        <f t="shared" si="9"/>
        <v>208372.5</v>
      </c>
      <c r="I19" s="118">
        <f t="shared" si="4"/>
        <v>208372.5</v>
      </c>
      <c r="J19" s="118">
        <f>F19-I19</f>
        <v>812827.68702796241</v>
      </c>
      <c r="K19" s="125">
        <f t="shared" si="5"/>
        <v>42458.21744612031</v>
      </c>
      <c r="L19" s="1"/>
      <c r="O19" s="1"/>
      <c r="S19" s="92">
        <v>8</v>
      </c>
      <c r="T19" s="93">
        <f>'Expenses Person A'!$E$12*12+I19</f>
        <v>1754372.5</v>
      </c>
      <c r="U19" s="146"/>
      <c r="V19" s="23">
        <f>T19/(1.22)^S19</f>
        <v>357472.93470344553</v>
      </c>
      <c r="X19" s="20"/>
      <c r="Y19" s="20"/>
      <c r="Z19" s="20"/>
    </row>
    <row r="20" spans="1:26" x14ac:dyDescent="0.25">
      <c r="A20" s="124">
        <v>9</v>
      </c>
      <c r="B20" s="66">
        <v>18</v>
      </c>
      <c r="C20" s="113">
        <f t="shared" si="6"/>
        <v>375128.04175000032</v>
      </c>
      <c r="D20" s="113">
        <f t="shared" si="1"/>
        <v>4501536.5010000039</v>
      </c>
      <c r="E20" s="116">
        <f t="shared" si="7"/>
        <v>3347505.2380395248</v>
      </c>
      <c r="F20" s="116">
        <f t="shared" si="8"/>
        <v>1154031.2629604791</v>
      </c>
      <c r="G20" s="116">
        <v>0</v>
      </c>
      <c r="H20" s="117">
        <f t="shared" si="9"/>
        <v>218791.125</v>
      </c>
      <c r="I20" s="118">
        <f t="shared" si="4"/>
        <v>218791.125</v>
      </c>
      <c r="J20" s="118">
        <f>F20-I20</f>
        <v>935240.13796047913</v>
      </c>
      <c r="K20" s="125">
        <f t="shared" si="5"/>
        <v>36541.908457726495</v>
      </c>
      <c r="L20" s="1"/>
      <c r="O20" s="1"/>
      <c r="S20" s="92">
        <v>9</v>
      </c>
      <c r="T20" s="93">
        <f>'Expenses Person A'!$E$12*12+I20</f>
        <v>1764791.125</v>
      </c>
      <c r="U20" s="146"/>
      <c r="V20" s="23">
        <f>T20/(1.22)^S20</f>
        <v>294750.69309487828</v>
      </c>
      <c r="X20" s="20"/>
      <c r="Y20" s="20"/>
      <c r="Z20" s="20"/>
    </row>
    <row r="21" spans="1:26" x14ac:dyDescent="0.25">
      <c r="A21" s="124">
        <v>10</v>
      </c>
      <c r="B21" s="66">
        <v>19</v>
      </c>
      <c r="C21" s="113">
        <f t="shared" si="6"/>
        <v>412640.84592500038</v>
      </c>
      <c r="D21" s="113">
        <f t="shared" si="1"/>
        <v>4951690.1511000041</v>
      </c>
      <c r="E21" s="116">
        <f t="shared" si="7"/>
        <v>3648780.7094630823</v>
      </c>
      <c r="F21" s="116">
        <f t="shared" si="8"/>
        <v>1302909.4416369218</v>
      </c>
      <c r="G21" s="116">
        <v>0</v>
      </c>
      <c r="H21" s="117">
        <f t="shared" si="9"/>
        <v>229730.68125000002</v>
      </c>
      <c r="I21" s="118">
        <f t="shared" si="4"/>
        <v>229730.68125000002</v>
      </c>
      <c r="J21" s="118">
        <f>F21-I21</f>
        <v>1073178.7603869219</v>
      </c>
      <c r="K21" s="125">
        <f t="shared" si="5"/>
        <v>31450.003180830186</v>
      </c>
      <c r="L21" s="1"/>
      <c r="O21" s="1"/>
      <c r="S21" s="92">
        <v>10</v>
      </c>
      <c r="T21" s="93">
        <f>'Expenses Person A'!$E$12*12+I21</f>
        <v>1775730.6812499999</v>
      </c>
      <c r="U21" s="146"/>
      <c r="V21" s="23">
        <f>T21/(1.22)^S21</f>
        <v>243096.54796538086</v>
      </c>
    </row>
    <row r="22" spans="1:26" x14ac:dyDescent="0.25">
      <c r="A22" s="124">
        <v>11</v>
      </c>
      <c r="B22" s="66">
        <v>20</v>
      </c>
      <c r="C22" s="113">
        <f t="shared" si="6"/>
        <v>453904.93051750044</v>
      </c>
      <c r="D22" s="113">
        <f t="shared" si="1"/>
        <v>5446859.1662100051</v>
      </c>
      <c r="E22" s="116">
        <f t="shared" si="7"/>
        <v>3977170.9733147598</v>
      </c>
      <c r="F22" s="116">
        <f t="shared" si="8"/>
        <v>1469688.1928952453</v>
      </c>
      <c r="G22" s="116">
        <v>0</v>
      </c>
      <c r="H22" s="117">
        <f t="shared" si="9"/>
        <v>241217.21531250005</v>
      </c>
      <c r="I22" s="118">
        <f t="shared" si="4"/>
        <v>241217.21531250005</v>
      </c>
      <c r="J22" s="118">
        <f>F22-I22</f>
        <v>1228470.9775827453</v>
      </c>
      <c r="K22" s="125">
        <f t="shared" si="5"/>
        <v>27067.625688419426</v>
      </c>
      <c r="L22" s="1"/>
      <c r="O22" s="1"/>
      <c r="S22" s="92">
        <v>11</v>
      </c>
      <c r="T22" s="93">
        <f>'Expenses Person A'!$E$12*12+I22</f>
        <v>1787217.2153125</v>
      </c>
      <c r="U22" s="146"/>
      <c r="V22" s="23">
        <f>T22/(1.22)^S22</f>
        <v>200548.40010198558</v>
      </c>
    </row>
    <row r="23" spans="1:26" x14ac:dyDescent="0.25">
      <c r="A23" s="124">
        <v>12</v>
      </c>
      <c r="B23" s="66">
        <v>21</v>
      </c>
      <c r="C23" s="113">
        <f t="shared" si="6"/>
        <v>499295.4235692505</v>
      </c>
      <c r="D23" s="113">
        <f t="shared" si="1"/>
        <v>5991545.0828310065</v>
      </c>
      <c r="E23" s="116">
        <f t="shared" si="7"/>
        <v>4335116.3609130885</v>
      </c>
      <c r="F23" s="116">
        <f t="shared" si="8"/>
        <v>1656428.721917918</v>
      </c>
      <c r="G23" s="116">
        <v>0</v>
      </c>
      <c r="H23" s="117">
        <f t="shared" si="9"/>
        <v>253278.07607812507</v>
      </c>
      <c r="I23" s="118">
        <f t="shared" si="4"/>
        <v>253278.07607812507</v>
      </c>
      <c r="J23" s="118">
        <f>F23-I23</f>
        <v>1403150.6458397929</v>
      </c>
      <c r="K23" s="125">
        <f t="shared" si="5"/>
        <v>23295.907354787214</v>
      </c>
      <c r="L23" s="1"/>
      <c r="O23" s="1"/>
      <c r="S23" s="92">
        <v>12</v>
      </c>
      <c r="T23" s="93">
        <f>'Expenses Person A'!$E$12*12+I23</f>
        <v>1799278.076078125</v>
      </c>
      <c r="U23" s="146"/>
      <c r="V23" s="23">
        <f>T23/(1.22)^S23</f>
        <v>165493.26343148077</v>
      </c>
      <c r="W23" s="19"/>
    </row>
    <row r="24" spans="1:26" x14ac:dyDescent="0.25">
      <c r="A24" s="124">
        <v>13</v>
      </c>
      <c r="B24" s="66">
        <v>22</v>
      </c>
      <c r="C24" s="113">
        <f t="shared" si="6"/>
        <v>549224.96592617559</v>
      </c>
      <c r="D24" s="113">
        <f t="shared" si="1"/>
        <v>6590699.5911141075</v>
      </c>
      <c r="E24" s="116">
        <f t="shared" si="7"/>
        <v>4725276.8333952669</v>
      </c>
      <c r="F24" s="116">
        <f t="shared" si="8"/>
        <v>1865422.7577188406</v>
      </c>
      <c r="G24" s="116">
        <v>0</v>
      </c>
      <c r="H24" s="117">
        <f t="shared" si="9"/>
        <v>265941.97988203133</v>
      </c>
      <c r="I24" s="118">
        <f t="shared" si="4"/>
        <v>265941.97988203133</v>
      </c>
      <c r="J24" s="118">
        <f>F24-I24</f>
        <v>1599480.7778368094</v>
      </c>
      <c r="K24" s="125">
        <f t="shared" si="5"/>
        <v>20049.756329939817</v>
      </c>
      <c r="L24" s="1"/>
      <c r="O24" s="1"/>
      <c r="S24" s="92">
        <v>13</v>
      </c>
      <c r="T24" s="93">
        <f>'Expenses Person A'!$E$12*12+I24</f>
        <v>1811941.9798820312</v>
      </c>
      <c r="U24" s="146"/>
      <c r="V24" s="23">
        <f>T24/(1.22)^S24</f>
        <v>136604.96622886896</v>
      </c>
      <c r="W24" s="20"/>
    </row>
    <row r="25" spans="1:26" x14ac:dyDescent="0.25">
      <c r="A25" s="124">
        <v>14</v>
      </c>
      <c r="B25" s="66">
        <v>23</v>
      </c>
      <c r="C25" s="113">
        <f t="shared" si="6"/>
        <v>604147.46251879318</v>
      </c>
      <c r="D25" s="113">
        <f t="shared" si="1"/>
        <v>7249769.5502255186</v>
      </c>
      <c r="E25" s="116">
        <f t="shared" si="7"/>
        <v>5150551.7484008409</v>
      </c>
      <c r="F25" s="116">
        <f t="shared" si="8"/>
        <v>2099217.8018246777</v>
      </c>
      <c r="G25" s="116">
        <v>0</v>
      </c>
      <c r="H25" s="117">
        <f t="shared" si="9"/>
        <v>279239.0788761329</v>
      </c>
      <c r="I25" s="118">
        <f t="shared" si="4"/>
        <v>279239.0788761329</v>
      </c>
      <c r="J25" s="118">
        <f>F25-I25</f>
        <v>1819978.7229485449</v>
      </c>
      <c r="K25" s="125">
        <f t="shared" si="5"/>
        <v>17255.937824948203</v>
      </c>
      <c r="L25" s="1"/>
      <c r="O25" s="1"/>
      <c r="S25" s="92">
        <v>14</v>
      </c>
      <c r="T25" s="93">
        <f>'Expenses Person A'!$E$12*12+I25</f>
        <v>1825239.0788761328</v>
      </c>
      <c r="U25" s="146"/>
      <c r="V25" s="23">
        <f>T25/(1.22)^S25</f>
        <v>112792.99511915243</v>
      </c>
      <c r="W25" s="20"/>
    </row>
    <row r="26" spans="1:26" ht="15.75" thickBot="1" x14ac:dyDescent="0.3">
      <c r="A26" s="126">
        <v>15</v>
      </c>
      <c r="B26" s="127">
        <v>24</v>
      </c>
      <c r="C26" s="128">
        <f t="shared" si="6"/>
        <v>664562.20877067256</v>
      </c>
      <c r="D26" s="128">
        <f t="shared" si="1"/>
        <v>7974746.5052480707</v>
      </c>
      <c r="E26" s="129">
        <f t="shared" si="7"/>
        <v>5614101.4057569169</v>
      </c>
      <c r="F26" s="129">
        <f t="shared" si="8"/>
        <v>2360645.0994911538</v>
      </c>
      <c r="G26" s="129">
        <v>0</v>
      </c>
      <c r="H26" s="130">
        <f t="shared" si="9"/>
        <v>293201.03281993954</v>
      </c>
      <c r="I26" s="131">
        <f t="shared" si="4"/>
        <v>293201.03281993954</v>
      </c>
      <c r="J26" s="131">
        <f>F26-I26</f>
        <v>2067444.0666712143</v>
      </c>
      <c r="K26" s="133">
        <f t="shared" si="5"/>
        <v>14851.421898520994</v>
      </c>
      <c r="L26" s="1"/>
      <c r="O26" s="1"/>
      <c r="R26" s="89"/>
      <c r="S26" s="148">
        <v>15</v>
      </c>
      <c r="T26" s="93">
        <f>'Expenses Person A'!$E$12*12+I26</f>
        <v>1839201.0328199395</v>
      </c>
      <c r="U26" s="147"/>
      <c r="V26" s="23">
        <f>T26/(1.22)^S26</f>
        <v>93160.485254426094</v>
      </c>
    </row>
    <row r="27" spans="1:26" ht="15.75" thickBot="1" x14ac:dyDescent="0.3">
      <c r="C27" s="5"/>
      <c r="D27" s="5"/>
      <c r="E27" s="7"/>
      <c r="F27" s="7"/>
      <c r="G27" s="7"/>
      <c r="H27" s="132" t="s">
        <v>99</v>
      </c>
      <c r="I27" s="138">
        <f>SUM(I12:I26)</f>
        <v>2972221.6892187288</v>
      </c>
      <c r="J27" s="139" t="s">
        <v>11</v>
      </c>
      <c r="K27" s="135">
        <f>SUM(K12:K26)</f>
        <v>639206.00988863467</v>
      </c>
      <c r="O27" s="1"/>
      <c r="R27" s="89"/>
      <c r="S27" s="91" t="s">
        <v>97</v>
      </c>
      <c r="T27" s="94">
        <f>SUM(T12:T26)</f>
        <v>26162221.689218726</v>
      </c>
      <c r="U27" s="103" t="s">
        <v>73</v>
      </c>
      <c r="V27" s="101">
        <v>85000</v>
      </c>
    </row>
    <row r="28" spans="1:26" x14ac:dyDescent="0.25">
      <c r="C28" s="5"/>
      <c r="D28" s="5"/>
      <c r="E28" s="7"/>
      <c r="F28" s="7"/>
      <c r="G28" s="7"/>
      <c r="H28" s="5"/>
      <c r="I28" s="2"/>
      <c r="J28" s="140" t="s">
        <v>2</v>
      </c>
      <c r="K28" s="136">
        <f>K27/15</f>
        <v>42613.733992575646</v>
      </c>
      <c r="M28" s="20"/>
      <c r="O28" s="1"/>
      <c r="R28" s="89"/>
      <c r="S28" s="149" t="s">
        <v>96</v>
      </c>
      <c r="T28" s="83">
        <f>T12*15</f>
        <v>24090000</v>
      </c>
      <c r="U28" s="97" t="s">
        <v>98</v>
      </c>
      <c r="V28" s="99">
        <f>SUM(V12:V27)</f>
        <v>7395528.4491799781</v>
      </c>
    </row>
    <row r="29" spans="1:26" ht="15.75" thickBot="1" x14ac:dyDescent="0.3">
      <c r="C29" s="5"/>
      <c r="D29" s="5"/>
      <c r="E29" s="7"/>
      <c r="F29" s="7"/>
      <c r="G29" s="7"/>
      <c r="H29" s="5"/>
      <c r="I29" s="2"/>
      <c r="J29" s="141" t="s">
        <v>12</v>
      </c>
      <c r="K29" s="137">
        <f>K28/12</f>
        <v>3551.1444993813038</v>
      </c>
      <c r="M29" s="20"/>
      <c r="O29" s="1"/>
      <c r="S29" s="82"/>
      <c r="T29" s="84"/>
      <c r="U29" s="98"/>
      <c r="V29" s="100"/>
    </row>
    <row r="30" spans="1:26" ht="15.75" thickBot="1" x14ac:dyDescent="0.3">
      <c r="C30" s="5"/>
      <c r="D30" s="5"/>
      <c r="E30" s="7"/>
      <c r="F30" s="7"/>
      <c r="G30" s="7"/>
      <c r="H30" s="5"/>
      <c r="J30" s="8"/>
      <c r="K30" s="2"/>
      <c r="L30" s="134"/>
      <c r="M30" s="3"/>
      <c r="N30" s="1"/>
      <c r="O30" s="1"/>
      <c r="S30" s="65" t="s">
        <v>95</v>
      </c>
      <c r="T30" s="81">
        <f>T28-(H10-11200)</f>
        <v>21910320.025707874</v>
      </c>
      <c r="U30" s="96" t="s">
        <v>74</v>
      </c>
      <c r="V30" s="95">
        <f>V28/360000</f>
        <v>20.543134581055494</v>
      </c>
    </row>
    <row r="31" spans="1:26" ht="15.75" thickTop="1" x14ac:dyDescent="0.25">
      <c r="C31" s="5"/>
      <c r="D31" s="5"/>
      <c r="E31" s="7"/>
      <c r="F31" s="7"/>
      <c r="G31" s="7"/>
      <c r="H31" s="5"/>
      <c r="J31" s="8"/>
      <c r="K31" s="2"/>
      <c r="L31" s="134"/>
      <c r="M31" s="3"/>
      <c r="N31" s="1"/>
      <c r="O31" s="1"/>
    </row>
    <row r="32" spans="1:26" x14ac:dyDescent="0.25">
      <c r="C32" s="5"/>
      <c r="D32" s="5"/>
      <c r="E32" s="7"/>
      <c r="F32" s="7"/>
      <c r="G32" s="7"/>
      <c r="H32" s="5"/>
      <c r="J32" s="8"/>
      <c r="K32" s="2"/>
      <c r="L32" s="1"/>
      <c r="M32" s="3"/>
      <c r="N32" s="1"/>
      <c r="O32" s="1"/>
    </row>
    <row r="33" spans="3:19" x14ac:dyDescent="0.25">
      <c r="C33" s="1"/>
      <c r="M33" s="3"/>
      <c r="R33" s="20"/>
      <c r="S33" s="20"/>
    </row>
    <row r="34" spans="3:19" x14ac:dyDescent="0.25">
      <c r="C34" s="1"/>
      <c r="M34" s="3"/>
      <c r="R34" s="20"/>
      <c r="S34" s="20"/>
    </row>
    <row r="35" spans="3:19" x14ac:dyDescent="0.25">
      <c r="C35" s="1"/>
    </row>
    <row r="36" spans="3:19" x14ac:dyDescent="0.25">
      <c r="C36" s="1"/>
    </row>
    <row r="37" spans="3:19" x14ac:dyDescent="0.25">
      <c r="C37" s="1"/>
    </row>
    <row r="38" spans="3:19" x14ac:dyDescent="0.25">
      <c r="C38" s="1"/>
    </row>
    <row r="39" spans="3:19" x14ac:dyDescent="0.25">
      <c r="C39" s="1"/>
    </row>
    <row r="40" spans="3:19" x14ac:dyDescent="0.25">
      <c r="C40" s="1"/>
    </row>
    <row r="41" spans="3:19" x14ac:dyDescent="0.25">
      <c r="C41" s="1"/>
    </row>
    <row r="42" spans="3:19" x14ac:dyDescent="0.25">
      <c r="C42" s="1"/>
    </row>
    <row r="43" spans="3:19" x14ac:dyDescent="0.25">
      <c r="C43" s="1"/>
    </row>
    <row r="44" spans="3:19" x14ac:dyDescent="0.25">
      <c r="C44" s="1"/>
    </row>
    <row r="45" spans="3:19" x14ac:dyDescent="0.25">
      <c r="C45" s="1"/>
    </row>
    <row r="46" spans="3:19" x14ac:dyDescent="0.25">
      <c r="C46" s="1"/>
    </row>
    <row r="47" spans="3:19" x14ac:dyDescent="0.25">
      <c r="C47" s="1"/>
    </row>
    <row r="48" spans="3:19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</sheetData>
  <mergeCells count="8">
    <mergeCell ref="U28:U29"/>
    <mergeCell ref="V28:V29"/>
    <mergeCell ref="T10:U10"/>
    <mergeCell ref="U11:U26"/>
    <mergeCell ref="F2:F6"/>
    <mergeCell ref="F7:F10"/>
    <mergeCell ref="S28:S29"/>
    <mergeCell ref="T28:T2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CA5B-F3C6-48DF-A2B7-549E10356772}">
  <dimension ref="A1:E19"/>
  <sheetViews>
    <sheetView topLeftCell="B1" workbookViewId="0">
      <selection activeCell="D1" sqref="D1:E1"/>
    </sheetView>
  </sheetViews>
  <sheetFormatPr defaultRowHeight="15" x14ac:dyDescent="0.25"/>
  <cols>
    <col min="1" max="1" width="16.28515625" bestFit="1" customWidth="1"/>
    <col min="2" max="2" width="15.85546875" bestFit="1" customWidth="1"/>
    <col min="3" max="3" width="14.7109375" customWidth="1"/>
    <col min="4" max="4" width="17.140625" customWidth="1"/>
    <col min="5" max="5" width="16.7109375" customWidth="1"/>
    <col min="6" max="6" width="11.140625" customWidth="1"/>
  </cols>
  <sheetData>
    <row r="1" spans="1:5" ht="15.75" thickBot="1" x14ac:dyDescent="0.3">
      <c r="A1" s="16" t="s">
        <v>13</v>
      </c>
      <c r="B1" s="17"/>
      <c r="C1" s="88"/>
      <c r="D1" s="86" t="s">
        <v>14</v>
      </c>
      <c r="E1" s="87"/>
    </row>
    <row r="2" spans="1:5" x14ac:dyDescent="0.25">
      <c r="A2" s="10" t="s">
        <v>15</v>
      </c>
      <c r="B2" s="11" t="s">
        <v>16</v>
      </c>
      <c r="D2" s="10" t="s">
        <v>15</v>
      </c>
      <c r="E2" s="11" t="s">
        <v>16</v>
      </c>
    </row>
    <row r="3" spans="1:5" x14ac:dyDescent="0.25">
      <c r="A3" s="12" t="s">
        <v>17</v>
      </c>
      <c r="B3" s="13">
        <v>20000</v>
      </c>
      <c r="D3" s="12" t="s">
        <v>17</v>
      </c>
      <c r="E3" s="13">
        <v>20000</v>
      </c>
    </row>
    <row r="4" spans="1:5" x14ac:dyDescent="0.25">
      <c r="A4" s="12" t="s">
        <v>18</v>
      </c>
      <c r="B4" s="13">
        <v>20000</v>
      </c>
      <c r="D4" s="12" t="s">
        <v>18</v>
      </c>
      <c r="E4" s="13">
        <v>20000</v>
      </c>
    </row>
    <row r="5" spans="1:5" x14ac:dyDescent="0.25">
      <c r="A5" s="12" t="s">
        <v>19</v>
      </c>
      <c r="B5" s="13">
        <v>2000</v>
      </c>
      <c r="D5" s="12" t="s">
        <v>19</v>
      </c>
      <c r="E5" s="13">
        <v>2000</v>
      </c>
    </row>
    <row r="6" spans="1:5" x14ac:dyDescent="0.25">
      <c r="A6" s="12" t="s">
        <v>20</v>
      </c>
      <c r="B6" s="13">
        <v>12000</v>
      </c>
      <c r="D6" s="12" t="s">
        <v>20</v>
      </c>
      <c r="E6" s="13">
        <v>12000</v>
      </c>
    </row>
    <row r="7" spans="1:5" x14ac:dyDescent="0.25">
      <c r="A7" s="12" t="s">
        <v>21</v>
      </c>
      <c r="B7" s="13">
        <v>27000</v>
      </c>
      <c r="D7" s="12" t="s">
        <v>21</v>
      </c>
      <c r="E7" s="13">
        <f>35000*(2/3)</f>
        <v>23333.333333333332</v>
      </c>
    </row>
    <row r="8" spans="1:5" x14ac:dyDescent="0.25">
      <c r="A8" s="12" t="s">
        <v>22</v>
      </c>
      <c r="B8" s="13">
        <v>10000</v>
      </c>
      <c r="D8" s="12" t="s">
        <v>22</v>
      </c>
      <c r="E8" s="13">
        <v>10000</v>
      </c>
    </row>
    <row r="9" spans="1:5" x14ac:dyDescent="0.25">
      <c r="A9" s="12" t="s">
        <v>23</v>
      </c>
      <c r="B9" s="13">
        <v>26000</v>
      </c>
      <c r="D9" s="12" t="s">
        <v>23</v>
      </c>
      <c r="E9" s="13">
        <v>26000</v>
      </c>
    </row>
    <row r="10" spans="1:5" x14ac:dyDescent="0.25">
      <c r="A10" s="12" t="s">
        <v>24</v>
      </c>
      <c r="B10" s="13">
        <v>8000</v>
      </c>
      <c r="D10" s="12" t="s">
        <v>24</v>
      </c>
      <c r="E10" s="13">
        <v>8000</v>
      </c>
    </row>
    <row r="11" spans="1:5" x14ac:dyDescent="0.25">
      <c r="A11" s="12" t="s">
        <v>25</v>
      </c>
      <c r="B11" s="13">
        <v>15000</v>
      </c>
      <c r="D11" s="12" t="s">
        <v>25</v>
      </c>
      <c r="E11" s="13">
        <v>7500</v>
      </c>
    </row>
    <row r="12" spans="1:5" x14ac:dyDescent="0.25">
      <c r="A12" s="14" t="s">
        <v>26</v>
      </c>
      <c r="B12" s="15">
        <f>SUM(B3:B11)</f>
        <v>140000</v>
      </c>
      <c r="D12" s="14" t="s">
        <v>26</v>
      </c>
      <c r="E12" s="15">
        <f>SUM(E3:E11)</f>
        <v>128833.33333333333</v>
      </c>
    </row>
    <row r="15" spans="1:5" x14ac:dyDescent="0.25">
      <c r="A15" s="4"/>
    </row>
    <row r="16" spans="1:5" x14ac:dyDescent="0.25">
      <c r="B16" s="3"/>
    </row>
    <row r="19" spans="2:2" x14ac:dyDescent="0.25">
      <c r="B19" s="3"/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41F2-3E8A-4330-A281-7A2C4F9E08F0}">
  <dimension ref="A1:F39"/>
  <sheetViews>
    <sheetView workbookViewId="0">
      <selection activeCell="A20" sqref="A20:C20"/>
    </sheetView>
  </sheetViews>
  <sheetFormatPr defaultRowHeight="15" x14ac:dyDescent="0.25"/>
  <cols>
    <col min="1" max="1" width="12.42578125" customWidth="1"/>
    <col min="2" max="2" width="25.42578125" customWidth="1"/>
    <col min="3" max="3" width="27" bestFit="1" customWidth="1"/>
    <col min="4" max="4" width="26.5703125" customWidth="1"/>
    <col min="5" max="5" width="28.42578125" customWidth="1"/>
    <col min="6" max="6" width="32" customWidth="1"/>
  </cols>
  <sheetData>
    <row r="1" spans="1:6" ht="15.75" thickTop="1" x14ac:dyDescent="0.25">
      <c r="A1" s="18" t="s">
        <v>27</v>
      </c>
      <c r="B1" s="26" t="s">
        <v>28</v>
      </c>
      <c r="C1" s="26" t="s">
        <v>4</v>
      </c>
      <c r="D1" s="26" t="s">
        <v>29</v>
      </c>
      <c r="E1" s="26"/>
      <c r="F1" s="27" t="s">
        <v>30</v>
      </c>
    </row>
    <row r="2" spans="1:6" x14ac:dyDescent="0.25">
      <c r="A2" s="19">
        <v>20000000</v>
      </c>
      <c r="B2" s="28">
        <v>0.22</v>
      </c>
      <c r="C2" s="20">
        <f>B4</f>
        <v>1013053.86</v>
      </c>
      <c r="D2" s="20">
        <v>15</v>
      </c>
      <c r="E2" s="20">
        <f>D4</f>
        <v>234763.23939999999</v>
      </c>
      <c r="F2" s="21">
        <f>D4/12</f>
        <v>19563.603283333334</v>
      </c>
    </row>
    <row r="3" spans="1:6" x14ac:dyDescent="0.25">
      <c r="A3" s="29" t="s">
        <v>31</v>
      </c>
      <c r="B3" s="30" t="s">
        <v>32</v>
      </c>
      <c r="C3" s="30" t="s">
        <v>33</v>
      </c>
      <c r="D3" s="30" t="s">
        <v>34</v>
      </c>
      <c r="E3" s="30" t="s">
        <v>35</v>
      </c>
      <c r="F3" s="31" t="s">
        <v>36</v>
      </c>
    </row>
    <row r="4" spans="1:6" x14ac:dyDescent="0.25">
      <c r="A4" s="19">
        <v>1</v>
      </c>
      <c r="B4" s="20">
        <v>1013053.86</v>
      </c>
      <c r="C4" s="20">
        <f t="shared" ref="C4:C18" si="0">B4*0.22</f>
        <v>222871.8492</v>
      </c>
      <c r="D4" s="20">
        <v>234763.23939999999</v>
      </c>
      <c r="E4" s="20">
        <f t="shared" ref="E4:E18" si="1">D4-C4</f>
        <v>11891.390199999994</v>
      </c>
      <c r="F4" s="32">
        <f t="shared" ref="F4:F18" si="2">B4-E4</f>
        <v>1001162.4698</v>
      </c>
    </row>
    <row r="5" spans="1:6" x14ac:dyDescent="0.25">
      <c r="A5" s="19">
        <v>2</v>
      </c>
      <c r="B5" s="20">
        <f t="shared" ref="B5:B18" si="3">F4</f>
        <v>1001162.4698</v>
      </c>
      <c r="C5" s="20">
        <f t="shared" si="0"/>
        <v>220255.74335599999</v>
      </c>
      <c r="D5" s="20">
        <v>234763.23939999999</v>
      </c>
      <c r="E5" s="20">
        <f t="shared" si="1"/>
        <v>14507.496044</v>
      </c>
      <c r="F5" s="32">
        <f t="shared" si="2"/>
        <v>986654.97375599993</v>
      </c>
    </row>
    <row r="6" spans="1:6" x14ac:dyDescent="0.25">
      <c r="A6" s="19">
        <v>3</v>
      </c>
      <c r="B6" s="20">
        <f t="shared" si="3"/>
        <v>986654.97375599993</v>
      </c>
      <c r="C6" s="20">
        <f t="shared" si="0"/>
        <v>217064.09422631998</v>
      </c>
      <c r="D6" s="20">
        <v>234763.23939999999</v>
      </c>
      <c r="E6" s="20">
        <f t="shared" si="1"/>
        <v>17699.145173680008</v>
      </c>
      <c r="F6" s="32">
        <f t="shared" si="2"/>
        <v>968955.8285823199</v>
      </c>
    </row>
    <row r="7" spans="1:6" x14ac:dyDescent="0.25">
      <c r="A7" s="19">
        <v>4</v>
      </c>
      <c r="B7" s="20">
        <f t="shared" si="3"/>
        <v>968955.8285823199</v>
      </c>
      <c r="C7" s="20">
        <f t="shared" si="0"/>
        <v>213170.28228811038</v>
      </c>
      <c r="D7" s="20">
        <v>234763.23939999999</v>
      </c>
      <c r="E7" s="20">
        <f t="shared" si="1"/>
        <v>21592.957111889613</v>
      </c>
      <c r="F7" s="32">
        <f t="shared" si="2"/>
        <v>947362.87147043028</v>
      </c>
    </row>
    <row r="8" spans="1:6" x14ac:dyDescent="0.25">
      <c r="A8" s="19">
        <v>5</v>
      </c>
      <c r="B8" s="20">
        <f t="shared" si="3"/>
        <v>947362.87147043028</v>
      </c>
      <c r="C8" s="20">
        <f t="shared" si="0"/>
        <v>208419.83172349466</v>
      </c>
      <c r="D8" s="20">
        <v>234763.23939999999</v>
      </c>
      <c r="E8" s="20">
        <f t="shared" si="1"/>
        <v>26343.407676505332</v>
      </c>
      <c r="F8" s="32">
        <f t="shared" si="2"/>
        <v>921019.46379392501</v>
      </c>
    </row>
    <row r="9" spans="1:6" x14ac:dyDescent="0.25">
      <c r="A9" s="19">
        <v>6</v>
      </c>
      <c r="B9" s="20">
        <f t="shared" si="3"/>
        <v>921019.46379392501</v>
      </c>
      <c r="C9" s="20">
        <f t="shared" si="0"/>
        <v>202624.28203466351</v>
      </c>
      <c r="D9" s="20">
        <v>234763.23939999999</v>
      </c>
      <c r="E9" s="20">
        <f t="shared" si="1"/>
        <v>32138.957365336479</v>
      </c>
      <c r="F9" s="32">
        <f t="shared" si="2"/>
        <v>888880.50642858853</v>
      </c>
    </row>
    <row r="10" spans="1:6" x14ac:dyDescent="0.25">
      <c r="A10" s="19">
        <v>7</v>
      </c>
      <c r="B10" s="20">
        <f t="shared" si="3"/>
        <v>888880.50642858853</v>
      </c>
      <c r="C10" s="20">
        <f t="shared" si="0"/>
        <v>195553.71141428949</v>
      </c>
      <c r="D10" s="20">
        <v>234763.23939999999</v>
      </c>
      <c r="E10" s="20">
        <f t="shared" si="1"/>
        <v>39209.527985710505</v>
      </c>
      <c r="F10" s="32">
        <f t="shared" si="2"/>
        <v>849670.978442878</v>
      </c>
    </row>
    <row r="11" spans="1:6" x14ac:dyDescent="0.25">
      <c r="A11" s="19">
        <v>8</v>
      </c>
      <c r="B11" s="20">
        <f t="shared" si="3"/>
        <v>849670.978442878</v>
      </c>
      <c r="C11" s="20">
        <f t="shared" si="0"/>
        <v>186927.61525743315</v>
      </c>
      <c r="D11" s="20">
        <v>234763.23939999999</v>
      </c>
      <c r="E11" s="20">
        <f t="shared" si="1"/>
        <v>47835.624142566841</v>
      </c>
      <c r="F11" s="32">
        <f t="shared" si="2"/>
        <v>801835.35430031118</v>
      </c>
    </row>
    <row r="12" spans="1:6" x14ac:dyDescent="0.25">
      <c r="A12" s="19">
        <v>9</v>
      </c>
      <c r="B12" s="20">
        <f t="shared" si="3"/>
        <v>801835.35430031118</v>
      </c>
      <c r="C12" s="20">
        <f t="shared" si="0"/>
        <v>176403.77794606847</v>
      </c>
      <c r="D12" s="20">
        <v>234763.23939999999</v>
      </c>
      <c r="E12" s="20">
        <f t="shared" si="1"/>
        <v>58359.461453931523</v>
      </c>
      <c r="F12" s="32">
        <f t="shared" si="2"/>
        <v>743475.89284637966</v>
      </c>
    </row>
    <row r="13" spans="1:6" x14ac:dyDescent="0.25">
      <c r="A13" s="19">
        <v>10</v>
      </c>
      <c r="B13" s="20">
        <f t="shared" si="3"/>
        <v>743475.89284637966</v>
      </c>
      <c r="C13" s="20">
        <f t="shared" si="0"/>
        <v>163564.69642620353</v>
      </c>
      <c r="D13" s="20">
        <v>234763.23939999999</v>
      </c>
      <c r="E13" s="20">
        <f t="shared" si="1"/>
        <v>71198.542973796459</v>
      </c>
      <c r="F13" s="32">
        <f t="shared" si="2"/>
        <v>672277.34987258317</v>
      </c>
    </row>
    <row r="14" spans="1:6" x14ac:dyDescent="0.25">
      <c r="A14" s="19">
        <v>11</v>
      </c>
      <c r="B14" s="20">
        <f t="shared" si="3"/>
        <v>672277.34987258317</v>
      </c>
      <c r="C14" s="20">
        <f t="shared" si="0"/>
        <v>147901.01697196829</v>
      </c>
      <c r="D14" s="20">
        <v>234763.23939999999</v>
      </c>
      <c r="E14" s="20">
        <f t="shared" si="1"/>
        <v>86862.222428031702</v>
      </c>
      <c r="F14" s="32">
        <f t="shared" si="2"/>
        <v>585415.12744455144</v>
      </c>
    </row>
    <row r="15" spans="1:6" x14ac:dyDescent="0.25">
      <c r="A15" s="19">
        <v>12</v>
      </c>
      <c r="B15" s="20">
        <f t="shared" si="3"/>
        <v>585415.12744455144</v>
      </c>
      <c r="C15" s="20">
        <f t="shared" si="0"/>
        <v>128791.32803780132</v>
      </c>
      <c r="D15" s="20">
        <v>234763.23939999999</v>
      </c>
      <c r="E15" s="20">
        <f t="shared" si="1"/>
        <v>105971.91136219868</v>
      </c>
      <c r="F15" s="32">
        <f t="shared" si="2"/>
        <v>479443.2160823528</v>
      </c>
    </row>
    <row r="16" spans="1:6" x14ac:dyDescent="0.25">
      <c r="A16" s="19">
        <v>13</v>
      </c>
      <c r="B16" s="20">
        <f t="shared" si="3"/>
        <v>479443.2160823528</v>
      </c>
      <c r="C16" s="20">
        <f t="shared" si="0"/>
        <v>105477.50753811761</v>
      </c>
      <c r="D16" s="20">
        <v>234763.23939999999</v>
      </c>
      <c r="E16" s="20">
        <f t="shared" si="1"/>
        <v>129285.73186188238</v>
      </c>
      <c r="F16" s="32">
        <f t="shared" si="2"/>
        <v>350157.48422047042</v>
      </c>
    </row>
    <row r="17" spans="1:6" x14ac:dyDescent="0.25">
      <c r="A17" s="19">
        <v>14</v>
      </c>
      <c r="B17" s="20">
        <f t="shared" si="3"/>
        <v>350157.48422047042</v>
      </c>
      <c r="C17" s="20">
        <f t="shared" si="0"/>
        <v>77034.646528503494</v>
      </c>
      <c r="D17" s="20">
        <v>234763.23939999999</v>
      </c>
      <c r="E17" s="20">
        <f t="shared" si="1"/>
        <v>157728.59287149651</v>
      </c>
      <c r="F17" s="32">
        <f t="shared" si="2"/>
        <v>192428.89134897391</v>
      </c>
    </row>
    <row r="18" spans="1:6" ht="15.75" thickBot="1" x14ac:dyDescent="0.3">
      <c r="A18" s="24">
        <v>15</v>
      </c>
      <c r="B18" s="25">
        <f t="shared" si="3"/>
        <v>192428.89134897391</v>
      </c>
      <c r="C18" s="25">
        <f t="shared" si="0"/>
        <v>42334.35609677426</v>
      </c>
      <c r="D18" s="25">
        <v>234763.23939999999</v>
      </c>
      <c r="E18" s="25">
        <f t="shared" si="1"/>
        <v>192428.88330322574</v>
      </c>
      <c r="F18" s="33">
        <f t="shared" si="2"/>
        <v>8.0457481672056019E-3</v>
      </c>
    </row>
    <row r="19" spans="1:6" ht="16.5" thickTop="1" thickBot="1" x14ac:dyDescent="0.3"/>
    <row r="20" spans="1:6" ht="16.5" thickTop="1" thickBot="1" x14ac:dyDescent="0.3">
      <c r="A20" s="162" t="s">
        <v>100</v>
      </c>
      <c r="B20" s="163"/>
      <c r="C20" s="164"/>
    </row>
    <row r="21" spans="1:6" ht="16.5" thickTop="1" thickBot="1" x14ac:dyDescent="0.3">
      <c r="A21" s="159" t="s">
        <v>76</v>
      </c>
      <c r="B21" s="160" t="s">
        <v>77</v>
      </c>
      <c r="C21" s="161" t="s">
        <v>75</v>
      </c>
    </row>
    <row r="22" spans="1:6" ht="15.75" thickTop="1" x14ac:dyDescent="0.25">
      <c r="A22" s="156">
        <v>35</v>
      </c>
      <c r="B22" s="157">
        <v>41.23</v>
      </c>
      <c r="C22" s="158">
        <f>1-(B22/(1+B23))</f>
        <v>1.6949152542372614E-3</v>
      </c>
    </row>
    <row r="23" spans="1:6" x14ac:dyDescent="0.25">
      <c r="A23" s="150">
        <v>36</v>
      </c>
      <c r="B23" s="154">
        <v>40.299999999999997</v>
      </c>
      <c r="C23" s="152">
        <f>1-(B23/(1+B24))</f>
        <v>1.9811788013869291E-3</v>
      </c>
    </row>
    <row r="24" spans="1:6" x14ac:dyDescent="0.25">
      <c r="A24" s="150">
        <v>37</v>
      </c>
      <c r="B24" s="154">
        <v>39.380000000000003</v>
      </c>
      <c r="C24" s="152">
        <f t="shared" ref="C23:C37" si="4">1-(B24/(1+B25))</f>
        <v>2.0273694880891258E-3</v>
      </c>
    </row>
    <row r="25" spans="1:6" x14ac:dyDescent="0.25">
      <c r="A25" s="150">
        <v>38</v>
      </c>
      <c r="B25" s="154">
        <v>38.46</v>
      </c>
      <c r="C25" s="152">
        <f t="shared" si="4"/>
        <v>2.3346303501944332E-3</v>
      </c>
    </row>
    <row r="26" spans="1:6" x14ac:dyDescent="0.25">
      <c r="A26" s="150">
        <v>39</v>
      </c>
      <c r="B26" s="154">
        <v>37.549999999999997</v>
      </c>
      <c r="C26" s="152">
        <f t="shared" si="4"/>
        <v>2.3910733262487716E-3</v>
      </c>
    </row>
    <row r="27" spans="1:6" x14ac:dyDescent="0.25">
      <c r="A27" s="150">
        <v>40</v>
      </c>
      <c r="B27" s="154">
        <v>36.64</v>
      </c>
      <c r="C27" s="152">
        <f t="shared" si="4"/>
        <v>2.4503130955620955E-3</v>
      </c>
    </row>
    <row r="28" spans="1:6" x14ac:dyDescent="0.25">
      <c r="A28" s="150">
        <v>41</v>
      </c>
      <c r="B28" s="154">
        <v>35.729999999999997</v>
      </c>
      <c r="C28" s="152">
        <f t="shared" si="4"/>
        <v>2.7909572983533248E-3</v>
      </c>
    </row>
    <row r="29" spans="1:6" x14ac:dyDescent="0.25">
      <c r="A29" s="150">
        <v>42</v>
      </c>
      <c r="B29" s="154">
        <v>34.83</v>
      </c>
      <c r="C29" s="152">
        <f t="shared" si="4"/>
        <v>3.1482541499713301E-3</v>
      </c>
    </row>
    <row r="30" spans="1:6" x14ac:dyDescent="0.25">
      <c r="A30" s="150">
        <v>43</v>
      </c>
      <c r="B30" s="154">
        <v>33.94</v>
      </c>
      <c r="C30" s="152">
        <f t="shared" si="4"/>
        <v>3.2305433186490262E-3</v>
      </c>
    </row>
    <row r="31" spans="1:6" x14ac:dyDescent="0.25">
      <c r="A31" s="150">
        <v>44</v>
      </c>
      <c r="B31" s="154">
        <v>33.049999999999997</v>
      </c>
      <c r="C31" s="152">
        <f t="shared" si="4"/>
        <v>3.3172496984318345E-3</v>
      </c>
    </row>
    <row r="32" spans="1:6" x14ac:dyDescent="0.25">
      <c r="A32" s="150">
        <v>45</v>
      </c>
      <c r="B32" s="154">
        <v>32.159999999999997</v>
      </c>
      <c r="C32" s="152">
        <f t="shared" si="4"/>
        <v>4.0260142458966586E-3</v>
      </c>
    </row>
    <row r="33" spans="1:3" x14ac:dyDescent="0.25">
      <c r="A33" s="150">
        <v>46</v>
      </c>
      <c r="B33" s="154">
        <v>31.29</v>
      </c>
      <c r="C33" s="152">
        <f t="shared" si="4"/>
        <v>4.1374920432846185E-3</v>
      </c>
    </row>
    <row r="34" spans="1:3" x14ac:dyDescent="0.25">
      <c r="A34" s="150">
        <v>47</v>
      </c>
      <c r="B34" s="154">
        <v>30.42</v>
      </c>
      <c r="C34" s="152">
        <f t="shared" si="4"/>
        <v>4.5811518324606615E-3</v>
      </c>
    </row>
    <row r="35" spans="1:3" x14ac:dyDescent="0.25">
      <c r="A35" s="150">
        <v>48</v>
      </c>
      <c r="B35" s="154">
        <v>29.56</v>
      </c>
      <c r="C35" s="152">
        <f t="shared" si="4"/>
        <v>4.7138047138047812E-3</v>
      </c>
    </row>
    <row r="36" spans="1:3" x14ac:dyDescent="0.25">
      <c r="A36" s="150">
        <v>49</v>
      </c>
      <c r="B36" s="154">
        <v>28.7</v>
      </c>
      <c r="C36" s="152">
        <f t="shared" si="4"/>
        <v>5.199306759098854E-3</v>
      </c>
    </row>
    <row r="37" spans="1:3" ht="15.75" thickBot="1" x14ac:dyDescent="0.3">
      <c r="A37" s="150">
        <v>50</v>
      </c>
      <c r="B37" s="154">
        <v>27.85</v>
      </c>
      <c r="C37" s="153">
        <f t="shared" si="4"/>
        <v>5.3571428571428381E-3</v>
      </c>
    </row>
    <row r="38" spans="1:3" ht="16.5" thickTop="1" thickBot="1" x14ac:dyDescent="0.3">
      <c r="A38" s="151">
        <v>51</v>
      </c>
      <c r="B38" s="155">
        <v>27</v>
      </c>
      <c r="C38" s="67"/>
    </row>
    <row r="39" spans="1:3" ht="15.75" thickTop="1" x14ac:dyDescent="0.25">
      <c r="B39" s="20"/>
      <c r="C39" s="20"/>
    </row>
  </sheetData>
  <mergeCells count="1">
    <mergeCell ref="A20:C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DA9D-DCCF-48C8-A6AF-49D722B17616}">
  <dimension ref="A1:V31"/>
  <sheetViews>
    <sheetView showGridLines="0" topLeftCell="O22" zoomScale="84" zoomScaleNormal="85" workbookViewId="0">
      <selection activeCell="G6" sqref="G6"/>
    </sheetView>
  </sheetViews>
  <sheetFormatPr defaultColWidth="9.140625" defaultRowHeight="11.25" x14ac:dyDescent="0.2"/>
  <cols>
    <col min="1" max="1" width="9.140625" style="34"/>
    <col min="2" max="2" width="1.5703125" style="34" customWidth="1"/>
    <col min="3" max="4" width="4.7109375" style="34" customWidth="1"/>
    <col min="5" max="5" width="9.140625" style="34" customWidth="1"/>
    <col min="6" max="6" width="1.5703125" style="34" customWidth="1"/>
    <col min="7" max="7" width="14.140625" style="34" bestFit="1" customWidth="1"/>
    <col min="8" max="8" width="8.42578125" style="34" customWidth="1"/>
    <col min="9" max="9" width="6.5703125" style="34" customWidth="1"/>
    <col min="10" max="10" width="8.140625" style="34" customWidth="1"/>
    <col min="11" max="11" width="9.7109375" style="34" customWidth="1"/>
    <col min="12" max="12" width="7.85546875" style="34" customWidth="1"/>
    <col min="13" max="13" width="8.42578125" style="34" customWidth="1"/>
    <col min="14" max="14" width="12.140625" style="34" customWidth="1"/>
    <col min="15" max="15" width="10.42578125" style="34" bestFit="1" customWidth="1"/>
    <col min="16" max="17" width="2.28515625" style="34" customWidth="1"/>
    <col min="18" max="19" width="9.28515625" style="34" bestFit="1" customWidth="1"/>
    <col min="20" max="20" width="8.42578125" style="34" customWidth="1"/>
    <col min="21" max="21" width="2" style="34" customWidth="1"/>
    <col min="22" max="16384" width="9.140625" style="34"/>
  </cols>
  <sheetData>
    <row r="1" spans="1:22" x14ac:dyDescent="0.2">
      <c r="A1" s="34" t="s">
        <v>72</v>
      </c>
    </row>
    <row r="4" spans="1:22" x14ac:dyDescent="0.2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7"/>
    </row>
    <row r="5" spans="1:22" ht="12" thickBot="1" x14ac:dyDescent="0.25">
      <c r="B5" s="38"/>
      <c r="C5" s="39" t="s">
        <v>44</v>
      </c>
      <c r="D5" s="39"/>
      <c r="E5" s="39"/>
      <c r="F5" s="39"/>
      <c r="G5" s="39"/>
      <c r="H5" s="40"/>
      <c r="I5" s="40"/>
      <c r="J5" s="40" t="s">
        <v>45</v>
      </c>
      <c r="U5" s="41"/>
    </row>
    <row r="6" spans="1:22" x14ac:dyDescent="0.2">
      <c r="B6" s="38"/>
      <c r="C6" s="42" t="s">
        <v>46</v>
      </c>
      <c r="D6" s="42"/>
      <c r="E6" s="42"/>
      <c r="F6" s="42"/>
      <c r="G6" s="43">
        <v>360000</v>
      </c>
      <c r="J6" s="34" t="s">
        <v>78</v>
      </c>
      <c r="K6" s="44" t="s">
        <v>80</v>
      </c>
      <c r="L6" s="44"/>
      <c r="M6" s="44"/>
      <c r="N6" s="69" t="s">
        <v>81</v>
      </c>
      <c r="O6" s="70"/>
      <c r="P6" s="70"/>
      <c r="Q6" s="70"/>
      <c r="R6" s="70"/>
      <c r="S6" s="70"/>
      <c r="T6" s="71"/>
      <c r="U6" s="41"/>
      <c r="V6" s="68"/>
    </row>
    <row r="7" spans="1:22" ht="12" thickBot="1" x14ac:dyDescent="0.25">
      <c r="B7" s="38"/>
      <c r="C7" s="42" t="s">
        <v>48</v>
      </c>
      <c r="D7" s="42"/>
      <c r="E7" s="42"/>
      <c r="F7" s="42"/>
      <c r="G7" s="34">
        <v>21</v>
      </c>
      <c r="J7" s="34" t="s">
        <v>79</v>
      </c>
      <c r="K7" s="44" t="s">
        <v>82</v>
      </c>
      <c r="L7" s="44"/>
      <c r="M7" s="44"/>
      <c r="N7" s="72"/>
      <c r="O7" s="73"/>
      <c r="P7" s="73"/>
      <c r="Q7" s="73"/>
      <c r="R7" s="73"/>
      <c r="S7" s="73"/>
      <c r="T7" s="74"/>
      <c r="U7" s="41"/>
    </row>
    <row r="8" spans="1:22" x14ac:dyDescent="0.2">
      <c r="B8" s="38"/>
      <c r="C8" s="42" t="s">
        <v>50</v>
      </c>
      <c r="D8" s="42"/>
      <c r="E8" s="42"/>
      <c r="F8" s="45"/>
      <c r="G8" s="43">
        <f>+G6*G7</f>
        <v>7560000</v>
      </c>
      <c r="U8" s="41"/>
    </row>
    <row r="9" spans="1:22" x14ac:dyDescent="0.2">
      <c r="B9" s="38"/>
      <c r="C9" s="42" t="s">
        <v>51</v>
      </c>
      <c r="D9" s="42"/>
      <c r="E9" s="42"/>
      <c r="F9" s="45"/>
      <c r="G9" s="34" t="s">
        <v>52</v>
      </c>
      <c r="U9" s="41"/>
    </row>
    <row r="10" spans="1:22" x14ac:dyDescent="0.2">
      <c r="B10" s="38"/>
      <c r="U10" s="41"/>
    </row>
    <row r="11" spans="1:22" ht="15" x14ac:dyDescent="0.25">
      <c r="B11" s="38"/>
      <c r="G11" s="46" t="s">
        <v>53</v>
      </c>
      <c r="H11" s="46"/>
      <c r="I11" s="46"/>
      <c r="J11" s="46"/>
      <c r="K11" s="46"/>
      <c r="L11" s="46"/>
      <c r="M11" s="46"/>
      <c r="N11" s="46"/>
      <c r="O11" s="46"/>
      <c r="U11" s="41"/>
    </row>
    <row r="12" spans="1:22" x14ac:dyDescent="0.2">
      <c r="B12" s="38"/>
      <c r="G12" s="47" t="s">
        <v>54</v>
      </c>
      <c r="H12" s="47"/>
      <c r="I12" s="47"/>
      <c r="J12" s="47"/>
      <c r="K12" s="47"/>
      <c r="L12" s="47"/>
      <c r="M12" s="48" t="s">
        <v>55</v>
      </c>
      <c r="N12" s="47" t="s">
        <v>56</v>
      </c>
      <c r="O12" s="47"/>
      <c r="P12" s="49"/>
      <c r="Q12" s="49"/>
      <c r="R12" s="49"/>
      <c r="S12" s="49"/>
      <c r="U12" s="41"/>
    </row>
    <row r="13" spans="1:22" ht="45" x14ac:dyDescent="0.2">
      <c r="B13" s="38"/>
      <c r="C13" s="50" t="s">
        <v>57</v>
      </c>
      <c r="D13" s="50" t="s">
        <v>58</v>
      </c>
      <c r="E13" s="50" t="s">
        <v>59</v>
      </c>
      <c r="F13" s="51"/>
      <c r="G13" s="50" t="s">
        <v>60</v>
      </c>
      <c r="H13" s="50" t="s">
        <v>61</v>
      </c>
      <c r="I13" s="50" t="s">
        <v>62</v>
      </c>
      <c r="J13" s="50" t="s">
        <v>63</v>
      </c>
      <c r="K13" s="50" t="s">
        <v>64</v>
      </c>
      <c r="L13" s="50" t="s">
        <v>65</v>
      </c>
      <c r="M13" s="50" t="s">
        <v>66</v>
      </c>
      <c r="N13" s="50" t="s">
        <v>67</v>
      </c>
      <c r="O13" s="50" t="s">
        <v>68</v>
      </c>
      <c r="R13" s="50" t="s">
        <v>69</v>
      </c>
      <c r="S13" s="50" t="s">
        <v>51</v>
      </c>
      <c r="T13" s="50" t="s">
        <v>70</v>
      </c>
      <c r="U13" s="41"/>
    </row>
    <row r="14" spans="1:22" x14ac:dyDescent="0.2">
      <c r="B14" s="38"/>
      <c r="C14" s="52">
        <v>1</v>
      </c>
      <c r="D14" s="52">
        <v>40</v>
      </c>
      <c r="E14" s="53">
        <v>360000</v>
      </c>
      <c r="G14" s="64">
        <v>0</v>
      </c>
      <c r="H14" s="76">
        <v>0.2</v>
      </c>
      <c r="I14" s="76">
        <v>0.95</v>
      </c>
      <c r="J14" s="75">
        <f>+H14*I14*E14</f>
        <v>68400</v>
      </c>
      <c r="K14" s="75">
        <f>-R14*'Person A Mortgage'!C22</f>
        <v>-12813.559322033696</v>
      </c>
      <c r="L14" s="75">
        <v>-100</v>
      </c>
      <c r="M14" s="75">
        <f>+(G14+SUM(J14:L14))*0.1</f>
        <v>5548.6440677966311</v>
      </c>
      <c r="N14" s="75">
        <f>-(M14+G14+J14+K14+L14)*0.015</f>
        <v>-915.52627118644398</v>
      </c>
      <c r="O14" s="75">
        <f>+SUM(J14:L14)+M14+N14+G14</f>
        <v>60119.558474576494</v>
      </c>
      <c r="R14" s="75">
        <f>+$G$8</f>
        <v>7560000</v>
      </c>
      <c r="S14" s="75">
        <f>+R14+O14</f>
        <v>7620119.5584745761</v>
      </c>
      <c r="T14" s="75">
        <f>0.95*O14</f>
        <v>57113.58055084767</v>
      </c>
      <c r="U14" s="41"/>
    </row>
    <row r="15" spans="1:22" ht="27" customHeight="1" x14ac:dyDescent="0.2">
      <c r="B15" s="38"/>
      <c r="C15" s="54">
        <f>+C14+1</f>
        <v>2</v>
      </c>
      <c r="D15" s="54">
        <f>+$D$14+C15-1</f>
        <v>41</v>
      </c>
      <c r="E15" s="55">
        <f>+E14</f>
        <v>360000</v>
      </c>
      <c r="G15" s="75">
        <f>+O14</f>
        <v>60119.558474576494</v>
      </c>
      <c r="H15" s="76">
        <v>0.8</v>
      </c>
      <c r="I15" s="76">
        <v>0.95</v>
      </c>
      <c r="J15" s="75">
        <f t="shared" ref="J15:J22" si="0">+H15*I15*E15</f>
        <v>273600</v>
      </c>
      <c r="K15" s="75">
        <f>-R15*'Person A Mortgage'!C23</f>
        <v>-14977.711738485184</v>
      </c>
      <c r="L15" s="75">
        <v>0</v>
      </c>
      <c r="M15" s="75">
        <f>+(G15+SUM(J15:L15))*0.1</f>
        <v>31874.184673609132</v>
      </c>
      <c r="N15" s="75">
        <f>-(M15+G15+J15+K15+L15)*0.015</f>
        <v>-5259.2404711455065</v>
      </c>
      <c r="O15" s="75">
        <f t="shared" ref="O15:O22" si="1">+SUM(J15:L15)+M15+N15+G15</f>
        <v>345356.79093855497</v>
      </c>
      <c r="R15" s="75">
        <f>+R14</f>
        <v>7560000</v>
      </c>
      <c r="S15" s="75">
        <f>+R15+O15</f>
        <v>7905356.7909385553</v>
      </c>
      <c r="T15" s="75">
        <f>0.95*O15</f>
        <v>328088.9513916272</v>
      </c>
      <c r="U15" s="41"/>
    </row>
    <row r="16" spans="1:22" x14ac:dyDescent="0.2">
      <c r="B16" s="38"/>
      <c r="C16" s="56">
        <f t="shared" ref="C16:C28" si="2">+C15+1</f>
        <v>3</v>
      </c>
      <c r="D16" s="56">
        <f t="shared" ref="D16:D28" si="3">+$D$14+C16-1</f>
        <v>42</v>
      </c>
      <c r="E16" s="57">
        <f t="shared" ref="E16:E28" si="4">+E15</f>
        <v>360000</v>
      </c>
      <c r="G16" s="75">
        <f t="shared" ref="G16:G22" si="5">+O15</f>
        <v>345356.79093855497</v>
      </c>
      <c r="H16" s="76">
        <v>0.9</v>
      </c>
      <c r="I16" s="76">
        <v>0.95</v>
      </c>
      <c r="J16" s="75">
        <f t="shared" si="0"/>
        <v>307800</v>
      </c>
      <c r="K16" s="75">
        <f>-R16*'Person A Mortgage'!C24</f>
        <v>-15326.913329953792</v>
      </c>
      <c r="L16" s="75">
        <v>0</v>
      </c>
      <c r="M16" s="75">
        <f>+(G16+SUM(J16:L16))*0.1</f>
        <v>63782.987760860124</v>
      </c>
      <c r="N16" s="75">
        <f>-(M16+G16+J16+K16+L16)*0.015</f>
        <v>-10524.192980541919</v>
      </c>
      <c r="O16" s="75">
        <f>+SUM(J16:L16)+M16+N16+G16</f>
        <v>691088.6723889194</v>
      </c>
      <c r="R16" s="75">
        <f>+R15</f>
        <v>7560000</v>
      </c>
      <c r="S16" s="75">
        <f>+R16+O16</f>
        <v>8251088.6723889196</v>
      </c>
      <c r="T16" s="75">
        <f>O16</f>
        <v>691088.6723889194</v>
      </c>
      <c r="U16" s="41"/>
    </row>
    <row r="17" spans="2:21" ht="46.5" x14ac:dyDescent="0.2">
      <c r="B17" s="38"/>
      <c r="C17" s="56">
        <f t="shared" si="2"/>
        <v>4</v>
      </c>
      <c r="D17" s="56">
        <f t="shared" si="3"/>
        <v>43</v>
      </c>
      <c r="E17" s="57">
        <f t="shared" si="4"/>
        <v>360000</v>
      </c>
      <c r="G17" s="75">
        <f t="shared" si="5"/>
        <v>691088.6723889194</v>
      </c>
      <c r="H17" s="76">
        <v>1</v>
      </c>
      <c r="I17" s="76">
        <v>0.95</v>
      </c>
      <c r="J17" s="75">
        <f t="shared" si="0"/>
        <v>342000</v>
      </c>
      <c r="K17" s="75">
        <f>-R17*'Person A Mortgage'!C25</f>
        <v>-17649.805447469917</v>
      </c>
      <c r="L17" s="75">
        <v>0</v>
      </c>
      <c r="M17" s="75">
        <f t="shared" ref="M15:M28" si="6">+(G17+SUM(J17:L17))*0.1</f>
        <v>101543.88669414495</v>
      </c>
      <c r="N17" s="75">
        <f>-(M17+G17+J17+K17+L17)*0.015</f>
        <v>-16754.741304533916</v>
      </c>
      <c r="O17" s="75">
        <f t="shared" si="1"/>
        <v>1100228.0123310606</v>
      </c>
      <c r="R17" s="75">
        <f>+R16</f>
        <v>7560000</v>
      </c>
      <c r="S17" s="75">
        <f>+R17+O17</f>
        <v>8660228.0123310611</v>
      </c>
      <c r="T17" s="75">
        <f>O17</f>
        <v>1100228.0123310606</v>
      </c>
      <c r="U17" s="41"/>
    </row>
    <row r="18" spans="2:21" ht="46.5" x14ac:dyDescent="0.2">
      <c r="B18" s="38"/>
      <c r="C18" s="56">
        <f t="shared" si="2"/>
        <v>5</v>
      </c>
      <c r="D18" s="56">
        <f t="shared" si="3"/>
        <v>44</v>
      </c>
      <c r="E18" s="57">
        <f t="shared" si="4"/>
        <v>360000</v>
      </c>
      <c r="G18" s="75">
        <f t="shared" si="5"/>
        <v>1100228.0123310606</v>
      </c>
      <c r="H18" s="76">
        <v>1</v>
      </c>
      <c r="I18" s="76">
        <v>0.95</v>
      </c>
      <c r="J18" s="75">
        <f t="shared" si="0"/>
        <v>342000</v>
      </c>
      <c r="K18" s="75">
        <f>-R18*'Person A Mortgage'!C26</f>
        <v>-18076.514346440712</v>
      </c>
      <c r="L18" s="75">
        <v>0</v>
      </c>
      <c r="M18" s="75">
        <f t="shared" si="6"/>
        <v>142415.14979846199</v>
      </c>
      <c r="N18" s="75">
        <f>-(M18+G18+J18+K18+L18)*0.015</f>
        <v>-23498.499716746224</v>
      </c>
      <c r="O18" s="75">
        <f t="shared" si="1"/>
        <v>1543068.1480663356</v>
      </c>
      <c r="R18" s="75">
        <f>+R17</f>
        <v>7560000</v>
      </c>
      <c r="S18" s="75">
        <f>+R18+O18</f>
        <v>9103068.1480663363</v>
      </c>
      <c r="T18" s="75">
        <f>O18</f>
        <v>1543068.1480663356</v>
      </c>
      <c r="U18" s="41"/>
    </row>
    <row r="19" spans="2:21" ht="28.5" x14ac:dyDescent="0.2">
      <c r="B19" s="38"/>
      <c r="C19" s="56">
        <f t="shared" si="2"/>
        <v>6</v>
      </c>
      <c r="D19" s="56">
        <f t="shared" si="3"/>
        <v>45</v>
      </c>
      <c r="E19" s="57">
        <f t="shared" si="4"/>
        <v>360000</v>
      </c>
      <c r="G19" s="75">
        <f t="shared" si="5"/>
        <v>1543068.1480663356</v>
      </c>
      <c r="H19" s="76">
        <v>1.03</v>
      </c>
      <c r="I19" s="76">
        <v>0.95</v>
      </c>
      <c r="J19" s="75">
        <f t="shared" si="0"/>
        <v>352260</v>
      </c>
      <c r="K19" s="75">
        <f>-R19*'Person A Mortgage'!C27</f>
        <v>-18524.367002449442</v>
      </c>
      <c r="L19" s="75">
        <v>0</v>
      </c>
      <c r="M19" s="75">
        <f t="shared" si="6"/>
        <v>187680.37810638861</v>
      </c>
      <c r="N19" s="75">
        <f>-(M19+G19+J19+K19+L19)*0.015</f>
        <v>-30967.262387554118</v>
      </c>
      <c r="O19" s="75">
        <f t="shared" si="1"/>
        <v>2033516.8967827207</v>
      </c>
      <c r="R19" s="75">
        <f>+R18</f>
        <v>7560000</v>
      </c>
      <c r="S19" s="75">
        <f>+R19+O19</f>
        <v>9593516.8967827205</v>
      </c>
      <c r="T19" s="75">
        <f>O19</f>
        <v>2033516.8967827207</v>
      </c>
      <c r="U19" s="41"/>
    </row>
    <row r="20" spans="2:21" ht="32.25" x14ac:dyDescent="0.2">
      <c r="B20" s="38"/>
      <c r="C20" s="56">
        <f t="shared" si="2"/>
        <v>7</v>
      </c>
      <c r="D20" s="56">
        <f t="shared" si="3"/>
        <v>46</v>
      </c>
      <c r="E20" s="57">
        <f t="shared" si="4"/>
        <v>360000</v>
      </c>
      <c r="G20" s="75">
        <f t="shared" si="5"/>
        <v>2033516.8967827207</v>
      </c>
      <c r="H20" s="76">
        <v>1.03</v>
      </c>
      <c r="I20" s="76">
        <v>0.95</v>
      </c>
      <c r="J20" s="75">
        <f t="shared" si="0"/>
        <v>352260</v>
      </c>
      <c r="K20" s="75">
        <f>-R20*'Person A Mortgage'!C28</f>
        <v>-21099.637175551135</v>
      </c>
      <c r="L20" s="75">
        <v>0</v>
      </c>
      <c r="M20" s="75">
        <f t="shared" si="6"/>
        <v>236467.72596071698</v>
      </c>
      <c r="N20" s="75">
        <f>-(M20+G20+J20+K20+L20)*0.015</f>
        <v>-39017.174783518298</v>
      </c>
      <c r="O20" s="75">
        <f t="shared" si="1"/>
        <v>2562127.8107843683</v>
      </c>
      <c r="R20" s="75">
        <f>+R19</f>
        <v>7560000</v>
      </c>
      <c r="S20" s="75">
        <f>+R20+O20</f>
        <v>10122127.810784368</v>
      </c>
      <c r="T20" s="75">
        <f>O20</f>
        <v>2562127.8107843683</v>
      </c>
      <c r="U20" s="41"/>
    </row>
    <row r="21" spans="2:21" ht="33" x14ac:dyDescent="0.2">
      <c r="B21" s="38"/>
      <c r="C21" s="56">
        <f t="shared" si="2"/>
        <v>8</v>
      </c>
      <c r="D21" s="56">
        <f t="shared" si="3"/>
        <v>47</v>
      </c>
      <c r="E21" s="57">
        <f t="shared" si="4"/>
        <v>360000</v>
      </c>
      <c r="G21" s="75">
        <f t="shared" si="5"/>
        <v>2562127.8107843683</v>
      </c>
      <c r="H21" s="76">
        <v>1.03</v>
      </c>
      <c r="I21" s="76">
        <v>0.95</v>
      </c>
      <c r="J21" s="75">
        <f t="shared" si="0"/>
        <v>352260</v>
      </c>
      <c r="K21" s="75">
        <f>-R21*'Person A Mortgage'!C29</f>
        <v>-23800.801373783255</v>
      </c>
      <c r="L21" s="75">
        <v>0</v>
      </c>
      <c r="M21" s="75">
        <f t="shared" si="6"/>
        <v>289058.70094105852</v>
      </c>
      <c r="N21" s="75">
        <f>-(M21+G21+J21+K21+L21)*0.015</f>
        <v>-47694.685655274654</v>
      </c>
      <c r="O21" s="75">
        <f t="shared" si="1"/>
        <v>3131951.0246963687</v>
      </c>
      <c r="R21" s="75">
        <f>+R20</f>
        <v>7560000</v>
      </c>
      <c r="S21" s="75">
        <f>+R21+O21</f>
        <v>10691951.024696369</v>
      </c>
      <c r="T21" s="75">
        <f>O21</f>
        <v>3131951.0246963687</v>
      </c>
      <c r="U21" s="41"/>
    </row>
    <row r="22" spans="2:21" ht="46.5" x14ac:dyDescent="0.2">
      <c r="B22" s="38"/>
      <c r="C22" s="54">
        <f t="shared" si="2"/>
        <v>9</v>
      </c>
      <c r="D22" s="54">
        <f t="shared" si="3"/>
        <v>48</v>
      </c>
      <c r="E22" s="55">
        <f t="shared" si="4"/>
        <v>360000</v>
      </c>
      <c r="G22" s="75">
        <f t="shared" si="5"/>
        <v>3131951.0246963687</v>
      </c>
      <c r="H22" s="76">
        <v>1.03</v>
      </c>
      <c r="I22" s="76">
        <v>0.95</v>
      </c>
      <c r="J22" s="75">
        <f t="shared" si="0"/>
        <v>352260</v>
      </c>
      <c r="K22" s="75">
        <f>-R22*'Person A Mortgage'!C30</f>
        <v>-24422.907488986639</v>
      </c>
      <c r="L22" s="75">
        <v>0</v>
      </c>
      <c r="M22" s="75">
        <f t="shared" si="6"/>
        <v>345978.81172073819</v>
      </c>
      <c r="N22" s="75">
        <f>-(M22+G22+J22+K22+L22)*0.015</f>
        <v>-57086.503933921798</v>
      </c>
      <c r="O22" s="75">
        <f t="shared" si="1"/>
        <v>3748680.4249941986</v>
      </c>
      <c r="R22" s="75">
        <f>+R21</f>
        <v>7560000</v>
      </c>
      <c r="S22" s="75">
        <f>+R22+O22</f>
        <v>11308680.424994199</v>
      </c>
      <c r="T22" s="75">
        <f>O22</f>
        <v>3748680.4249941986</v>
      </c>
      <c r="U22" s="41"/>
    </row>
    <row r="23" spans="2:21" ht="46.5" x14ac:dyDescent="0.2">
      <c r="B23" s="38"/>
      <c r="C23" s="54">
        <f t="shared" si="2"/>
        <v>10</v>
      </c>
      <c r="D23" s="54">
        <f t="shared" si="3"/>
        <v>49</v>
      </c>
      <c r="E23" s="55">
        <f t="shared" si="4"/>
        <v>360000</v>
      </c>
      <c r="G23" s="75">
        <f t="shared" ref="G23:G28" si="7">+O22</f>
        <v>3748680.4249941986</v>
      </c>
      <c r="H23" s="76">
        <v>1.03</v>
      </c>
      <c r="I23" s="76">
        <v>0.95</v>
      </c>
      <c r="J23" s="75">
        <f t="shared" ref="J23:J28" si="8">+H23*I23*E23</f>
        <v>352260</v>
      </c>
      <c r="K23" s="75">
        <f>-R23*'Person A Mortgage'!C31</f>
        <v>-25078.407720144667</v>
      </c>
      <c r="L23" s="75">
        <v>0</v>
      </c>
      <c r="M23" s="75">
        <f t="shared" si="6"/>
        <v>407586.20172740542</v>
      </c>
      <c r="N23" s="75">
        <f>-(M23+G23+J23+K23+L23)*0.015</f>
        <v>-67251.723285021886</v>
      </c>
      <c r="O23" s="75">
        <f t="shared" ref="O23:O28" si="9">+SUM(J23:L23)+M23+N23+G23</f>
        <v>4416196.4957164377</v>
      </c>
      <c r="R23" s="75">
        <f>+R22</f>
        <v>7560000</v>
      </c>
      <c r="S23" s="75">
        <f>+R23+O23</f>
        <v>11976196.495716438</v>
      </c>
      <c r="T23" s="75">
        <f>O23</f>
        <v>4416196.4957164377</v>
      </c>
      <c r="U23" s="41"/>
    </row>
    <row r="24" spans="2:21" ht="46.5" x14ac:dyDescent="0.2">
      <c r="B24" s="38"/>
      <c r="C24" s="54">
        <f t="shared" si="2"/>
        <v>11</v>
      </c>
      <c r="D24" s="54">
        <f t="shared" si="3"/>
        <v>50</v>
      </c>
      <c r="E24" s="55">
        <f t="shared" si="4"/>
        <v>360000</v>
      </c>
      <c r="G24" s="75">
        <f t="shared" si="7"/>
        <v>4416196.4957164377</v>
      </c>
      <c r="H24" s="76">
        <v>1.03</v>
      </c>
      <c r="I24" s="76">
        <v>0.95</v>
      </c>
      <c r="J24" s="75">
        <f t="shared" si="8"/>
        <v>352260</v>
      </c>
      <c r="K24" s="75">
        <f>-R24*'Person A Mortgage'!C32</f>
        <v>-30436.667698978737</v>
      </c>
      <c r="L24" s="75">
        <v>0</v>
      </c>
      <c r="M24" s="75">
        <f t="shared" si="6"/>
        <v>473801.98280174594</v>
      </c>
      <c r="N24" s="75">
        <f>-(M24+G24+J24+K24+L24)*0.015</f>
        <v>-78177.327162288071</v>
      </c>
      <c r="O24" s="75">
        <f t="shared" si="9"/>
        <v>5133644.4836569168</v>
      </c>
      <c r="R24" s="75">
        <f>+R23</f>
        <v>7560000</v>
      </c>
      <c r="S24" s="75">
        <f>+R24+O24</f>
        <v>12693644.483656917</v>
      </c>
      <c r="T24" s="75">
        <f>O24</f>
        <v>5133644.4836569168</v>
      </c>
      <c r="U24" s="41"/>
    </row>
    <row r="25" spans="2:21" ht="46.5" x14ac:dyDescent="0.2">
      <c r="B25" s="38"/>
      <c r="C25" s="54">
        <f t="shared" si="2"/>
        <v>12</v>
      </c>
      <c r="D25" s="54">
        <f t="shared" si="3"/>
        <v>51</v>
      </c>
      <c r="E25" s="55">
        <f t="shared" si="4"/>
        <v>360000</v>
      </c>
      <c r="G25" s="75">
        <f t="shared" si="7"/>
        <v>5133644.4836569168</v>
      </c>
      <c r="H25" s="76">
        <v>1.03</v>
      </c>
      <c r="I25" s="76">
        <v>0.95</v>
      </c>
      <c r="J25" s="75">
        <f t="shared" si="8"/>
        <v>352260</v>
      </c>
      <c r="K25" s="75">
        <f>-R25*'Person A Mortgage'!C33</f>
        <v>-31279.439847231715</v>
      </c>
      <c r="L25" s="75">
        <v>0</v>
      </c>
      <c r="M25" s="75">
        <f t="shared" si="6"/>
        <v>545462.50438096852</v>
      </c>
      <c r="N25" s="75">
        <f>-(M25+G25+J25+K25+L25)*0.015</f>
        <v>-90001.313222859797</v>
      </c>
      <c r="O25" s="75">
        <f t="shared" si="9"/>
        <v>5910086.2349677943</v>
      </c>
      <c r="R25" s="75">
        <f>+R24</f>
        <v>7560000</v>
      </c>
      <c r="S25" s="75">
        <f>+R25+O25</f>
        <v>13470086.234967794</v>
      </c>
      <c r="T25" s="75">
        <f>O25</f>
        <v>5910086.2349677943</v>
      </c>
      <c r="U25" s="41"/>
    </row>
    <row r="26" spans="2:21" ht="46.5" x14ac:dyDescent="0.2">
      <c r="B26" s="38"/>
      <c r="C26" s="54">
        <f t="shared" si="2"/>
        <v>13</v>
      </c>
      <c r="D26" s="54">
        <f t="shared" si="3"/>
        <v>52</v>
      </c>
      <c r="E26" s="55">
        <f t="shared" si="4"/>
        <v>360000</v>
      </c>
      <c r="G26" s="75">
        <f t="shared" si="7"/>
        <v>5910086.2349677943</v>
      </c>
      <c r="H26" s="76">
        <v>1.03</v>
      </c>
      <c r="I26" s="76">
        <v>0.95</v>
      </c>
      <c r="J26" s="75">
        <f t="shared" si="8"/>
        <v>352260</v>
      </c>
      <c r="K26" s="75">
        <f>-R26*'Person A Mortgage'!C34</f>
        <v>-34633.507853402603</v>
      </c>
      <c r="L26" s="75">
        <v>0</v>
      </c>
      <c r="M26" s="75">
        <f t="shared" si="6"/>
        <v>622771.27271143917</v>
      </c>
      <c r="N26" s="75">
        <f>-(M26+G26+J26+K26+L26)*0.015</f>
        <v>-102757.25999738746</v>
      </c>
      <c r="O26" s="75">
        <f t="shared" si="9"/>
        <v>6747726.7398284432</v>
      </c>
      <c r="R26" s="75">
        <f>+R25</f>
        <v>7560000</v>
      </c>
      <c r="S26" s="75">
        <f>+R26+O26</f>
        <v>14307726.739828443</v>
      </c>
      <c r="T26" s="75">
        <f>O26</f>
        <v>6747726.7398284432</v>
      </c>
      <c r="U26" s="41"/>
    </row>
    <row r="27" spans="2:21" ht="46.5" x14ac:dyDescent="0.2">
      <c r="B27" s="38"/>
      <c r="C27" s="54">
        <f t="shared" si="2"/>
        <v>14</v>
      </c>
      <c r="D27" s="54">
        <f t="shared" si="3"/>
        <v>53</v>
      </c>
      <c r="E27" s="55">
        <f t="shared" si="4"/>
        <v>360000</v>
      </c>
      <c r="G27" s="75">
        <f t="shared" si="7"/>
        <v>6747726.7398284432</v>
      </c>
      <c r="H27" s="76">
        <v>1.03</v>
      </c>
      <c r="I27" s="76">
        <v>0.95</v>
      </c>
      <c r="J27" s="75">
        <f t="shared" si="8"/>
        <v>352260</v>
      </c>
      <c r="K27" s="75">
        <f>-R27*'Person A Mortgage'!C35</f>
        <v>-35636.363636364149</v>
      </c>
      <c r="L27" s="75">
        <v>0</v>
      </c>
      <c r="M27" s="75">
        <f t="shared" si="6"/>
        <v>706435.03761920799</v>
      </c>
      <c r="N27" s="75">
        <f>-(M27+G27+J27+K27+L27)*0.015</f>
        <v>-116561.7812071693</v>
      </c>
      <c r="O27" s="75">
        <f t="shared" si="9"/>
        <v>7654223.6326041175</v>
      </c>
      <c r="R27" s="75">
        <f>+R26</f>
        <v>7560000</v>
      </c>
      <c r="S27" s="75">
        <f>+R27+O27</f>
        <v>15214223.632604118</v>
      </c>
      <c r="T27" s="75">
        <f>O27</f>
        <v>7654223.6326041175</v>
      </c>
      <c r="U27" s="41"/>
    </row>
    <row r="28" spans="2:21" ht="46.5" x14ac:dyDescent="0.2">
      <c r="B28" s="38"/>
      <c r="C28" s="54">
        <f t="shared" si="2"/>
        <v>15</v>
      </c>
      <c r="D28" s="54">
        <f t="shared" si="3"/>
        <v>54</v>
      </c>
      <c r="E28" s="55">
        <f t="shared" si="4"/>
        <v>360000</v>
      </c>
      <c r="G28" s="75">
        <f t="shared" si="7"/>
        <v>7654223.6326041175</v>
      </c>
      <c r="H28" s="76">
        <v>1.03</v>
      </c>
      <c r="I28" s="76">
        <v>0.95</v>
      </c>
      <c r="J28" s="75">
        <f t="shared" si="8"/>
        <v>352260</v>
      </c>
      <c r="K28" s="75">
        <f>-R28*'Person A Mortgage'!C36</f>
        <v>-39306.759098787334</v>
      </c>
      <c r="L28" s="75">
        <v>0</v>
      </c>
      <c r="M28" s="75">
        <f t="shared" si="6"/>
        <v>796717.68735053297</v>
      </c>
      <c r="N28" s="75">
        <f>-(M28+G28+J28+K28+L28)*0.015</f>
        <v>-131458.41841283796</v>
      </c>
      <c r="O28" s="75">
        <f t="shared" si="9"/>
        <v>8632436.1424430255</v>
      </c>
      <c r="R28" s="75">
        <f>+R27</f>
        <v>7560000</v>
      </c>
      <c r="S28" s="75">
        <f>+R28+O28</f>
        <v>16192436.142443025</v>
      </c>
      <c r="T28" s="75">
        <f>O28</f>
        <v>8632436.1424430255</v>
      </c>
      <c r="U28" s="41"/>
    </row>
    <row r="29" spans="2:21" x14ac:dyDescent="0.2">
      <c r="B29" s="38"/>
      <c r="U29" s="41"/>
    </row>
    <row r="30" spans="2:21" x14ac:dyDescent="0.2">
      <c r="B30" s="38"/>
      <c r="C30" s="58" t="s">
        <v>71</v>
      </c>
      <c r="D30" s="58"/>
      <c r="E30" s="58"/>
      <c r="G30" s="59">
        <f>+SUM(E14:E28)</f>
        <v>5400000</v>
      </c>
      <c r="M30" s="44" t="s">
        <v>68</v>
      </c>
      <c r="N30" s="60"/>
      <c r="O30" s="59">
        <f>+O28</f>
        <v>8632436.1424430255</v>
      </c>
      <c r="U30" s="41"/>
    </row>
    <row r="31" spans="2:21" x14ac:dyDescent="0.2"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3"/>
    </row>
  </sheetData>
  <mergeCells count="13">
    <mergeCell ref="N6:T7"/>
    <mergeCell ref="C9:E9"/>
    <mergeCell ref="G11:O11"/>
    <mergeCell ref="G12:L12"/>
    <mergeCell ref="N12:O12"/>
    <mergeCell ref="C30:E30"/>
    <mergeCell ref="M30:N30"/>
    <mergeCell ref="C5:G5"/>
    <mergeCell ref="C6:F6"/>
    <mergeCell ref="K6:M6"/>
    <mergeCell ref="C7:F7"/>
    <mergeCell ref="K7:M7"/>
    <mergeCell ref="C8:E8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C25E-3AA0-433E-90FA-94532CE87975}">
  <dimension ref="A1:V31"/>
  <sheetViews>
    <sheetView showGridLines="0" topLeftCell="A24" zoomScale="93" zoomScaleNormal="85" workbookViewId="0">
      <selection activeCell="T14" sqref="T14"/>
    </sheetView>
  </sheetViews>
  <sheetFormatPr defaultColWidth="9.140625" defaultRowHeight="11.25" x14ac:dyDescent="0.2"/>
  <cols>
    <col min="1" max="1" width="9.140625" style="34"/>
    <col min="2" max="2" width="1.5703125" style="34" customWidth="1"/>
    <col min="3" max="3" width="6.28515625" style="34" customWidth="1"/>
    <col min="4" max="4" width="4.7109375" style="34" customWidth="1"/>
    <col min="5" max="5" width="9.140625" style="34" customWidth="1"/>
    <col min="6" max="6" width="1.5703125" style="34" customWidth="1"/>
    <col min="7" max="7" width="14.28515625" style="34" bestFit="1" customWidth="1"/>
    <col min="8" max="8" width="11.85546875" style="34" customWidth="1"/>
    <col min="9" max="10" width="10.140625" style="34" customWidth="1"/>
    <col min="11" max="11" width="8.140625" style="34" customWidth="1"/>
    <col min="12" max="12" width="9.85546875" style="34" customWidth="1"/>
    <col min="13" max="13" width="8.42578125" style="34" customWidth="1"/>
    <col min="14" max="14" width="12.7109375" style="34" customWidth="1"/>
    <col min="15" max="15" width="10.140625" style="34" bestFit="1" customWidth="1"/>
    <col min="16" max="17" width="2.28515625" style="34" customWidth="1"/>
    <col min="18" max="18" width="8.42578125" style="34" customWidth="1"/>
    <col min="19" max="19" width="9" style="34" bestFit="1" customWidth="1"/>
    <col min="20" max="20" width="8.42578125" style="34" customWidth="1"/>
    <col min="21" max="21" width="2" style="34" customWidth="1"/>
    <col min="22" max="16384" width="9.140625" style="34"/>
  </cols>
  <sheetData>
    <row r="1" spans="1:22" x14ac:dyDescent="0.2">
      <c r="A1" s="34" t="s">
        <v>72</v>
      </c>
    </row>
    <row r="4" spans="1:22" x14ac:dyDescent="0.2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7"/>
    </row>
    <row r="5" spans="1:22" x14ac:dyDescent="0.2">
      <c r="B5" s="38"/>
      <c r="C5" s="39" t="s">
        <v>44</v>
      </c>
      <c r="D5" s="39"/>
      <c r="E5" s="39"/>
      <c r="F5" s="39"/>
      <c r="G5" s="39"/>
      <c r="H5" s="40"/>
      <c r="I5" s="40"/>
      <c r="J5" s="40" t="s">
        <v>45</v>
      </c>
      <c r="U5" s="41"/>
    </row>
    <row r="6" spans="1:22" x14ac:dyDescent="0.2">
      <c r="B6" s="38"/>
      <c r="C6" s="42" t="s">
        <v>46</v>
      </c>
      <c r="D6" s="42"/>
      <c r="E6" s="42"/>
      <c r="F6" s="42"/>
      <c r="G6" s="43">
        <v>360000</v>
      </c>
      <c r="J6" s="34" t="s">
        <v>78</v>
      </c>
      <c r="K6" s="44" t="s">
        <v>83</v>
      </c>
      <c r="L6" s="44"/>
      <c r="M6" s="44"/>
      <c r="N6" s="77"/>
      <c r="O6" s="77"/>
      <c r="P6" s="77"/>
      <c r="Q6" s="77"/>
      <c r="R6" s="77"/>
      <c r="S6" s="77"/>
      <c r="T6" s="77"/>
      <c r="U6" s="41"/>
      <c r="V6" s="68"/>
    </row>
    <row r="7" spans="1:22" x14ac:dyDescent="0.2">
      <c r="B7" s="38"/>
      <c r="C7" s="42" t="s">
        <v>48</v>
      </c>
      <c r="D7" s="42"/>
      <c r="E7" s="42"/>
      <c r="F7" s="42"/>
      <c r="G7" s="34">
        <v>21</v>
      </c>
      <c r="J7" s="34" t="s">
        <v>79</v>
      </c>
      <c r="K7" s="44" t="s">
        <v>82</v>
      </c>
      <c r="L7" s="44"/>
      <c r="M7" s="44"/>
      <c r="N7" s="77"/>
      <c r="O7" s="77"/>
      <c r="P7" s="77"/>
      <c r="Q7" s="77"/>
      <c r="R7" s="77"/>
      <c r="S7" s="77"/>
      <c r="T7" s="77"/>
      <c r="U7" s="41"/>
    </row>
    <row r="8" spans="1:22" x14ac:dyDescent="0.2">
      <c r="B8" s="38"/>
      <c r="C8" s="42" t="s">
        <v>50</v>
      </c>
      <c r="D8" s="42"/>
      <c r="E8" s="42"/>
      <c r="F8" s="45"/>
      <c r="G8" s="43">
        <f>+G6*G7</f>
        <v>7560000</v>
      </c>
      <c r="U8" s="41"/>
    </row>
    <row r="9" spans="1:22" x14ac:dyDescent="0.2">
      <c r="B9" s="38"/>
      <c r="C9" s="42" t="s">
        <v>51</v>
      </c>
      <c r="D9" s="42"/>
      <c r="E9" s="42"/>
      <c r="F9" s="45"/>
      <c r="G9" s="34" t="s">
        <v>52</v>
      </c>
      <c r="U9" s="41"/>
    </row>
    <row r="10" spans="1:22" x14ac:dyDescent="0.2">
      <c r="B10" s="38"/>
      <c r="U10" s="41"/>
    </row>
    <row r="11" spans="1:22" ht="15" x14ac:dyDescent="0.25">
      <c r="B11" s="38"/>
      <c r="G11" s="46" t="s">
        <v>53</v>
      </c>
      <c r="H11" s="46"/>
      <c r="I11" s="46"/>
      <c r="J11" s="46"/>
      <c r="K11" s="46"/>
      <c r="L11" s="46"/>
      <c r="M11" s="46"/>
      <c r="N11" s="46"/>
      <c r="O11" s="46"/>
      <c r="U11" s="41"/>
    </row>
    <row r="12" spans="1:22" x14ac:dyDescent="0.2">
      <c r="B12" s="38"/>
      <c r="G12" s="47" t="s">
        <v>54</v>
      </c>
      <c r="H12" s="47"/>
      <c r="I12" s="47"/>
      <c r="J12" s="47"/>
      <c r="K12" s="47"/>
      <c r="L12" s="47"/>
      <c r="M12" s="48" t="s">
        <v>55</v>
      </c>
      <c r="N12" s="47" t="s">
        <v>56</v>
      </c>
      <c r="O12" s="47"/>
      <c r="P12" s="49"/>
      <c r="Q12" s="49"/>
      <c r="R12" s="49"/>
      <c r="S12" s="49"/>
      <c r="U12" s="41"/>
    </row>
    <row r="13" spans="1:22" ht="45" x14ac:dyDescent="0.2">
      <c r="B13" s="38"/>
      <c r="C13" s="50" t="s">
        <v>57</v>
      </c>
      <c r="D13" s="50" t="s">
        <v>58</v>
      </c>
      <c r="E13" s="50" t="s">
        <v>59</v>
      </c>
      <c r="F13" s="51"/>
      <c r="G13" s="50" t="s">
        <v>60</v>
      </c>
      <c r="H13" s="50" t="s">
        <v>61</v>
      </c>
      <c r="I13" s="50" t="s">
        <v>62</v>
      </c>
      <c r="J13" s="50" t="s">
        <v>63</v>
      </c>
      <c r="K13" s="50" t="s">
        <v>64</v>
      </c>
      <c r="L13" s="50" t="s">
        <v>65</v>
      </c>
      <c r="M13" s="50" t="s">
        <v>66</v>
      </c>
      <c r="N13" s="50" t="s">
        <v>67</v>
      </c>
      <c r="O13" s="50" t="s">
        <v>68</v>
      </c>
      <c r="R13" s="50" t="s">
        <v>69</v>
      </c>
      <c r="S13" s="50" t="s">
        <v>51</v>
      </c>
      <c r="T13" s="50" t="s">
        <v>70</v>
      </c>
      <c r="U13" s="41"/>
    </row>
    <row r="14" spans="1:22" ht="18" customHeight="1" x14ac:dyDescent="0.2">
      <c r="B14" s="38"/>
      <c r="C14" s="52">
        <v>1</v>
      </c>
      <c r="D14" s="52">
        <v>40</v>
      </c>
      <c r="E14" s="53">
        <v>360000</v>
      </c>
      <c r="G14" s="64">
        <v>0</v>
      </c>
      <c r="H14" s="76">
        <v>0.6</v>
      </c>
      <c r="I14" s="78">
        <v>0.98499999999999999</v>
      </c>
      <c r="J14" s="75">
        <f>+H14*I14*E14</f>
        <v>212760</v>
      </c>
      <c r="K14" s="75">
        <f>-R14*'Person A Mortgage'!C22</f>
        <v>-12813.559322033696</v>
      </c>
      <c r="L14" s="75">
        <v>0</v>
      </c>
      <c r="M14" s="75">
        <f>+(G14+SUM(J14:L14))*0.1</f>
        <v>19994.644067796631</v>
      </c>
      <c r="N14" s="75">
        <f>-(M14+G14+J14+K14+L14)*0.05</f>
        <v>-10997.054237288148</v>
      </c>
      <c r="O14" s="75">
        <f>+SUM(J14:L14)+M14+N14+G14</f>
        <v>208944.03050847477</v>
      </c>
      <c r="R14" s="75">
        <f>+$G$8</f>
        <v>7560000</v>
      </c>
      <c r="S14" s="75">
        <f>+R14+O14</f>
        <v>7768944.0305084744</v>
      </c>
      <c r="T14" s="75">
        <f>0.8*O14</f>
        <v>167155.22440677983</v>
      </c>
      <c r="U14" s="41"/>
    </row>
    <row r="15" spans="1:22" ht="27" customHeight="1" x14ac:dyDescent="0.2">
      <c r="B15" s="38"/>
      <c r="C15" s="54">
        <f>+C14+1</f>
        <v>2</v>
      </c>
      <c r="D15" s="54">
        <f>+$D$14+C15-1</f>
        <v>41</v>
      </c>
      <c r="E15" s="55">
        <f>+E14</f>
        <v>360000</v>
      </c>
      <c r="G15" s="75">
        <f>+O14</f>
        <v>208944.03050847477</v>
      </c>
      <c r="H15" s="76">
        <v>0.6</v>
      </c>
      <c r="I15" s="78">
        <v>0.98499999999999999</v>
      </c>
      <c r="J15" s="75">
        <f t="shared" ref="J15:J28" si="0">+H15*I15*E15</f>
        <v>212760</v>
      </c>
      <c r="K15" s="75">
        <f>-R15*'Person A Mortgage'!C23</f>
        <v>-14977.711738485184</v>
      </c>
      <c r="L15" s="75">
        <v>0</v>
      </c>
      <c r="M15" s="75">
        <f>+(G15+SUM(J15:L15))*0.1</f>
        <v>40672.631876998959</v>
      </c>
      <c r="N15" s="75">
        <f t="shared" ref="N15:N28" si="1">-(M15+G15+J15+K15+L15)*0.05</f>
        <v>-22369.947532349426</v>
      </c>
      <c r="O15" s="75">
        <f>+SUM(J15:L15)+M15+N15+G15</f>
        <v>425029.00311463908</v>
      </c>
      <c r="R15" s="75">
        <f>+R14</f>
        <v>7560000</v>
      </c>
      <c r="S15" s="75">
        <f>+R15+O15</f>
        <v>7985029.0031146389</v>
      </c>
      <c r="T15" s="75">
        <f>0.8*O15</f>
        <v>340023.2024917113</v>
      </c>
      <c r="U15" s="41"/>
    </row>
    <row r="16" spans="1:22" x14ac:dyDescent="0.2">
      <c r="B16" s="38"/>
      <c r="C16" s="56">
        <f t="shared" ref="C16:C28" si="2">+C15+1</f>
        <v>3</v>
      </c>
      <c r="D16" s="56">
        <f t="shared" ref="D16:D28" si="3">+$D$14+C16-1</f>
        <v>42</v>
      </c>
      <c r="E16" s="57">
        <f t="shared" ref="E16:E28" si="4">+E15</f>
        <v>360000</v>
      </c>
      <c r="G16" s="75">
        <f t="shared" ref="G16:G28" si="5">+O15</f>
        <v>425029.00311463908</v>
      </c>
      <c r="H16" s="76">
        <v>0.6</v>
      </c>
      <c r="I16" s="78">
        <v>0.98499999999999999</v>
      </c>
      <c r="J16" s="75">
        <f t="shared" si="0"/>
        <v>212760</v>
      </c>
      <c r="K16" s="75">
        <f>-R16*'Person A Mortgage'!C24</f>
        <v>-15326.913329953792</v>
      </c>
      <c r="L16" s="75">
        <v>0</v>
      </c>
      <c r="M16" s="75">
        <f>+(G16+SUM(J16:L16))*0.1</f>
        <v>62246.20897846853</v>
      </c>
      <c r="N16" s="75">
        <f t="shared" si="1"/>
        <v>-34235.414938157694</v>
      </c>
      <c r="O16" s="75">
        <f>+SUM(J16:L16)+M16+N16+G16</f>
        <v>650472.88382499618</v>
      </c>
      <c r="R16" s="75">
        <f>+R15</f>
        <v>7560000</v>
      </c>
      <c r="S16" s="75">
        <f>+R16+O16</f>
        <v>8210472.8838249967</v>
      </c>
      <c r="T16" s="75">
        <f>O16</f>
        <v>650472.88382499618</v>
      </c>
      <c r="U16" s="41"/>
    </row>
    <row r="17" spans="2:21" ht="46.5" customHeight="1" x14ac:dyDescent="0.2">
      <c r="B17" s="38"/>
      <c r="C17" s="56">
        <f t="shared" si="2"/>
        <v>4</v>
      </c>
      <c r="D17" s="56">
        <f t="shared" si="3"/>
        <v>43</v>
      </c>
      <c r="E17" s="57">
        <f t="shared" si="4"/>
        <v>360000</v>
      </c>
      <c r="G17" s="75">
        <f t="shared" si="5"/>
        <v>650472.88382499618</v>
      </c>
      <c r="H17" s="76">
        <v>0.8</v>
      </c>
      <c r="I17" s="78">
        <v>0.98499999999999999</v>
      </c>
      <c r="J17" s="75">
        <f t="shared" si="0"/>
        <v>283680</v>
      </c>
      <c r="K17" s="75">
        <f>-R17*'Person A Mortgage'!C25</f>
        <v>-17649.805447469917</v>
      </c>
      <c r="L17" s="75">
        <v>0</v>
      </c>
      <c r="M17" s="75">
        <f t="shared" ref="M17:M28" si="6">+(G17+SUM(J17:L17))*0.1</f>
        <v>91650.307837752625</v>
      </c>
      <c r="N17" s="75">
        <f t="shared" si="1"/>
        <v>-50407.669310763944</v>
      </c>
      <c r="O17" s="75">
        <f t="shared" ref="O15:O28" si="7">+SUM(J17:L17)+M17+N17+G17</f>
        <v>957745.71690451493</v>
      </c>
      <c r="R17" s="75">
        <f>+R16</f>
        <v>7560000</v>
      </c>
      <c r="S17" s="75">
        <f>+R17+O17</f>
        <v>8517745.7169045154</v>
      </c>
      <c r="T17" s="75">
        <f>O17</f>
        <v>957745.71690451493</v>
      </c>
      <c r="U17" s="41"/>
    </row>
    <row r="18" spans="2:21" ht="46.5" customHeight="1" x14ac:dyDescent="0.2">
      <c r="B18" s="38"/>
      <c r="C18" s="56">
        <f t="shared" si="2"/>
        <v>5</v>
      </c>
      <c r="D18" s="56">
        <f t="shared" si="3"/>
        <v>44</v>
      </c>
      <c r="E18" s="57">
        <f t="shared" si="4"/>
        <v>360000</v>
      </c>
      <c r="G18" s="75">
        <f t="shared" si="5"/>
        <v>957745.71690451493</v>
      </c>
      <c r="H18" s="76">
        <v>0.8</v>
      </c>
      <c r="I18" s="78">
        <v>0.98499999999999999</v>
      </c>
      <c r="J18" s="75">
        <f t="shared" si="0"/>
        <v>283680</v>
      </c>
      <c r="K18" s="75">
        <f>-R18*'Person A Mortgage'!C26</f>
        <v>-18076.514346440712</v>
      </c>
      <c r="L18" s="75">
        <v>0</v>
      </c>
      <c r="M18" s="75">
        <f t="shared" si="6"/>
        <v>122334.92025580742</v>
      </c>
      <c r="N18" s="75">
        <f>-(M18+G18+J18+K18+L18)*0.05</f>
        <v>-67284.206140694077</v>
      </c>
      <c r="O18" s="75">
        <f t="shared" si="7"/>
        <v>1278399.9166731876</v>
      </c>
      <c r="R18" s="75">
        <f>+R17</f>
        <v>7560000</v>
      </c>
      <c r="S18" s="75">
        <f>+R18+O18</f>
        <v>8838399.9166731872</v>
      </c>
      <c r="T18" s="75">
        <f>O18</f>
        <v>1278399.9166731876</v>
      </c>
      <c r="U18" s="41"/>
    </row>
    <row r="19" spans="2:21" ht="28.5" customHeight="1" x14ac:dyDescent="0.2">
      <c r="B19" s="38"/>
      <c r="C19" s="56">
        <f t="shared" si="2"/>
        <v>6</v>
      </c>
      <c r="D19" s="56">
        <f t="shared" si="3"/>
        <v>45</v>
      </c>
      <c r="E19" s="57">
        <f t="shared" si="4"/>
        <v>360000</v>
      </c>
      <c r="G19" s="75">
        <f t="shared" si="5"/>
        <v>1278399.9166731876</v>
      </c>
      <c r="H19" s="76">
        <v>0.8</v>
      </c>
      <c r="I19" s="78">
        <v>0.98499999999999999</v>
      </c>
      <c r="J19" s="75">
        <f t="shared" si="0"/>
        <v>283680</v>
      </c>
      <c r="K19" s="75">
        <f>-R19*'Person A Mortgage'!C27</f>
        <v>-18524.367002449442</v>
      </c>
      <c r="L19" s="75">
        <v>0</v>
      </c>
      <c r="M19" s="75">
        <f t="shared" si="6"/>
        <v>154355.55496707381</v>
      </c>
      <c r="N19" s="75">
        <f t="shared" si="1"/>
        <v>-84895.555231890597</v>
      </c>
      <c r="O19" s="75">
        <f t="shared" si="7"/>
        <v>1613015.5494059215</v>
      </c>
      <c r="R19" s="75">
        <f>+R18</f>
        <v>7560000</v>
      </c>
      <c r="S19" s="75">
        <f>+R19+O19</f>
        <v>9173015.5494059213</v>
      </c>
      <c r="T19" s="75">
        <f>O19</f>
        <v>1613015.5494059215</v>
      </c>
      <c r="U19" s="41"/>
    </row>
    <row r="20" spans="2:21" ht="32.25" customHeight="1" x14ac:dyDescent="0.2">
      <c r="B20" s="38"/>
      <c r="C20" s="56">
        <f t="shared" si="2"/>
        <v>7</v>
      </c>
      <c r="D20" s="56">
        <f t="shared" si="3"/>
        <v>46</v>
      </c>
      <c r="E20" s="57">
        <f t="shared" si="4"/>
        <v>360000</v>
      </c>
      <c r="G20" s="75">
        <f t="shared" si="5"/>
        <v>1613015.5494059215</v>
      </c>
      <c r="H20" s="76">
        <v>0.95</v>
      </c>
      <c r="I20" s="78">
        <v>0.98499999999999999</v>
      </c>
      <c r="J20" s="75">
        <f t="shared" si="0"/>
        <v>336870</v>
      </c>
      <c r="K20" s="75">
        <f>-R20*'Person A Mortgage'!C28</f>
        <v>-21099.637175551135</v>
      </c>
      <c r="L20" s="75">
        <v>0</v>
      </c>
      <c r="M20" s="75">
        <f t="shared" si="6"/>
        <v>192878.59122303704</v>
      </c>
      <c r="N20" s="75">
        <f t="shared" si="1"/>
        <v>-106083.22517267038</v>
      </c>
      <c r="O20" s="75">
        <f t="shared" si="7"/>
        <v>2015581.2782807369</v>
      </c>
      <c r="R20" s="75">
        <f>+R19</f>
        <v>7560000</v>
      </c>
      <c r="S20" s="75">
        <f>+R20+O20</f>
        <v>9575581.2782807369</v>
      </c>
      <c r="T20" s="75">
        <f>O20</f>
        <v>2015581.2782807369</v>
      </c>
      <c r="U20" s="41"/>
    </row>
    <row r="21" spans="2:21" ht="33" customHeight="1" x14ac:dyDescent="0.2">
      <c r="B21" s="38"/>
      <c r="C21" s="56">
        <f t="shared" si="2"/>
        <v>8</v>
      </c>
      <c r="D21" s="56">
        <f t="shared" si="3"/>
        <v>47</v>
      </c>
      <c r="E21" s="57">
        <f t="shared" si="4"/>
        <v>360000</v>
      </c>
      <c r="G21" s="75">
        <f t="shared" si="5"/>
        <v>2015581.2782807369</v>
      </c>
      <c r="H21" s="76">
        <v>0.95</v>
      </c>
      <c r="I21" s="78">
        <v>0.98499999999999999</v>
      </c>
      <c r="J21" s="75">
        <f t="shared" si="0"/>
        <v>336870</v>
      </c>
      <c r="K21" s="75">
        <f>-R21*'Person A Mortgage'!C29</f>
        <v>-23800.801373783255</v>
      </c>
      <c r="L21" s="75">
        <v>0</v>
      </c>
      <c r="M21" s="75">
        <f t="shared" si="6"/>
        <v>232865.04769069536</v>
      </c>
      <c r="N21" s="75">
        <f t="shared" si="1"/>
        <v>-128075.77622988245</v>
      </c>
      <c r="O21" s="75">
        <f t="shared" si="7"/>
        <v>2433439.7483677664</v>
      </c>
      <c r="R21" s="75">
        <f>+R20</f>
        <v>7560000</v>
      </c>
      <c r="S21" s="75">
        <f>+R21+O21</f>
        <v>9993439.7483677659</v>
      </c>
      <c r="T21" s="75">
        <f>O21</f>
        <v>2433439.7483677664</v>
      </c>
      <c r="U21" s="41"/>
    </row>
    <row r="22" spans="2:21" ht="46.5" customHeight="1" x14ac:dyDescent="0.2">
      <c r="B22" s="38"/>
      <c r="C22" s="54">
        <f t="shared" si="2"/>
        <v>9</v>
      </c>
      <c r="D22" s="54">
        <f t="shared" si="3"/>
        <v>48</v>
      </c>
      <c r="E22" s="55">
        <f t="shared" si="4"/>
        <v>360000</v>
      </c>
      <c r="G22" s="75">
        <f t="shared" si="5"/>
        <v>2433439.7483677664</v>
      </c>
      <c r="H22" s="76">
        <v>0.95</v>
      </c>
      <c r="I22" s="78">
        <v>0.98499999999999999</v>
      </c>
      <c r="J22" s="75">
        <f t="shared" si="0"/>
        <v>336870</v>
      </c>
      <c r="K22" s="75">
        <f>-R22*'Person A Mortgage'!C30</f>
        <v>-24422.907488986639</v>
      </c>
      <c r="L22" s="75">
        <v>0</v>
      </c>
      <c r="M22" s="75">
        <f t="shared" si="6"/>
        <v>274588.68408787803</v>
      </c>
      <c r="N22" s="75">
        <f t="shared" si="1"/>
        <v>-151023.7762483329</v>
      </c>
      <c r="O22" s="75">
        <f t="shared" si="7"/>
        <v>2869451.748718325</v>
      </c>
      <c r="R22" s="75">
        <f>+R21</f>
        <v>7560000</v>
      </c>
      <c r="S22" s="75">
        <f>+R22+O22</f>
        <v>10429451.748718325</v>
      </c>
      <c r="T22" s="75">
        <f>O22</f>
        <v>2869451.748718325</v>
      </c>
      <c r="U22" s="41"/>
    </row>
    <row r="23" spans="2:21" ht="46.5" customHeight="1" x14ac:dyDescent="0.2">
      <c r="B23" s="38"/>
      <c r="C23" s="54">
        <f t="shared" si="2"/>
        <v>10</v>
      </c>
      <c r="D23" s="54">
        <f t="shared" si="3"/>
        <v>49</v>
      </c>
      <c r="E23" s="55">
        <f t="shared" si="4"/>
        <v>360000</v>
      </c>
      <c r="G23" s="75">
        <f t="shared" si="5"/>
        <v>2869451.748718325</v>
      </c>
      <c r="H23" s="76">
        <v>0.95</v>
      </c>
      <c r="I23" s="78">
        <v>0.98499999999999999</v>
      </c>
      <c r="J23" s="75">
        <f t="shared" si="0"/>
        <v>336870</v>
      </c>
      <c r="K23" s="75">
        <f>-R23*'Person A Mortgage'!C31</f>
        <v>-25078.407720144667</v>
      </c>
      <c r="L23" s="75">
        <v>0</v>
      </c>
      <c r="M23" s="75">
        <f t="shared" si="6"/>
        <v>318124.33409981802</v>
      </c>
      <c r="N23" s="75">
        <f t="shared" si="1"/>
        <v>-174968.38375489993</v>
      </c>
      <c r="O23" s="75">
        <f t="shared" si="7"/>
        <v>3324399.2913430985</v>
      </c>
      <c r="R23" s="75">
        <f>+R22</f>
        <v>7560000</v>
      </c>
      <c r="S23" s="75">
        <f>+R23+O23</f>
        <v>10884399.291343099</v>
      </c>
      <c r="T23" s="75">
        <f>O23</f>
        <v>3324399.2913430985</v>
      </c>
      <c r="U23" s="41"/>
    </row>
    <row r="24" spans="2:21" ht="46.5" customHeight="1" x14ac:dyDescent="0.2">
      <c r="B24" s="38"/>
      <c r="C24" s="54">
        <f t="shared" si="2"/>
        <v>11</v>
      </c>
      <c r="D24" s="54">
        <f t="shared" si="3"/>
        <v>50</v>
      </c>
      <c r="E24" s="55">
        <f t="shared" si="4"/>
        <v>360000</v>
      </c>
      <c r="G24" s="75">
        <f t="shared" si="5"/>
        <v>3324399.2913430985</v>
      </c>
      <c r="H24" s="76">
        <v>1</v>
      </c>
      <c r="I24" s="78">
        <v>0.98499999999999999</v>
      </c>
      <c r="J24" s="75">
        <f t="shared" si="0"/>
        <v>354600</v>
      </c>
      <c r="K24" s="75">
        <f>-R24*'Person A Mortgage'!C32</f>
        <v>-30436.667698978737</v>
      </c>
      <c r="L24" s="75">
        <v>0</v>
      </c>
      <c r="M24" s="75">
        <f t="shared" si="6"/>
        <v>364856.26236441196</v>
      </c>
      <c r="N24" s="75">
        <f t="shared" si="1"/>
        <v>-200670.94430042658</v>
      </c>
      <c r="O24" s="75">
        <f t="shared" si="7"/>
        <v>3812747.9417081052</v>
      </c>
      <c r="R24" s="75">
        <f>+R23</f>
        <v>7560000</v>
      </c>
      <c r="S24" s="75">
        <f>+R24+O24</f>
        <v>11372747.941708105</v>
      </c>
      <c r="T24" s="75">
        <f>O24</f>
        <v>3812747.9417081052</v>
      </c>
      <c r="U24" s="41"/>
    </row>
    <row r="25" spans="2:21" ht="46.5" customHeight="1" x14ac:dyDescent="0.2">
      <c r="B25" s="38"/>
      <c r="C25" s="54">
        <f t="shared" si="2"/>
        <v>12</v>
      </c>
      <c r="D25" s="54">
        <f t="shared" si="3"/>
        <v>51</v>
      </c>
      <c r="E25" s="55">
        <f t="shared" si="4"/>
        <v>360000</v>
      </c>
      <c r="G25" s="75">
        <f t="shared" si="5"/>
        <v>3812747.9417081052</v>
      </c>
      <c r="H25" s="76">
        <v>1</v>
      </c>
      <c r="I25" s="78">
        <v>0.98499999999999999</v>
      </c>
      <c r="J25" s="75">
        <f t="shared" si="0"/>
        <v>354600</v>
      </c>
      <c r="K25" s="75">
        <f>-R25*'Person A Mortgage'!C33</f>
        <v>-31279.439847231715</v>
      </c>
      <c r="L25" s="75">
        <v>0</v>
      </c>
      <c r="M25" s="75">
        <f t="shared" si="6"/>
        <v>413606.85018608737</v>
      </c>
      <c r="N25" s="75">
        <f t="shared" si="1"/>
        <v>-227483.76760234806</v>
      </c>
      <c r="O25" s="75">
        <f t="shared" si="7"/>
        <v>4322191.5844446123</v>
      </c>
      <c r="R25" s="75">
        <f>+R24</f>
        <v>7560000</v>
      </c>
      <c r="S25" s="75">
        <f>+R25+O25</f>
        <v>11882191.584444612</v>
      </c>
      <c r="T25" s="75">
        <f>O25</f>
        <v>4322191.5844446123</v>
      </c>
      <c r="U25" s="41"/>
    </row>
    <row r="26" spans="2:21" ht="46.5" customHeight="1" x14ac:dyDescent="0.2">
      <c r="B26" s="38"/>
      <c r="C26" s="54">
        <f t="shared" si="2"/>
        <v>13</v>
      </c>
      <c r="D26" s="54">
        <f t="shared" si="3"/>
        <v>52</v>
      </c>
      <c r="E26" s="55">
        <f t="shared" si="4"/>
        <v>360000</v>
      </c>
      <c r="G26" s="75">
        <f t="shared" si="5"/>
        <v>4322191.5844446123</v>
      </c>
      <c r="H26" s="76">
        <v>1</v>
      </c>
      <c r="I26" s="78">
        <v>0.98499999999999999</v>
      </c>
      <c r="J26" s="75">
        <f t="shared" si="0"/>
        <v>354600</v>
      </c>
      <c r="K26" s="75">
        <f>-R26*'Person A Mortgage'!C34</f>
        <v>-34633.507853402603</v>
      </c>
      <c r="L26" s="75">
        <v>0</v>
      </c>
      <c r="M26" s="75">
        <f t="shared" si="6"/>
        <v>464215.807659121</v>
      </c>
      <c r="N26" s="75">
        <f t="shared" si="1"/>
        <v>-255318.69421251654</v>
      </c>
      <c r="O26" s="75">
        <f t="shared" si="7"/>
        <v>4851055.190037814</v>
      </c>
      <c r="R26" s="75">
        <f>+R25</f>
        <v>7560000</v>
      </c>
      <c r="S26" s="75">
        <f>+R26+O26</f>
        <v>12411055.190037813</v>
      </c>
      <c r="T26" s="75">
        <f>O26</f>
        <v>4851055.190037814</v>
      </c>
      <c r="U26" s="41"/>
    </row>
    <row r="27" spans="2:21" ht="46.5" customHeight="1" x14ac:dyDescent="0.2">
      <c r="B27" s="38"/>
      <c r="C27" s="54">
        <f t="shared" si="2"/>
        <v>14</v>
      </c>
      <c r="D27" s="54">
        <f t="shared" si="3"/>
        <v>53</v>
      </c>
      <c r="E27" s="55">
        <f t="shared" si="4"/>
        <v>360000</v>
      </c>
      <c r="G27" s="75">
        <f t="shared" si="5"/>
        <v>4851055.190037814</v>
      </c>
      <c r="H27" s="76">
        <v>1</v>
      </c>
      <c r="I27" s="78">
        <v>0.98499999999999999</v>
      </c>
      <c r="J27" s="75">
        <f t="shared" si="0"/>
        <v>354600</v>
      </c>
      <c r="K27" s="75">
        <f>-R27*'Person A Mortgage'!C35</f>
        <v>-35636.363636364149</v>
      </c>
      <c r="L27" s="75">
        <v>0</v>
      </c>
      <c r="M27" s="75">
        <f t="shared" si="6"/>
        <v>517001.88264014502</v>
      </c>
      <c r="N27" s="75">
        <f t="shared" si="1"/>
        <v>-284351.03545207973</v>
      </c>
      <c r="O27" s="75">
        <f t="shared" si="7"/>
        <v>5402669.6735895146</v>
      </c>
      <c r="R27" s="75">
        <f>+R26</f>
        <v>7560000</v>
      </c>
      <c r="S27" s="75">
        <f>+R27+O27</f>
        <v>12962669.673589515</v>
      </c>
      <c r="T27" s="75">
        <f>O27</f>
        <v>5402669.6735895146</v>
      </c>
      <c r="U27" s="41"/>
    </row>
    <row r="28" spans="2:21" ht="46.5" customHeight="1" x14ac:dyDescent="0.2">
      <c r="B28" s="38"/>
      <c r="C28" s="54">
        <f t="shared" si="2"/>
        <v>15</v>
      </c>
      <c r="D28" s="54">
        <f t="shared" si="3"/>
        <v>54</v>
      </c>
      <c r="E28" s="55">
        <f t="shared" si="4"/>
        <v>360000</v>
      </c>
      <c r="G28" s="75">
        <f t="shared" si="5"/>
        <v>5402669.6735895146</v>
      </c>
      <c r="H28" s="76">
        <v>1</v>
      </c>
      <c r="I28" s="78">
        <v>0.98499999999999999</v>
      </c>
      <c r="J28" s="75">
        <f t="shared" si="0"/>
        <v>354600</v>
      </c>
      <c r="K28" s="75">
        <f>-R28*'Person A Mortgage'!C36</f>
        <v>-39306.759098787334</v>
      </c>
      <c r="L28" s="75">
        <v>0</v>
      </c>
      <c r="M28" s="75">
        <f t="shared" si="6"/>
        <v>571796.29144907277</v>
      </c>
      <c r="N28" s="75">
        <f t="shared" si="1"/>
        <v>-314487.96029699</v>
      </c>
      <c r="O28" s="75">
        <f t="shared" si="7"/>
        <v>5975271.2456428101</v>
      </c>
      <c r="R28" s="75">
        <f>+R27</f>
        <v>7560000</v>
      </c>
      <c r="S28" s="75">
        <f>+R28+O28</f>
        <v>13535271.245642811</v>
      </c>
      <c r="T28" s="75">
        <f>O28</f>
        <v>5975271.2456428101</v>
      </c>
      <c r="U28" s="41"/>
    </row>
    <row r="29" spans="2:21" x14ac:dyDescent="0.2">
      <c r="B29" s="38"/>
      <c r="U29" s="41"/>
    </row>
    <row r="30" spans="2:21" x14ac:dyDescent="0.2">
      <c r="B30" s="38"/>
      <c r="C30" s="58" t="s">
        <v>71</v>
      </c>
      <c r="D30" s="58"/>
      <c r="E30" s="58"/>
      <c r="G30" s="59">
        <f>+SUM(E14:E28)</f>
        <v>5400000</v>
      </c>
      <c r="M30" s="44" t="s">
        <v>68</v>
      </c>
      <c r="N30" s="60"/>
      <c r="O30" s="59">
        <f>+O28</f>
        <v>5975271.2456428101</v>
      </c>
      <c r="U30" s="41"/>
    </row>
    <row r="31" spans="2:21" x14ac:dyDescent="0.2"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3"/>
    </row>
  </sheetData>
  <mergeCells count="12">
    <mergeCell ref="C9:E9"/>
    <mergeCell ref="G11:O11"/>
    <mergeCell ref="G12:L12"/>
    <mergeCell ref="N12:O12"/>
    <mergeCell ref="C30:E30"/>
    <mergeCell ref="M30:N30"/>
    <mergeCell ref="C5:G5"/>
    <mergeCell ref="C6:F6"/>
    <mergeCell ref="K6:M6"/>
    <mergeCell ref="C7:F7"/>
    <mergeCell ref="K7:M7"/>
    <mergeCell ref="C8:E8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946E-4FE7-486F-89B7-C8F80631A4EF}">
  <dimension ref="A1:V31"/>
  <sheetViews>
    <sheetView showGridLines="0" tabSelected="1" zoomScale="96" zoomScaleNormal="100" workbookViewId="0">
      <selection activeCell="T15" sqref="T15"/>
    </sheetView>
  </sheetViews>
  <sheetFormatPr defaultColWidth="9.140625" defaultRowHeight="11.25" x14ac:dyDescent="0.2"/>
  <cols>
    <col min="1" max="1" width="9.140625" style="34"/>
    <col min="2" max="2" width="1.5703125" style="34" customWidth="1"/>
    <col min="3" max="4" width="4.7109375" style="34" customWidth="1"/>
    <col min="5" max="5" width="9.140625" style="34" customWidth="1"/>
    <col min="6" max="6" width="1.5703125" style="34" customWidth="1"/>
    <col min="7" max="7" width="14.28515625" style="34" bestFit="1" customWidth="1"/>
    <col min="8" max="8" width="11.85546875" style="34" customWidth="1"/>
    <col min="9" max="10" width="10.140625" style="34" customWidth="1"/>
    <col min="11" max="11" width="8.140625" style="34" customWidth="1"/>
    <col min="12" max="12" width="9.85546875" style="34" customWidth="1"/>
    <col min="13" max="13" width="8.42578125" style="34" customWidth="1"/>
    <col min="14" max="14" width="12.7109375" style="34" customWidth="1"/>
    <col min="15" max="15" width="10.140625" style="34" bestFit="1" customWidth="1"/>
    <col min="16" max="17" width="2.28515625" style="34" customWidth="1"/>
    <col min="18" max="18" width="8.42578125" style="34" customWidth="1"/>
    <col min="19" max="19" width="9" style="34" bestFit="1" customWidth="1"/>
    <col min="20" max="20" width="8.42578125" style="34" customWidth="1"/>
    <col min="21" max="21" width="7" style="34" customWidth="1"/>
    <col min="22" max="16384" width="9.140625" style="34"/>
  </cols>
  <sheetData>
    <row r="1" spans="1:22" x14ac:dyDescent="0.2">
      <c r="A1" s="34" t="s">
        <v>72</v>
      </c>
    </row>
    <row r="4" spans="1:22" x14ac:dyDescent="0.2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7"/>
    </row>
    <row r="5" spans="1:22" x14ac:dyDescent="0.2">
      <c r="B5" s="38"/>
      <c r="C5" s="39" t="s">
        <v>44</v>
      </c>
      <c r="D5" s="39"/>
      <c r="E5" s="39"/>
      <c r="F5" s="39"/>
      <c r="G5" s="39"/>
      <c r="H5" s="40"/>
      <c r="I5" s="40"/>
      <c r="J5" s="40" t="s">
        <v>45</v>
      </c>
      <c r="U5" s="41"/>
    </row>
    <row r="6" spans="1:22" x14ac:dyDescent="0.2">
      <c r="B6" s="38"/>
      <c r="C6" s="42" t="s">
        <v>46</v>
      </c>
      <c r="D6" s="42"/>
      <c r="E6" s="42"/>
      <c r="F6" s="42"/>
      <c r="G6" s="43">
        <v>360000</v>
      </c>
      <c r="J6" s="34" t="s">
        <v>47</v>
      </c>
      <c r="K6" s="79" t="s">
        <v>86</v>
      </c>
      <c r="L6" s="79"/>
      <c r="M6" s="79"/>
      <c r="N6" s="77"/>
      <c r="O6" s="77"/>
      <c r="P6" s="77"/>
      <c r="Q6" s="77"/>
      <c r="R6" s="77"/>
      <c r="S6" s="77"/>
      <c r="T6" s="77"/>
      <c r="U6" s="41"/>
      <c r="V6" s="68"/>
    </row>
    <row r="7" spans="1:22" x14ac:dyDescent="0.2">
      <c r="B7" s="38"/>
      <c r="C7" s="42" t="s">
        <v>48</v>
      </c>
      <c r="D7" s="42"/>
      <c r="E7" s="42"/>
      <c r="F7" s="42"/>
      <c r="G7" s="34">
        <v>21</v>
      </c>
      <c r="J7" s="34" t="s">
        <v>49</v>
      </c>
      <c r="K7" s="79" t="s">
        <v>89</v>
      </c>
      <c r="L7" s="79"/>
      <c r="M7" s="79"/>
      <c r="N7" s="80"/>
      <c r="O7" s="77"/>
      <c r="P7" s="77"/>
      <c r="Q7" s="77"/>
      <c r="R7" s="77"/>
      <c r="S7" s="77"/>
      <c r="T7" s="77"/>
      <c r="U7" s="41"/>
    </row>
    <row r="8" spans="1:22" x14ac:dyDescent="0.2">
      <c r="B8" s="38"/>
      <c r="C8" s="42" t="s">
        <v>50</v>
      </c>
      <c r="D8" s="42"/>
      <c r="E8" s="42"/>
      <c r="F8" s="45"/>
      <c r="G8" s="43">
        <f>+G6*G7</f>
        <v>7560000</v>
      </c>
      <c r="J8" s="34" t="s">
        <v>84</v>
      </c>
      <c r="K8" s="34" t="s">
        <v>88</v>
      </c>
      <c r="U8" s="41"/>
    </row>
    <row r="9" spans="1:22" x14ac:dyDescent="0.2">
      <c r="B9" s="38"/>
      <c r="C9" s="42" t="s">
        <v>51</v>
      </c>
      <c r="D9" s="42"/>
      <c r="E9" s="42"/>
      <c r="F9" s="45"/>
      <c r="G9" s="34" t="s">
        <v>52</v>
      </c>
      <c r="J9" s="34" t="s">
        <v>85</v>
      </c>
      <c r="K9" s="34" t="s">
        <v>87</v>
      </c>
      <c r="L9" s="79"/>
      <c r="M9" s="79"/>
      <c r="N9" s="79"/>
      <c r="O9" s="79"/>
      <c r="U9" s="41"/>
    </row>
    <row r="10" spans="1:22" x14ac:dyDescent="0.2">
      <c r="B10" s="38"/>
      <c r="J10" s="34" t="s">
        <v>91</v>
      </c>
      <c r="K10" s="34" t="s">
        <v>90</v>
      </c>
      <c r="U10" s="41"/>
    </row>
    <row r="11" spans="1:22" ht="15" x14ac:dyDescent="0.25">
      <c r="B11" s="38"/>
      <c r="G11" s="46" t="s">
        <v>53</v>
      </c>
      <c r="H11" s="46"/>
      <c r="I11" s="46"/>
      <c r="J11" s="46"/>
      <c r="K11" s="46"/>
      <c r="L11" s="46"/>
      <c r="M11" s="46"/>
      <c r="N11" s="46"/>
      <c r="O11" s="46"/>
      <c r="U11" s="41"/>
    </row>
    <row r="12" spans="1:22" x14ac:dyDescent="0.2">
      <c r="B12" s="38"/>
      <c r="G12" s="47" t="s">
        <v>54</v>
      </c>
      <c r="H12" s="47"/>
      <c r="I12" s="47"/>
      <c r="J12" s="47"/>
      <c r="K12" s="47"/>
      <c r="L12" s="47"/>
      <c r="M12" s="48" t="s">
        <v>55</v>
      </c>
      <c r="N12" s="47" t="s">
        <v>56</v>
      </c>
      <c r="O12" s="47"/>
      <c r="P12" s="49"/>
      <c r="Q12" s="49"/>
      <c r="R12" s="49"/>
      <c r="S12" s="49"/>
      <c r="U12" s="41"/>
    </row>
    <row r="13" spans="1:22" ht="45" x14ac:dyDescent="0.2">
      <c r="B13" s="38"/>
      <c r="C13" s="50" t="s">
        <v>57</v>
      </c>
      <c r="D13" s="50" t="s">
        <v>58</v>
      </c>
      <c r="E13" s="50" t="s">
        <v>59</v>
      </c>
      <c r="F13" s="51"/>
      <c r="G13" s="50" t="s">
        <v>60</v>
      </c>
      <c r="H13" s="50" t="s">
        <v>61</v>
      </c>
      <c r="I13" s="50" t="s">
        <v>62</v>
      </c>
      <c r="J13" s="50" t="s">
        <v>63</v>
      </c>
      <c r="K13" s="50" t="s">
        <v>64</v>
      </c>
      <c r="L13" s="50" t="s">
        <v>65</v>
      </c>
      <c r="M13" s="50" t="s">
        <v>66</v>
      </c>
      <c r="N13" s="50" t="s">
        <v>67</v>
      </c>
      <c r="O13" s="50" t="s">
        <v>68</v>
      </c>
      <c r="R13" s="50" t="s">
        <v>69</v>
      </c>
      <c r="S13" s="50" t="s">
        <v>51</v>
      </c>
      <c r="T13" s="50" t="s">
        <v>70</v>
      </c>
      <c r="U13" s="41"/>
    </row>
    <row r="14" spans="1:22" ht="18" customHeight="1" x14ac:dyDescent="0.2">
      <c r="B14" s="38"/>
      <c r="C14" s="52">
        <v>1</v>
      </c>
      <c r="D14" s="52">
        <v>40</v>
      </c>
      <c r="E14" s="53">
        <v>360000</v>
      </c>
      <c r="G14" s="64">
        <v>0</v>
      </c>
      <c r="H14" s="76">
        <v>1</v>
      </c>
      <c r="I14" s="78">
        <v>0.95</v>
      </c>
      <c r="J14" s="75">
        <f>+H14*I14*E14</f>
        <v>342000</v>
      </c>
      <c r="K14" s="75">
        <f>-R14*'Person A Mortgage'!C22</f>
        <v>-12813.559322033696</v>
      </c>
      <c r="L14" s="75">
        <v>0</v>
      </c>
      <c r="M14" s="75">
        <f>+(G14+SUM(J14:L14))*0.1</f>
        <v>32918.644067796631</v>
      </c>
      <c r="N14" s="75">
        <f>-(M14+G14+J14+K14+L14)*0.0135</f>
        <v>-4888.4186440677995</v>
      </c>
      <c r="O14" s="75">
        <f>+SUM(J14:L14)+M14+N14+G14</f>
        <v>357216.66610169515</v>
      </c>
      <c r="R14" s="75">
        <f>+$G$8</f>
        <v>7560000</v>
      </c>
      <c r="S14" s="75">
        <f>+R14+O14</f>
        <v>7917216.666101695</v>
      </c>
      <c r="T14" s="75">
        <f>0.94*O14</f>
        <v>335783.66613559343</v>
      </c>
      <c r="U14" s="41"/>
    </row>
    <row r="15" spans="1:22" ht="27" customHeight="1" x14ac:dyDescent="0.2">
      <c r="B15" s="38"/>
      <c r="C15" s="54">
        <f>+C14+1</f>
        <v>2</v>
      </c>
      <c r="D15" s="54">
        <f>+$D$14+C15-1</f>
        <v>41</v>
      </c>
      <c r="E15" s="55">
        <f>+E14</f>
        <v>360000</v>
      </c>
      <c r="G15" s="75">
        <f>+O14</f>
        <v>357216.66610169515</v>
      </c>
      <c r="H15" s="76">
        <v>1</v>
      </c>
      <c r="I15" s="78">
        <v>0.95</v>
      </c>
      <c r="J15" s="75">
        <f t="shared" ref="J15:J28" si="0">+H15*I15*E15</f>
        <v>342000</v>
      </c>
      <c r="K15" s="75">
        <f>-R15*'Person A Mortgage'!C23</f>
        <v>-14977.711738485184</v>
      </c>
      <c r="L15" s="75">
        <v>0</v>
      </c>
      <c r="M15" s="75">
        <f>+(G15+SUM(J15:L15))*0.1</f>
        <v>68423.895436320992</v>
      </c>
      <c r="N15" s="75">
        <f t="shared" ref="N15:N28" si="1">-(M15+G15+J15+K15+L15)*0.0135</f>
        <v>-10160.948472293669</v>
      </c>
      <c r="O15" s="75">
        <f>+SUM(J15:L15)+M15+N15+G15</f>
        <v>742501.90132723725</v>
      </c>
      <c r="R15" s="75">
        <f>+R14</f>
        <v>7560000</v>
      </c>
      <c r="S15" s="75">
        <f>+R15+O15</f>
        <v>8302501.9013272375</v>
      </c>
      <c r="T15" s="75">
        <f>O15-(0.06*G6)</f>
        <v>720901.90132723725</v>
      </c>
      <c r="U15" s="41"/>
    </row>
    <row r="16" spans="1:22" x14ac:dyDescent="0.2">
      <c r="B16" s="38"/>
      <c r="C16" s="56">
        <f t="shared" ref="C16:C28" si="2">+C15+1</f>
        <v>3</v>
      </c>
      <c r="D16" s="56">
        <f t="shared" ref="D16:D28" si="3">+$D$14+C16-1</f>
        <v>42</v>
      </c>
      <c r="E16" s="57">
        <f t="shared" ref="E16:E28" si="4">+E15</f>
        <v>360000</v>
      </c>
      <c r="G16" s="75">
        <f t="shared" ref="G16:G28" si="5">+O15</f>
        <v>742501.90132723725</v>
      </c>
      <c r="H16" s="76">
        <v>1</v>
      </c>
      <c r="I16" s="78">
        <v>0.95</v>
      </c>
      <c r="J16" s="75">
        <f t="shared" si="0"/>
        <v>342000</v>
      </c>
      <c r="K16" s="75">
        <f>-R16*'Person A Mortgage'!C24</f>
        <v>-15326.913329953792</v>
      </c>
      <c r="L16" s="75">
        <v>0</v>
      </c>
      <c r="M16" s="75">
        <f>+(G16+SUM(J16:L16))*0.1</f>
        <v>106917.49879972835</v>
      </c>
      <c r="N16" s="75">
        <f t="shared" si="1"/>
        <v>-15877.248571759661</v>
      </c>
      <c r="O16" s="75">
        <f>+SUM(J16:L16)+M16+N16+G16</f>
        <v>1160215.2382252521</v>
      </c>
      <c r="R16" s="75">
        <f>+R15</f>
        <v>7560000</v>
      </c>
      <c r="S16" s="75">
        <f>+R16+O16</f>
        <v>8720215.2382252514</v>
      </c>
      <c r="T16" s="75">
        <f>O16-(0.03*G6)</f>
        <v>1149415.2382252521</v>
      </c>
      <c r="U16" s="41"/>
    </row>
    <row r="17" spans="2:21" ht="46.5" customHeight="1" x14ac:dyDescent="0.2">
      <c r="B17" s="38"/>
      <c r="C17" s="56">
        <f t="shared" si="2"/>
        <v>4</v>
      </c>
      <c r="D17" s="56">
        <f t="shared" si="3"/>
        <v>43</v>
      </c>
      <c r="E17" s="57">
        <f t="shared" si="4"/>
        <v>360000</v>
      </c>
      <c r="G17" s="75">
        <f t="shared" si="5"/>
        <v>1160215.2382252521</v>
      </c>
      <c r="H17" s="76">
        <v>1</v>
      </c>
      <c r="I17" s="78">
        <v>0.95</v>
      </c>
      <c r="J17" s="75">
        <f t="shared" si="0"/>
        <v>342000</v>
      </c>
      <c r="K17" s="75">
        <f>-R17*'Person A Mortgage'!C25</f>
        <v>-17649.805447469917</v>
      </c>
      <c r="L17" s="75">
        <v>0</v>
      </c>
      <c r="M17" s="75">
        <f t="shared" ref="M17:M28" si="6">+(G17+SUM(J17:L17))*0.1</f>
        <v>148456.54327777823</v>
      </c>
      <c r="N17" s="75">
        <f t="shared" si="1"/>
        <v>-22045.796676750066</v>
      </c>
      <c r="O17" s="75">
        <f t="shared" ref="O17:O30" si="7">+SUM(J17:L17)+M17+N17+G17</f>
        <v>1610976.1793788103</v>
      </c>
      <c r="R17" s="75">
        <f>+R16</f>
        <v>7560000</v>
      </c>
      <c r="S17" s="75">
        <f>+R17+O17</f>
        <v>9170976.1793788113</v>
      </c>
      <c r="T17" s="75">
        <f>O17-7000</f>
        <v>1603976.1793788103</v>
      </c>
      <c r="U17" s="41"/>
    </row>
    <row r="18" spans="2:21" ht="46.5" customHeight="1" x14ac:dyDescent="0.2">
      <c r="B18" s="38"/>
      <c r="C18" s="56">
        <f t="shared" si="2"/>
        <v>5</v>
      </c>
      <c r="D18" s="56">
        <f t="shared" si="3"/>
        <v>44</v>
      </c>
      <c r="E18" s="57">
        <f t="shared" si="4"/>
        <v>360000</v>
      </c>
      <c r="G18" s="75">
        <f t="shared" si="5"/>
        <v>1610976.1793788103</v>
      </c>
      <c r="H18" s="76">
        <v>1</v>
      </c>
      <c r="I18" s="78">
        <v>0.95</v>
      </c>
      <c r="J18" s="75">
        <f t="shared" si="0"/>
        <v>342000</v>
      </c>
      <c r="K18" s="75">
        <f>-R18*'Person A Mortgage'!C26</f>
        <v>-18076.514346440712</v>
      </c>
      <c r="L18" s="75">
        <v>0</v>
      </c>
      <c r="M18" s="75">
        <f t="shared" si="6"/>
        <v>193489.96650323697</v>
      </c>
      <c r="N18" s="75">
        <f t="shared" si="1"/>
        <v>-28733.260025730688</v>
      </c>
      <c r="O18" s="75">
        <f t="shared" si="7"/>
        <v>2099656.3715098761</v>
      </c>
      <c r="R18" s="75">
        <f>+R17</f>
        <v>7560000</v>
      </c>
      <c r="S18" s="75">
        <f>+R18+O18</f>
        <v>9659656.3715098761</v>
      </c>
      <c r="T18" s="75">
        <f>O18</f>
        <v>2099656.3715098761</v>
      </c>
      <c r="U18" s="41"/>
    </row>
    <row r="19" spans="2:21" ht="28.5" customHeight="1" x14ac:dyDescent="0.2">
      <c r="B19" s="38"/>
      <c r="C19" s="56">
        <f t="shared" si="2"/>
        <v>6</v>
      </c>
      <c r="D19" s="56">
        <f t="shared" si="3"/>
        <v>45</v>
      </c>
      <c r="E19" s="57">
        <f t="shared" si="4"/>
        <v>360000</v>
      </c>
      <c r="G19" s="75">
        <f t="shared" si="5"/>
        <v>2099656.3715098761</v>
      </c>
      <c r="H19" s="76">
        <v>1</v>
      </c>
      <c r="I19" s="78">
        <v>0.95</v>
      </c>
      <c r="J19" s="75">
        <f t="shared" si="0"/>
        <v>342000</v>
      </c>
      <c r="K19" s="75">
        <f>-R19*'Person A Mortgage'!C27</f>
        <v>-18524.367002449442</v>
      </c>
      <c r="L19" s="75">
        <v>0</v>
      </c>
      <c r="M19" s="75">
        <f t="shared" si="6"/>
        <v>242313.20045074268</v>
      </c>
      <c r="N19" s="75">
        <f t="shared" si="1"/>
        <v>-35983.510266935285</v>
      </c>
      <c r="O19" s="75">
        <f t="shared" si="7"/>
        <v>2629461.6946912338</v>
      </c>
      <c r="R19" s="75">
        <f>+R18</f>
        <v>7560000</v>
      </c>
      <c r="S19" s="75">
        <f>+R19+O19</f>
        <v>10189461.694691233</v>
      </c>
      <c r="T19" s="75">
        <f>O19</f>
        <v>2629461.6946912338</v>
      </c>
      <c r="U19" s="41"/>
    </row>
    <row r="20" spans="2:21" ht="32.25" customHeight="1" x14ac:dyDescent="0.2">
      <c r="B20" s="38"/>
      <c r="C20" s="56">
        <f t="shared" si="2"/>
        <v>7</v>
      </c>
      <c r="D20" s="56">
        <f t="shared" si="3"/>
        <v>46</v>
      </c>
      <c r="E20" s="57">
        <f t="shared" si="4"/>
        <v>360000</v>
      </c>
      <c r="G20" s="75">
        <f t="shared" si="5"/>
        <v>2629461.6946912338</v>
      </c>
      <c r="H20" s="76">
        <v>1</v>
      </c>
      <c r="I20" s="78">
        <v>0.95</v>
      </c>
      <c r="J20" s="75">
        <f t="shared" si="0"/>
        <v>342000</v>
      </c>
      <c r="K20" s="75">
        <f>-R20*'Person A Mortgage'!C28</f>
        <v>-21099.637175551135</v>
      </c>
      <c r="L20" s="75">
        <v>0</v>
      </c>
      <c r="M20" s="75">
        <f t="shared" si="6"/>
        <v>295036.20575156825</v>
      </c>
      <c r="N20" s="75">
        <f t="shared" si="1"/>
        <v>-43812.876554107883</v>
      </c>
      <c r="O20" s="75">
        <f t="shared" si="7"/>
        <v>3201585.386713143</v>
      </c>
      <c r="R20" s="75">
        <f>+R19</f>
        <v>7560000</v>
      </c>
      <c r="S20" s="75">
        <f>+R20+O20</f>
        <v>10761585.386713143</v>
      </c>
      <c r="T20" s="75">
        <f>O20</f>
        <v>3201585.386713143</v>
      </c>
      <c r="U20" s="41"/>
    </row>
    <row r="21" spans="2:21" ht="33" customHeight="1" x14ac:dyDescent="0.2">
      <c r="B21" s="38"/>
      <c r="C21" s="56">
        <f t="shared" si="2"/>
        <v>8</v>
      </c>
      <c r="D21" s="56">
        <f t="shared" si="3"/>
        <v>47</v>
      </c>
      <c r="E21" s="57">
        <f t="shared" si="4"/>
        <v>360000</v>
      </c>
      <c r="G21" s="75">
        <f t="shared" si="5"/>
        <v>3201585.386713143</v>
      </c>
      <c r="H21" s="76">
        <v>1</v>
      </c>
      <c r="I21" s="78">
        <v>0.95</v>
      </c>
      <c r="J21" s="75">
        <f t="shared" si="0"/>
        <v>342000</v>
      </c>
      <c r="K21" s="75">
        <f>-R21*'Person A Mortgage'!C29</f>
        <v>-23800.801373783255</v>
      </c>
      <c r="L21" s="75">
        <v>0</v>
      </c>
      <c r="M21" s="75">
        <f t="shared" si="6"/>
        <v>351978.45853393601</v>
      </c>
      <c r="N21" s="75">
        <f t="shared" si="1"/>
        <v>-52268.801092289497</v>
      </c>
      <c r="O21" s="75">
        <f t="shared" si="7"/>
        <v>3819494.2427810063</v>
      </c>
      <c r="R21" s="75">
        <f>+R20</f>
        <v>7560000</v>
      </c>
      <c r="S21" s="75">
        <f>+R21+O21</f>
        <v>11379494.242781006</v>
      </c>
      <c r="T21" s="75">
        <f>O21</f>
        <v>3819494.2427810063</v>
      </c>
      <c r="U21" s="41"/>
    </row>
    <row r="22" spans="2:21" ht="46.5" customHeight="1" x14ac:dyDescent="0.2">
      <c r="B22" s="38"/>
      <c r="C22" s="54">
        <f t="shared" si="2"/>
        <v>9</v>
      </c>
      <c r="D22" s="54">
        <f t="shared" si="3"/>
        <v>48</v>
      </c>
      <c r="E22" s="55">
        <f t="shared" si="4"/>
        <v>360000</v>
      </c>
      <c r="G22" s="75">
        <f t="shared" si="5"/>
        <v>3819494.2427810063</v>
      </c>
      <c r="H22" s="76">
        <v>1</v>
      </c>
      <c r="I22" s="78">
        <v>0.95</v>
      </c>
      <c r="J22" s="75">
        <f t="shared" si="0"/>
        <v>342000</v>
      </c>
      <c r="K22" s="75">
        <f>-R22*'Person A Mortgage'!C30</f>
        <v>-24422.907488986639</v>
      </c>
      <c r="L22" s="75">
        <v>0</v>
      </c>
      <c r="M22" s="75">
        <f t="shared" si="6"/>
        <v>413707.13352920202</v>
      </c>
      <c r="N22" s="75">
        <f t="shared" si="1"/>
        <v>-61435.509329086482</v>
      </c>
      <c r="O22" s="75">
        <f t="shared" si="7"/>
        <v>4489342.9594921349</v>
      </c>
      <c r="R22" s="75">
        <f>+R21</f>
        <v>7560000</v>
      </c>
      <c r="S22" s="75">
        <f>+R22+O22</f>
        <v>12049342.959492136</v>
      </c>
      <c r="T22" s="75">
        <f>O22</f>
        <v>4489342.9594921349</v>
      </c>
      <c r="U22" s="41"/>
    </row>
    <row r="23" spans="2:21" ht="46.5" customHeight="1" x14ac:dyDescent="0.2">
      <c r="B23" s="38"/>
      <c r="C23" s="54">
        <f t="shared" si="2"/>
        <v>10</v>
      </c>
      <c r="D23" s="54">
        <f t="shared" si="3"/>
        <v>49</v>
      </c>
      <c r="E23" s="55">
        <f t="shared" si="4"/>
        <v>360000</v>
      </c>
      <c r="G23" s="75">
        <f t="shared" si="5"/>
        <v>4489342.9594921349</v>
      </c>
      <c r="H23" s="76">
        <v>1</v>
      </c>
      <c r="I23" s="78">
        <v>0.95</v>
      </c>
      <c r="J23" s="75">
        <f t="shared" si="0"/>
        <v>342000</v>
      </c>
      <c r="K23" s="75">
        <f>-R23*'Person A Mortgage'!C31</f>
        <v>-25078.407720144667</v>
      </c>
      <c r="L23" s="75">
        <v>0</v>
      </c>
      <c r="M23" s="75">
        <f t="shared" si="6"/>
        <v>480626.45517719904</v>
      </c>
      <c r="N23" s="75">
        <f t="shared" si="1"/>
        <v>-71373.028593814059</v>
      </c>
      <c r="O23" s="75">
        <f>+(SUM(J23:L23)+M23+N23+G23)*1.0325</f>
        <v>5385022.3126519248</v>
      </c>
      <c r="R23" s="75">
        <f>+R22</f>
        <v>7560000</v>
      </c>
      <c r="S23" s="75">
        <f>+R23+O23</f>
        <v>12945022.312651925</v>
      </c>
      <c r="T23" s="75">
        <f>O23</f>
        <v>5385022.3126519248</v>
      </c>
      <c r="U23" s="41"/>
    </row>
    <row r="24" spans="2:21" ht="46.5" customHeight="1" x14ac:dyDescent="0.2">
      <c r="B24" s="38"/>
      <c r="C24" s="54">
        <f t="shared" si="2"/>
        <v>11</v>
      </c>
      <c r="D24" s="54">
        <f t="shared" si="3"/>
        <v>50</v>
      </c>
      <c r="E24" s="55">
        <f t="shared" si="4"/>
        <v>360000</v>
      </c>
      <c r="G24" s="75">
        <f t="shared" si="5"/>
        <v>5385022.3126519248</v>
      </c>
      <c r="H24" s="76">
        <v>1</v>
      </c>
      <c r="I24" s="78">
        <v>0.95</v>
      </c>
      <c r="J24" s="75">
        <f t="shared" si="0"/>
        <v>342000</v>
      </c>
      <c r="K24" s="75">
        <f>-R24*'Person A Mortgage'!C32</f>
        <v>-30436.667698978737</v>
      </c>
      <c r="L24" s="75">
        <v>0</v>
      </c>
      <c r="M24" s="75">
        <f t="shared" si="6"/>
        <v>569658.5644952947</v>
      </c>
      <c r="N24" s="75">
        <f t="shared" si="1"/>
        <v>-84594.296827551254</v>
      </c>
      <c r="O24" s="75">
        <f t="shared" si="7"/>
        <v>6181649.9126206897</v>
      </c>
      <c r="R24" s="75">
        <f>+R23</f>
        <v>7560000</v>
      </c>
      <c r="S24" s="75">
        <f>+R24+O24</f>
        <v>13741649.91262069</v>
      </c>
      <c r="T24" s="75">
        <f>O24</f>
        <v>6181649.9126206897</v>
      </c>
      <c r="U24" s="41"/>
    </row>
    <row r="25" spans="2:21" ht="46.5" customHeight="1" x14ac:dyDescent="0.2">
      <c r="B25" s="38"/>
      <c r="C25" s="54">
        <f t="shared" si="2"/>
        <v>12</v>
      </c>
      <c r="D25" s="54">
        <f t="shared" si="3"/>
        <v>51</v>
      </c>
      <c r="E25" s="55">
        <f t="shared" si="4"/>
        <v>360000</v>
      </c>
      <c r="G25" s="75">
        <f t="shared" si="5"/>
        <v>6181649.9126206897</v>
      </c>
      <c r="H25" s="76">
        <v>1</v>
      </c>
      <c r="I25" s="78">
        <v>0.95</v>
      </c>
      <c r="J25" s="75">
        <f t="shared" si="0"/>
        <v>342000</v>
      </c>
      <c r="K25" s="75">
        <f>-R25*'Person A Mortgage'!C33</f>
        <v>-31279.439847231715</v>
      </c>
      <c r="L25" s="75">
        <v>0</v>
      </c>
      <c r="M25" s="75">
        <f t="shared" si="6"/>
        <v>649237.04727734579</v>
      </c>
      <c r="N25" s="75">
        <f t="shared" si="1"/>
        <v>-96411.701520685849</v>
      </c>
      <c r="O25" s="75">
        <f t="shared" si="7"/>
        <v>7045195.8185301181</v>
      </c>
      <c r="R25" s="75">
        <f>+R24</f>
        <v>7560000</v>
      </c>
      <c r="S25" s="75">
        <f>+R25+O25</f>
        <v>14605195.818530118</v>
      </c>
      <c r="T25" s="75">
        <f>O25</f>
        <v>7045195.8185301181</v>
      </c>
      <c r="U25" s="41"/>
    </row>
    <row r="26" spans="2:21" ht="46.5" customHeight="1" x14ac:dyDescent="0.2">
      <c r="B26" s="38"/>
      <c r="C26" s="54">
        <f t="shared" si="2"/>
        <v>13</v>
      </c>
      <c r="D26" s="54">
        <f t="shared" si="3"/>
        <v>52</v>
      </c>
      <c r="E26" s="55">
        <f t="shared" si="4"/>
        <v>360000</v>
      </c>
      <c r="G26" s="75">
        <f t="shared" si="5"/>
        <v>7045195.8185301181</v>
      </c>
      <c r="H26" s="76">
        <v>1</v>
      </c>
      <c r="I26" s="78">
        <v>0.95</v>
      </c>
      <c r="J26" s="75">
        <f t="shared" si="0"/>
        <v>342000</v>
      </c>
      <c r="K26" s="75">
        <f>-R26*'Person A Mortgage'!C34</f>
        <v>-34633.507853402603</v>
      </c>
      <c r="L26" s="75">
        <v>0</v>
      </c>
      <c r="M26" s="75">
        <f t="shared" si="6"/>
        <v>735256.23106767156</v>
      </c>
      <c r="N26" s="75">
        <f t="shared" si="1"/>
        <v>-109185.55031354922</v>
      </c>
      <c r="O26" s="75">
        <f t="shared" si="7"/>
        <v>7978632.9914308377</v>
      </c>
      <c r="R26" s="75">
        <f>+R25</f>
        <v>7560000</v>
      </c>
      <c r="S26" s="75">
        <f>+R26+O26</f>
        <v>15538632.991430838</v>
      </c>
      <c r="T26" s="75">
        <f>O26</f>
        <v>7978632.9914308377</v>
      </c>
      <c r="U26" s="41"/>
    </row>
    <row r="27" spans="2:21" ht="46.5" customHeight="1" x14ac:dyDescent="0.2">
      <c r="B27" s="38"/>
      <c r="C27" s="54">
        <f t="shared" si="2"/>
        <v>14</v>
      </c>
      <c r="D27" s="54">
        <f t="shared" si="3"/>
        <v>53</v>
      </c>
      <c r="E27" s="55">
        <f t="shared" si="4"/>
        <v>360000</v>
      </c>
      <c r="G27" s="75">
        <f t="shared" si="5"/>
        <v>7978632.9914308377</v>
      </c>
      <c r="H27" s="76">
        <v>1</v>
      </c>
      <c r="I27" s="78">
        <v>0.95</v>
      </c>
      <c r="J27" s="75">
        <f t="shared" si="0"/>
        <v>342000</v>
      </c>
      <c r="K27" s="75">
        <f>-R27*'Person A Mortgage'!C35</f>
        <v>-35636.363636364149</v>
      </c>
      <c r="L27" s="75">
        <v>0</v>
      </c>
      <c r="M27" s="75">
        <f t="shared" si="6"/>
        <v>828499.66277944739</v>
      </c>
      <c r="N27" s="75">
        <f t="shared" si="1"/>
        <v>-123032.19992274794</v>
      </c>
      <c r="O27" s="75">
        <f t="shared" si="7"/>
        <v>8990464.0906511731</v>
      </c>
      <c r="R27" s="75">
        <f>+R26</f>
        <v>7560000</v>
      </c>
      <c r="S27" s="75">
        <f>+R27+O27</f>
        <v>16550464.090651173</v>
      </c>
      <c r="T27" s="75">
        <f>O27</f>
        <v>8990464.0906511731</v>
      </c>
      <c r="U27" s="41"/>
    </row>
    <row r="28" spans="2:21" ht="46.5" customHeight="1" x14ac:dyDescent="0.2">
      <c r="B28" s="38"/>
      <c r="C28" s="54">
        <f t="shared" si="2"/>
        <v>15</v>
      </c>
      <c r="D28" s="54">
        <f t="shared" si="3"/>
        <v>54</v>
      </c>
      <c r="E28" s="55">
        <f t="shared" si="4"/>
        <v>360000</v>
      </c>
      <c r="G28" s="75">
        <f t="shared" si="5"/>
        <v>8990464.0906511731</v>
      </c>
      <c r="H28" s="76">
        <v>1</v>
      </c>
      <c r="I28" s="78">
        <v>0.95</v>
      </c>
      <c r="J28" s="75">
        <f t="shared" si="0"/>
        <v>342000</v>
      </c>
      <c r="K28" s="75">
        <f>-R28*'Person A Mortgage'!C36</f>
        <v>-39306.759098787334</v>
      </c>
      <c r="L28" s="75">
        <v>0</v>
      </c>
      <c r="M28" s="75">
        <f t="shared" si="6"/>
        <v>929315.73315523867</v>
      </c>
      <c r="N28" s="75">
        <f t="shared" si="1"/>
        <v>-138003.38637355293</v>
      </c>
      <c r="O28" s="75">
        <f>+(SUM(J28:L28)+M28+N28+G28)*1.0325</f>
        <v>10412214.94287993</v>
      </c>
      <c r="R28" s="75">
        <f>+R27</f>
        <v>7560000</v>
      </c>
      <c r="S28" s="75">
        <f>+R28+O28</f>
        <v>17972214.94287993</v>
      </c>
      <c r="T28" s="75">
        <f>O28</f>
        <v>10412214.94287993</v>
      </c>
      <c r="U28" s="41"/>
    </row>
    <row r="29" spans="2:21" x14ac:dyDescent="0.2">
      <c r="B29" s="38"/>
      <c r="U29" s="41"/>
    </row>
    <row r="30" spans="2:21" x14ac:dyDescent="0.2">
      <c r="B30" s="38"/>
      <c r="C30" s="58" t="s">
        <v>71</v>
      </c>
      <c r="D30" s="58"/>
      <c r="E30" s="58"/>
      <c r="G30" s="59">
        <f>+SUM(E14:E28)</f>
        <v>5400000</v>
      </c>
      <c r="M30" s="44" t="s">
        <v>68</v>
      </c>
      <c r="N30" s="60"/>
      <c r="O30" s="59">
        <f>+O28</f>
        <v>10412214.94287993</v>
      </c>
      <c r="U30" s="41"/>
    </row>
    <row r="31" spans="2:21" x14ac:dyDescent="0.2"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3"/>
    </row>
  </sheetData>
  <mergeCells count="10">
    <mergeCell ref="C9:E9"/>
    <mergeCell ref="G11:O11"/>
    <mergeCell ref="G12:L12"/>
    <mergeCell ref="N12:O12"/>
    <mergeCell ref="C30:E30"/>
    <mergeCell ref="M30:N30"/>
    <mergeCell ref="C5:G5"/>
    <mergeCell ref="C6:F6"/>
    <mergeCell ref="C7:F7"/>
    <mergeCell ref="C8:E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 1 Person A</vt:lpstr>
      <vt:lpstr>Expenses Person A</vt:lpstr>
      <vt:lpstr>Person A Mortgage</vt:lpstr>
      <vt:lpstr>Person A Jubilee</vt:lpstr>
      <vt:lpstr>Person A Allianz</vt:lpstr>
      <vt:lpstr>Person A ICICI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Muhammad  Hamza</dc:creator>
  <cp:keywords/>
  <dc:description/>
  <cp:lastModifiedBy>Muhammad  Hamza</cp:lastModifiedBy>
  <cp:revision/>
  <dcterms:created xsi:type="dcterms:W3CDTF">2023-11-16T10:06:40Z</dcterms:created>
  <dcterms:modified xsi:type="dcterms:W3CDTF">2023-11-18T18:35:03Z</dcterms:modified>
  <cp:category/>
  <cp:contentStatus/>
</cp:coreProperties>
</file>