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il_khaan/Desktop/Actuarial Project/"/>
    </mc:Choice>
  </mc:AlternateContent>
  <xr:revisionPtr revIDLastSave="0" documentId="8_{AB30DF02-0971-1F45-B7AD-C662640198D0}" xr6:coauthVersionLast="47" xr6:coauthVersionMax="47" xr10:uidLastSave="{00000000-0000-0000-0000-000000000000}"/>
  <bookViews>
    <workbookView xWindow="0" yWindow="500" windowWidth="19200" windowHeight="21840" activeTab="3" xr2:uid="{72BC74E0-F39E-EB4C-A69C-5AFBC88B8C34}"/>
  </bookViews>
  <sheets>
    <sheet name="TVM" sheetId="7" r:id="rId1"/>
    <sheet name="person B jubilee" sheetId="3" r:id="rId2"/>
    <sheet name="person B ICICI" sheetId="5" r:id="rId3"/>
    <sheet name="person B allianz" sheetId="6" r:id="rId4"/>
    <sheet name="mortality rates" sheetId="4" r:id="rId5"/>
  </sheets>
  <definedNames>
    <definedName name="Income__Monthly">#REF!</definedName>
    <definedName name="Income__Yearly">#REF!</definedName>
    <definedName name="Premium__Yearly">#REF!</definedName>
    <definedName name="Sum_Assured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7" l="1"/>
  <c r="F10" i="6"/>
  <c r="F20" i="6" s="1"/>
  <c r="F10" i="5"/>
  <c r="D28" i="6"/>
  <c r="D20" i="6"/>
  <c r="E20" i="6" s="1"/>
  <c r="M27" i="3"/>
  <c r="M26" i="3"/>
  <c r="M25" i="3"/>
  <c r="M24" i="3"/>
  <c r="M23" i="3"/>
  <c r="M22" i="3"/>
  <c r="M21" i="3"/>
  <c r="M20" i="3"/>
  <c r="M19" i="3"/>
  <c r="M18" i="3"/>
  <c r="F26" i="7"/>
  <c r="F27" i="7" s="1"/>
  <c r="F28" i="7" s="1"/>
  <c r="F29" i="7" s="1"/>
  <c r="F30" i="7" s="1"/>
  <c r="F31" i="7"/>
  <c r="F10" i="3"/>
  <c r="S47" i="7"/>
  <c r="S44" i="7"/>
  <c r="V12" i="7" s="1"/>
  <c r="X12" i="7" s="1"/>
  <c r="S36" i="7"/>
  <c r="S28" i="7"/>
  <c r="S20" i="7"/>
  <c r="S11" i="7"/>
  <c r="S13" i="7" s="1"/>
  <c r="S46" i="7" s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6" i="7"/>
  <c r="E24" i="7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J50" i="7"/>
  <c r="L50" i="7" s="1"/>
  <c r="J51" i="7"/>
  <c r="L51" i="7" s="1"/>
  <c r="J52" i="7"/>
  <c r="L52" i="7" s="1"/>
  <c r="J53" i="7"/>
  <c r="L53" i="7" s="1"/>
  <c r="J54" i="7"/>
  <c r="L54" i="7" s="1"/>
  <c r="J55" i="7"/>
  <c r="L55" i="7" s="1"/>
  <c r="J56" i="7"/>
  <c r="L56" i="7" s="1"/>
  <c r="J57" i="7"/>
  <c r="L57" i="7" s="1"/>
  <c r="J58" i="7"/>
  <c r="L58" i="7" s="1"/>
  <c r="J59" i="7"/>
  <c r="L59" i="7" s="1"/>
  <c r="J60" i="7"/>
  <c r="L60" i="7" s="1"/>
  <c r="J61" i="7"/>
  <c r="L61" i="7" s="1"/>
  <c r="J62" i="7"/>
  <c r="L62" i="7" s="1"/>
  <c r="J63" i="7"/>
  <c r="L63" i="7" s="1"/>
  <c r="J64" i="7"/>
  <c r="L64" i="7" s="1"/>
  <c r="J65" i="7"/>
  <c r="L65" i="7" s="1"/>
  <c r="J66" i="7"/>
  <c r="L66" i="7" s="1"/>
  <c r="J67" i="7"/>
  <c r="L67" i="7" s="1"/>
  <c r="J68" i="7"/>
  <c r="L68" i="7" s="1"/>
  <c r="J69" i="7"/>
  <c r="L69" i="7" s="1"/>
  <c r="J70" i="7"/>
  <c r="L70" i="7" s="1"/>
  <c r="J71" i="7"/>
  <c r="L71" i="7" s="1"/>
  <c r="J72" i="7"/>
  <c r="L72" i="7" s="1"/>
  <c r="J73" i="7"/>
  <c r="L73" i="7" s="1"/>
  <c r="J74" i="7"/>
  <c r="L74" i="7" s="1"/>
  <c r="J75" i="7"/>
  <c r="L75" i="7" s="1"/>
  <c r="J76" i="7"/>
  <c r="L76" i="7" s="1"/>
  <c r="J77" i="7"/>
  <c r="L77" i="7" s="1"/>
  <c r="J78" i="7"/>
  <c r="L78" i="7" s="1"/>
  <c r="J79" i="7"/>
  <c r="L79" i="7" s="1"/>
  <c r="J80" i="7"/>
  <c r="L80" i="7" s="1"/>
  <c r="J81" i="7"/>
  <c r="L81" i="7" s="1"/>
  <c r="J82" i="7"/>
  <c r="L82" i="7" s="1"/>
  <c r="J83" i="7"/>
  <c r="L83" i="7" s="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N7" i="7"/>
  <c r="O7" i="7" s="1"/>
  <c r="P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F24" i="7"/>
  <c r="F25" i="7" s="1"/>
  <c r="J24" i="7"/>
  <c r="L24" i="7" s="1"/>
  <c r="J26" i="7"/>
  <c r="L26" i="7" s="1"/>
  <c r="J30" i="7"/>
  <c r="L30" i="7" s="1"/>
  <c r="J31" i="7"/>
  <c r="L31" i="7" s="1"/>
  <c r="J32" i="7"/>
  <c r="L32" i="7" s="1"/>
  <c r="J33" i="7"/>
  <c r="L33" i="7" s="1"/>
  <c r="J34" i="7"/>
  <c r="L34" i="7" s="1"/>
  <c r="J35" i="7"/>
  <c r="L35" i="7" s="1"/>
  <c r="J36" i="7"/>
  <c r="L36" i="7" s="1"/>
  <c r="J37" i="7"/>
  <c r="L37" i="7" s="1"/>
  <c r="J38" i="7"/>
  <c r="L38" i="7" s="1"/>
  <c r="J39" i="7"/>
  <c r="L39" i="7" s="1"/>
  <c r="J40" i="7"/>
  <c r="L40" i="7" s="1"/>
  <c r="J41" i="7"/>
  <c r="L41" i="7" s="1"/>
  <c r="J42" i="7"/>
  <c r="L42" i="7" s="1"/>
  <c r="J43" i="7"/>
  <c r="L43" i="7" s="1"/>
  <c r="J44" i="7"/>
  <c r="L44" i="7" s="1"/>
  <c r="J45" i="7"/>
  <c r="L45" i="7" s="1"/>
  <c r="J46" i="7"/>
  <c r="L46" i="7" s="1"/>
  <c r="J47" i="7"/>
  <c r="L47" i="7" s="1"/>
  <c r="J48" i="7"/>
  <c r="L48" i="7" s="1"/>
  <c r="J49" i="7"/>
  <c r="L49" i="7" s="1"/>
  <c r="H27" i="7"/>
  <c r="J27" i="7" s="1"/>
  <c r="L27" i="7" s="1"/>
  <c r="D20" i="5"/>
  <c r="E20" i="5" s="1"/>
  <c r="D21" i="6" l="1"/>
  <c r="D22" i="6" s="1"/>
  <c r="E22" i="6" s="1"/>
  <c r="V7" i="7"/>
  <c r="V6" i="7"/>
  <c r="F21" i="6"/>
  <c r="K20" i="6"/>
  <c r="F19" i="6"/>
  <c r="D21" i="5"/>
  <c r="D22" i="5" s="1"/>
  <c r="F32" i="7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V16" i="7"/>
  <c r="X16" i="7" s="1"/>
  <c r="V15" i="7"/>
  <c r="X15" i="7" s="1"/>
  <c r="V14" i="7"/>
  <c r="X14" i="7" s="1"/>
  <c r="V9" i="7"/>
  <c r="X9" i="7" s="1"/>
  <c r="X7" i="7"/>
  <c r="X8" i="7"/>
  <c r="V13" i="7"/>
  <c r="X13" i="7" s="1"/>
  <c r="S48" i="7"/>
  <c r="E23" i="7"/>
  <c r="E22" i="7" s="1"/>
  <c r="E21" i="7" s="1"/>
  <c r="E20" i="7" s="1"/>
  <c r="E19" i="7" s="1"/>
  <c r="E18" i="7" s="1"/>
  <c r="E17" i="7" s="1"/>
  <c r="E16" i="7" s="1"/>
  <c r="E15" i="7" s="1"/>
  <c r="E14" i="7" s="1"/>
  <c r="E13" i="7" s="1"/>
  <c r="E12" i="7" s="1"/>
  <c r="E11" i="7" s="1"/>
  <c r="E10" i="7" s="1"/>
  <c r="E9" i="7" s="1"/>
  <c r="E8" i="7" s="1"/>
  <c r="E7" i="7" s="1"/>
  <c r="P8" i="7"/>
  <c r="F23" i="7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F7" i="7" s="1"/>
  <c r="H25" i="7"/>
  <c r="J25" i="7" s="1"/>
  <c r="L25" i="7" s="1"/>
  <c r="H28" i="7"/>
  <c r="V10" i="7" s="1"/>
  <c r="X10" i="7" s="1"/>
  <c r="E22" i="5"/>
  <c r="E21" i="5"/>
  <c r="E21" i="6" l="1"/>
  <c r="X17" i="7"/>
  <c r="K19" i="6"/>
  <c r="F22" i="6"/>
  <c r="K21" i="6"/>
  <c r="X6" i="7"/>
  <c r="S52" i="7"/>
  <c r="S51" i="7"/>
  <c r="P9" i="7"/>
  <c r="J28" i="7"/>
  <c r="L28" i="7" s="1"/>
  <c r="H29" i="7"/>
  <c r="D28" i="5"/>
  <c r="F27" i="6" l="1"/>
  <c r="F23" i="6"/>
  <c r="K22" i="6"/>
  <c r="J29" i="7"/>
  <c r="L29" i="7" s="1"/>
  <c r="V11" i="7"/>
  <c r="P10" i="7"/>
  <c r="X11" i="7" l="1"/>
  <c r="X21" i="7" s="1"/>
  <c r="F12" i="6" s="1"/>
  <c r="X19" i="7"/>
  <c r="F12" i="5"/>
  <c r="F24" i="6"/>
  <c r="K23" i="6"/>
  <c r="F28" i="6"/>
  <c r="K28" i="6" s="1"/>
  <c r="K27" i="6"/>
  <c r="F12" i="3"/>
  <c r="P11" i="7"/>
  <c r="R19" i="6" l="1"/>
  <c r="R26" i="6"/>
  <c r="L26" i="6" s="1"/>
  <c r="R24" i="6"/>
  <c r="L24" i="6" s="1"/>
  <c r="R23" i="6"/>
  <c r="L23" i="6" s="1"/>
  <c r="F11" i="6"/>
  <c r="R27" i="6"/>
  <c r="L27" i="6" s="1"/>
  <c r="R28" i="6"/>
  <c r="L28" i="6" s="1"/>
  <c r="R20" i="6"/>
  <c r="L20" i="6" s="1"/>
  <c r="R21" i="6"/>
  <c r="L21" i="6" s="1"/>
  <c r="R22" i="6"/>
  <c r="L22" i="6" s="1"/>
  <c r="R25" i="6"/>
  <c r="L25" i="6" s="1"/>
  <c r="F25" i="6"/>
  <c r="K24" i="6"/>
  <c r="R25" i="5"/>
  <c r="L25" i="5" s="1"/>
  <c r="R24" i="5"/>
  <c r="L24" i="5" s="1"/>
  <c r="R23" i="5"/>
  <c r="L23" i="5" s="1"/>
  <c r="R26" i="5"/>
  <c r="L26" i="5" s="1"/>
  <c r="R25" i="3"/>
  <c r="L25" i="3" s="1"/>
  <c r="R23" i="3"/>
  <c r="L23" i="3" s="1"/>
  <c r="R24" i="3"/>
  <c r="L24" i="3" s="1"/>
  <c r="R26" i="3"/>
  <c r="L26" i="3" s="1"/>
  <c r="R21" i="3"/>
  <c r="L21" i="3" s="1"/>
  <c r="R19" i="3"/>
  <c r="R27" i="3"/>
  <c r="L27" i="3" s="1"/>
  <c r="R20" i="3"/>
  <c r="R22" i="3"/>
  <c r="L22" i="3" s="1"/>
  <c r="P12" i="7"/>
  <c r="L19" i="6" l="1"/>
  <c r="S19" i="6"/>
  <c r="F26" i="6"/>
  <c r="K25" i="6"/>
  <c r="L20" i="3"/>
  <c r="P13" i="7"/>
  <c r="N19" i="6" l="1"/>
  <c r="O19" i="6" s="1"/>
  <c r="P19" i="6" s="1"/>
  <c r="K26" i="6"/>
  <c r="F30" i="6"/>
  <c r="P14" i="7"/>
  <c r="H20" i="6" l="1"/>
  <c r="T19" i="6"/>
  <c r="P15" i="7"/>
  <c r="N20" i="6" l="1"/>
  <c r="S20" i="6"/>
  <c r="O20" i="6"/>
  <c r="P16" i="7"/>
  <c r="P20" i="6" l="1"/>
  <c r="P17" i="7"/>
  <c r="T20" i="6" l="1"/>
  <c r="H21" i="6"/>
  <c r="P18" i="7"/>
  <c r="N21" i="6" l="1"/>
  <c r="S21" i="6"/>
  <c r="P19" i="7"/>
  <c r="O21" i="6" l="1"/>
  <c r="P21" i="6" s="1"/>
  <c r="P20" i="7"/>
  <c r="T21" i="6" l="1"/>
  <c r="H22" i="6"/>
  <c r="D19" i="3"/>
  <c r="D20" i="3" s="1"/>
  <c r="D21" i="3" s="1"/>
  <c r="D22" i="3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5" i="4"/>
  <c r="N22" i="6" l="1"/>
  <c r="S22" i="6"/>
  <c r="E19" i="3"/>
  <c r="E21" i="3"/>
  <c r="E20" i="3"/>
  <c r="E22" i="3"/>
  <c r="O22" i="6" l="1"/>
  <c r="P22" i="6"/>
  <c r="T22" i="6" l="1"/>
  <c r="H23" i="6"/>
  <c r="R20" i="5"/>
  <c r="L20" i="5" s="1"/>
  <c r="R22" i="5"/>
  <c r="L22" i="5" s="1"/>
  <c r="R21" i="5"/>
  <c r="L21" i="5" s="1"/>
  <c r="R27" i="5"/>
  <c r="L27" i="5" s="1"/>
  <c r="R19" i="5"/>
  <c r="R28" i="5"/>
  <c r="L28" i="5" s="1"/>
  <c r="R18" i="3"/>
  <c r="N23" i="6" l="1"/>
  <c r="S23" i="6"/>
  <c r="L18" i="3"/>
  <c r="S18" i="3"/>
  <c r="S19" i="5"/>
  <c r="L19" i="5"/>
  <c r="F19" i="5"/>
  <c r="F20" i="5"/>
  <c r="F11" i="5"/>
  <c r="F19" i="3"/>
  <c r="F20" i="3" s="1"/>
  <c r="F18" i="3"/>
  <c r="K18" i="3" s="1"/>
  <c r="F11" i="3"/>
  <c r="F21" i="3" l="1"/>
  <c r="K20" i="3"/>
  <c r="O23" i="6"/>
  <c r="P23" i="6" s="1"/>
  <c r="F21" i="5"/>
  <c r="K20" i="5"/>
  <c r="K19" i="5"/>
  <c r="K19" i="3"/>
  <c r="F22" i="3" l="1"/>
  <c r="K21" i="3"/>
  <c r="H24" i="6"/>
  <c r="T23" i="6"/>
  <c r="F22" i="5"/>
  <c r="F23" i="5" s="1"/>
  <c r="K21" i="5"/>
  <c r="N19" i="5"/>
  <c r="F27" i="3" l="1"/>
  <c r="K27" i="3" s="1"/>
  <c r="K22" i="3"/>
  <c r="F23" i="3"/>
  <c r="N24" i="6"/>
  <c r="O24" i="6" s="1"/>
  <c r="P24" i="6" s="1"/>
  <c r="S24" i="6"/>
  <c r="O19" i="5"/>
  <c r="P19" i="5" s="1"/>
  <c r="T19" i="5" s="1"/>
  <c r="F24" i="5"/>
  <c r="K23" i="5"/>
  <c r="F27" i="5"/>
  <c r="K27" i="5" s="1"/>
  <c r="K22" i="5"/>
  <c r="K23" i="3" l="1"/>
  <c r="F24" i="3"/>
  <c r="T24" i="6"/>
  <c r="H25" i="6"/>
  <c r="H20" i="5"/>
  <c r="S20" i="5" s="1"/>
  <c r="K24" i="5"/>
  <c r="F25" i="5"/>
  <c r="F28" i="5"/>
  <c r="K28" i="5" s="1"/>
  <c r="F25" i="3" l="1"/>
  <c r="K24" i="3"/>
  <c r="N25" i="6"/>
  <c r="O25" i="6" s="1"/>
  <c r="P25" i="6" s="1"/>
  <c r="S25" i="6"/>
  <c r="N20" i="5"/>
  <c r="O20" i="5" s="1"/>
  <c r="P20" i="5" s="1"/>
  <c r="T20" i="5" s="1"/>
  <c r="K25" i="5"/>
  <c r="F26" i="5"/>
  <c r="K26" i="5" s="1"/>
  <c r="F30" i="5"/>
  <c r="K25" i="3" l="1"/>
  <c r="F26" i="3"/>
  <c r="K26" i="3" s="1"/>
  <c r="T25" i="6"/>
  <c r="H26" i="6"/>
  <c r="H21" i="5"/>
  <c r="N26" i="6" l="1"/>
  <c r="O26" i="6" s="1"/>
  <c r="S26" i="6"/>
  <c r="S21" i="5"/>
  <c r="N21" i="5"/>
  <c r="P26" i="6" l="1"/>
  <c r="O21" i="5"/>
  <c r="T26" i="6" l="1"/>
  <c r="H27" i="6"/>
  <c r="P21" i="5"/>
  <c r="T21" i="5" s="1"/>
  <c r="N27" i="6" l="1"/>
  <c r="S27" i="6"/>
  <c r="H22" i="5"/>
  <c r="O27" i="6" l="1"/>
  <c r="P27" i="6"/>
  <c r="N22" i="5"/>
  <c r="O22" i="5" s="1"/>
  <c r="P22" i="5" s="1"/>
  <c r="T22" i="5" s="1"/>
  <c r="S22" i="5"/>
  <c r="H28" i="6" l="1"/>
  <c r="T27" i="6"/>
  <c r="H23" i="5"/>
  <c r="N23" i="5" s="1"/>
  <c r="S23" i="5"/>
  <c r="N28" i="6" l="1"/>
  <c r="S28" i="6"/>
  <c r="O28" i="6"/>
  <c r="P28" i="6" s="1"/>
  <c r="O23" i="5"/>
  <c r="P23" i="5" s="1"/>
  <c r="T23" i="5" s="1"/>
  <c r="T28" i="6" l="1"/>
  <c r="P30" i="6"/>
  <c r="H24" i="5"/>
  <c r="S24" i="5" s="1"/>
  <c r="N24" i="5" l="1"/>
  <c r="O24" i="5" s="1"/>
  <c r="P24" i="5" s="1"/>
  <c r="H25" i="5" l="1"/>
  <c r="T24" i="5"/>
  <c r="S25" i="5" l="1"/>
  <c r="N25" i="5"/>
  <c r="F29" i="3"/>
  <c r="O25" i="5" l="1"/>
  <c r="P25" i="5" s="1"/>
  <c r="N18" i="3"/>
  <c r="O18" i="3" s="1"/>
  <c r="H26" i="5" l="1"/>
  <c r="S26" i="5" s="1"/>
  <c r="T25" i="5"/>
  <c r="P18" i="3"/>
  <c r="L19" i="3" s="1"/>
  <c r="N26" i="5" l="1"/>
  <c r="O26" i="5" s="1"/>
  <c r="P26" i="5" s="1"/>
  <c r="H19" i="3"/>
  <c r="T18" i="3"/>
  <c r="T26" i="5" l="1"/>
  <c r="H27" i="5"/>
  <c r="S19" i="3"/>
  <c r="N19" i="3"/>
  <c r="O19" i="3" s="1"/>
  <c r="N27" i="5" l="1"/>
  <c r="S27" i="5"/>
  <c r="P19" i="3"/>
  <c r="H20" i="3" s="1"/>
  <c r="O27" i="5" l="1"/>
  <c r="P27" i="5" s="1"/>
  <c r="S20" i="3"/>
  <c r="T19" i="3"/>
  <c r="H28" i="5" l="1"/>
  <c r="T27" i="5"/>
  <c r="N28" i="5"/>
  <c r="S28" i="5"/>
  <c r="N20" i="3"/>
  <c r="O20" i="3" s="1"/>
  <c r="O28" i="5" l="1"/>
  <c r="P28" i="5" s="1"/>
  <c r="P20" i="3"/>
  <c r="P30" i="5" l="1"/>
  <c r="T28" i="5"/>
  <c r="T20" i="3"/>
  <c r="H21" i="3"/>
  <c r="N21" i="3" l="1"/>
  <c r="O21" i="3" s="1"/>
  <c r="S21" i="3"/>
  <c r="P21" i="3" l="1"/>
  <c r="H22" i="3" s="1"/>
  <c r="T21" i="3" l="1"/>
  <c r="S22" i="3"/>
  <c r="N22" i="3"/>
  <c r="O22" i="3" s="1"/>
  <c r="P22" i="3" l="1"/>
  <c r="T22" i="3" s="1"/>
  <c r="H23" i="3" l="1"/>
  <c r="S23" i="3" s="1"/>
  <c r="N23" i="3"/>
  <c r="O23" i="3" s="1"/>
  <c r="P23" i="3" l="1"/>
  <c r="H24" i="3" s="1"/>
  <c r="G83" i="7"/>
  <c r="N83" i="7" s="1"/>
  <c r="O83" i="7" s="1"/>
  <c r="G82" i="7"/>
  <c r="N82" i="7" s="1"/>
  <c r="O82" i="7" s="1"/>
  <c r="G81" i="7"/>
  <c r="N81" i="7" s="1"/>
  <c r="O81" i="7" s="1"/>
  <c r="G80" i="7"/>
  <c r="K80" i="7" s="1"/>
  <c r="G78" i="7"/>
  <c r="N78" i="7" s="1"/>
  <c r="O78" i="7" s="1"/>
  <c r="G77" i="7"/>
  <c r="N77" i="7" s="1"/>
  <c r="O77" i="7" s="1"/>
  <c r="G76" i="7"/>
  <c r="N76" i="7" s="1"/>
  <c r="O76" i="7" s="1"/>
  <c r="G75" i="7"/>
  <c r="N75" i="7" s="1"/>
  <c r="O75" i="7" s="1"/>
  <c r="K75" i="7"/>
  <c r="G74" i="7"/>
  <c r="N74" i="7" s="1"/>
  <c r="O74" i="7" s="1"/>
  <c r="G73" i="7"/>
  <c r="K73" i="7" s="1"/>
  <c r="G72" i="7"/>
  <c r="N72" i="7" s="1"/>
  <c r="O72" i="7" s="1"/>
  <c r="G71" i="7"/>
  <c r="K71" i="7" s="1"/>
  <c r="G70" i="7"/>
  <c r="N70" i="7" s="1"/>
  <c r="O70" i="7" s="1"/>
  <c r="G69" i="7"/>
  <c r="N69" i="7" s="1"/>
  <c r="O69" i="7" s="1"/>
  <c r="G68" i="7"/>
  <c r="N68" i="7" s="1"/>
  <c r="O68" i="7" s="1"/>
  <c r="G67" i="7"/>
  <c r="N67" i="7" s="1"/>
  <c r="O67" i="7" s="1"/>
  <c r="G66" i="7"/>
  <c r="N66" i="7" s="1"/>
  <c r="O66" i="7" s="1"/>
  <c r="G65" i="7"/>
  <c r="K65" i="7" s="1"/>
  <c r="G64" i="7"/>
  <c r="N64" i="7" s="1"/>
  <c r="O64" i="7" s="1"/>
  <c r="G63" i="7"/>
  <c r="K63" i="7" s="1"/>
  <c r="G62" i="7"/>
  <c r="N62" i="7" s="1"/>
  <c r="O62" i="7" s="1"/>
  <c r="G61" i="7"/>
  <c r="N61" i="7" s="1"/>
  <c r="O61" i="7" s="1"/>
  <c r="G60" i="7"/>
  <c r="N60" i="7" s="1"/>
  <c r="O60" i="7" s="1"/>
  <c r="G59" i="7"/>
  <c r="N59" i="7" s="1"/>
  <c r="O59" i="7" s="1"/>
  <c r="G58" i="7"/>
  <c r="N58" i="7" s="1"/>
  <c r="O58" i="7" s="1"/>
  <c r="G57" i="7"/>
  <c r="K57" i="7" s="1"/>
  <c r="G56" i="7"/>
  <c r="K56" i="7" s="1"/>
  <c r="G55" i="7"/>
  <c r="N55" i="7" s="1"/>
  <c r="O55" i="7" s="1"/>
  <c r="G54" i="7"/>
  <c r="N54" i="7" s="1"/>
  <c r="O54" i="7" s="1"/>
  <c r="G53" i="7"/>
  <c r="N53" i="7" s="1"/>
  <c r="O53" i="7" s="1"/>
  <c r="G52" i="7"/>
  <c r="N52" i="7" s="1"/>
  <c r="O52" i="7" s="1"/>
  <c r="G51" i="7"/>
  <c r="N51" i="7" s="1"/>
  <c r="O51" i="7" s="1"/>
  <c r="K51" i="7"/>
  <c r="G49" i="7"/>
  <c r="N49" i="7" s="1"/>
  <c r="O49" i="7" s="1"/>
  <c r="G48" i="7"/>
  <c r="N48" i="7" s="1"/>
  <c r="O48" i="7" s="1"/>
  <c r="G50" i="7"/>
  <c r="K50" i="7" s="1"/>
  <c r="G47" i="7"/>
  <c r="N47" i="7" s="1"/>
  <c r="O47" i="7" s="1"/>
  <c r="G46" i="7"/>
  <c r="N46" i="7" s="1"/>
  <c r="O46" i="7" s="1"/>
  <c r="G45" i="7"/>
  <c r="N45" i="7" s="1"/>
  <c r="O45" i="7" s="1"/>
  <c r="G44" i="7"/>
  <c r="N44" i="7" s="1"/>
  <c r="O44" i="7" s="1"/>
  <c r="G43" i="7"/>
  <c r="K43" i="7" s="1"/>
  <c r="G42" i="7"/>
  <c r="N42" i="7" s="1"/>
  <c r="O42" i="7" s="1"/>
  <c r="G41" i="7"/>
  <c r="N41" i="7" s="1"/>
  <c r="O41" i="7" s="1"/>
  <c r="G40" i="7"/>
  <c r="K40" i="7" s="1"/>
  <c r="G39" i="7"/>
  <c r="N39" i="7" s="1"/>
  <c r="O39" i="7" s="1"/>
  <c r="G38" i="7"/>
  <c r="N38" i="7" s="1"/>
  <c r="O38" i="7" s="1"/>
  <c r="G37" i="7"/>
  <c r="K37" i="7" s="1"/>
  <c r="G36" i="7"/>
  <c r="N36" i="7" s="1"/>
  <c r="O36" i="7" s="1"/>
  <c r="G35" i="7"/>
  <c r="N35" i="7" s="1"/>
  <c r="O35" i="7" s="1"/>
  <c r="G34" i="7"/>
  <c r="N34" i="7" s="1"/>
  <c r="O34" i="7" s="1"/>
  <c r="G33" i="7"/>
  <c r="N33" i="7" s="1"/>
  <c r="O33" i="7" s="1"/>
  <c r="G32" i="7"/>
  <c r="N32" i="7" s="1"/>
  <c r="O32" i="7" s="1"/>
  <c r="G31" i="7"/>
  <c r="N31" i="7" s="1"/>
  <c r="O31" i="7" s="1"/>
  <c r="G30" i="7"/>
  <c r="N30" i="7" s="1"/>
  <c r="O30" i="7" s="1"/>
  <c r="G29" i="7"/>
  <c r="N29" i="7" s="1"/>
  <c r="O29" i="7" s="1"/>
  <c r="G28" i="7"/>
  <c r="N28" i="7" s="1"/>
  <c r="O28" i="7" s="1"/>
  <c r="G27" i="7"/>
  <c r="N27" i="7" s="1"/>
  <c r="O27" i="7" s="1"/>
  <c r="G21" i="7"/>
  <c r="N21" i="7" s="1"/>
  <c r="O21" i="7" s="1"/>
  <c r="P21" i="7" s="1"/>
  <c r="G23" i="7"/>
  <c r="K23" i="7" s="1"/>
  <c r="G26" i="7"/>
  <c r="N26" i="7" s="1"/>
  <c r="O26" i="7" s="1"/>
  <c r="G22" i="7"/>
  <c r="N22" i="7" s="1"/>
  <c r="O22" i="7" s="1"/>
  <c r="G24" i="7"/>
  <c r="K24" i="7" s="1"/>
  <c r="G25" i="7"/>
  <c r="K25" i="7" s="1"/>
  <c r="G79" i="7"/>
  <c r="N79" i="7" s="1"/>
  <c r="O79" i="7" s="1"/>
  <c r="T23" i="3" l="1"/>
  <c r="S24" i="3"/>
  <c r="N24" i="3"/>
  <c r="O24" i="3" s="1"/>
  <c r="K45" i="7"/>
  <c r="K41" i="7"/>
  <c r="K61" i="7"/>
  <c r="K35" i="7"/>
  <c r="K55" i="7"/>
  <c r="K69" i="7"/>
  <c r="K74" i="7"/>
  <c r="K76" i="7"/>
  <c r="K68" i="7"/>
  <c r="K82" i="7"/>
  <c r="K34" i="7"/>
  <c r="K46" i="7"/>
  <c r="K52" i="7"/>
  <c r="K31" i="7"/>
  <c r="N37" i="7"/>
  <c r="O37" i="7" s="1"/>
  <c r="K42" i="7"/>
  <c r="K47" i="7"/>
  <c r="K32" i="7"/>
  <c r="K59" i="7"/>
  <c r="K64" i="7"/>
  <c r="K48" i="7"/>
  <c r="K60" i="7"/>
  <c r="K66" i="7"/>
  <c r="N71" i="7"/>
  <c r="O71" i="7" s="1"/>
  <c r="N63" i="7"/>
  <c r="O63" i="7" s="1"/>
  <c r="K27" i="7"/>
  <c r="K53" i="7"/>
  <c r="K67" i="7"/>
  <c r="K81" i="7"/>
  <c r="K79" i="7"/>
  <c r="K36" i="7"/>
  <c r="K58" i="7"/>
  <c r="N56" i="7"/>
  <c r="O56" i="7" s="1"/>
  <c r="K77" i="7"/>
  <c r="K28" i="7"/>
  <c r="N50" i="7"/>
  <c r="O50" i="7" s="1"/>
  <c r="K83" i="7"/>
  <c r="K26" i="7"/>
  <c r="K44" i="7"/>
  <c r="N40" i="7"/>
  <c r="O40" i="7" s="1"/>
  <c r="K30" i="7"/>
  <c r="K39" i="7"/>
  <c r="K49" i="7"/>
  <c r="K22" i="7"/>
  <c r="K21" i="7"/>
  <c r="P22" i="7"/>
  <c r="N25" i="7"/>
  <c r="O25" i="7" s="1"/>
  <c r="K72" i="7"/>
  <c r="N80" i="7"/>
  <c r="O80" i="7" s="1"/>
  <c r="N23" i="7"/>
  <c r="O23" i="7" s="1"/>
  <c r="K29" i="7"/>
  <c r="K33" i="7"/>
  <c r="K38" i="7"/>
  <c r="K54" i="7"/>
  <c r="N43" i="7"/>
  <c r="O43" i="7" s="1"/>
  <c r="K62" i="7"/>
  <c r="K70" i="7"/>
  <c r="K78" i="7"/>
  <c r="N57" i="7"/>
  <c r="O57" i="7" s="1"/>
  <c r="N65" i="7"/>
  <c r="O65" i="7" s="1"/>
  <c r="N73" i="7"/>
  <c r="O73" i="7" s="1"/>
  <c r="P24" i="3" l="1"/>
  <c r="P23" i="7"/>
  <c r="S53" i="7" l="1"/>
  <c r="T24" i="3"/>
  <c r="H25" i="3"/>
  <c r="N25" i="3"/>
  <c r="P24" i="7"/>
  <c r="O25" i="3" l="1"/>
  <c r="S25" i="3"/>
  <c r="P25" i="7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X18" i="7"/>
  <c r="P25" i="3"/>
  <c r="T25" i="3" l="1"/>
  <c r="H26" i="3"/>
  <c r="S26" i="3" l="1"/>
  <c r="N26" i="3"/>
  <c r="O26" i="3" s="1"/>
  <c r="P26" i="3" l="1"/>
  <c r="T26" i="3" l="1"/>
  <c r="H27" i="3"/>
  <c r="S27" i="3" l="1"/>
  <c r="N27" i="3"/>
  <c r="O27" i="3" s="1"/>
  <c r="P27" i="3" l="1"/>
  <c r="T27" i="3" l="1"/>
  <c r="P29" i="3"/>
</calcChain>
</file>

<file path=xl/sharedStrings.xml><?xml version="1.0" encoding="utf-8"?>
<sst xmlns="http://schemas.openxmlformats.org/spreadsheetml/2006/main" count="189" uniqueCount="101">
  <si>
    <t xml:space="preserve">Age </t>
  </si>
  <si>
    <t>Daughter Age</t>
  </si>
  <si>
    <t>Current Financial Position</t>
  </si>
  <si>
    <t>Wedding</t>
  </si>
  <si>
    <t>Transportation</t>
  </si>
  <si>
    <t>Electricity</t>
  </si>
  <si>
    <t>Grocery</t>
  </si>
  <si>
    <t>Education</t>
  </si>
  <si>
    <t>Utility</t>
  </si>
  <si>
    <t>Total</t>
  </si>
  <si>
    <t>Expenses (Yearly)</t>
  </si>
  <si>
    <t>Expenses (Monthly)</t>
  </si>
  <si>
    <t>Accumalated Savings</t>
  </si>
  <si>
    <t>Sum Assured</t>
  </si>
  <si>
    <t>Misc. Expenses</t>
  </si>
  <si>
    <t>Initial Sum Assured</t>
  </si>
  <si>
    <t>Policy Setting</t>
  </si>
  <si>
    <t>Premium</t>
  </si>
  <si>
    <t>Cover Multiple</t>
  </si>
  <si>
    <t>Paid in Case of Death</t>
  </si>
  <si>
    <t>Surrender Penalty</t>
  </si>
  <si>
    <t>Policy Year</t>
  </si>
  <si>
    <t>Premium Paid</t>
  </si>
  <si>
    <t>Opening Account Balance</t>
  </si>
  <si>
    <t xml:space="preserve">Allocation Percentage </t>
  </si>
  <si>
    <t>Bid Offer Spread</t>
  </si>
  <si>
    <t xml:space="preserve">Premium Allocated to Account </t>
  </si>
  <si>
    <t>Mortality Charge</t>
  </si>
  <si>
    <t>Policy Admin Fee</t>
  </si>
  <si>
    <t>Investment Management Charge</t>
  </si>
  <si>
    <t>Closing Account Balance</t>
  </si>
  <si>
    <t>Sum at Risk</t>
  </si>
  <si>
    <t>Paid in Case of Surrender - Year End</t>
  </si>
  <si>
    <t>SA + CV</t>
  </si>
  <si>
    <t>Year 1</t>
  </si>
  <si>
    <t>Year 2</t>
  </si>
  <si>
    <t>Investment Income Earned</t>
  </si>
  <si>
    <t>Age</t>
  </si>
  <si>
    <t>e(x) (Life Expectancy)</t>
  </si>
  <si>
    <t>Probaility of surviving Px</t>
  </si>
  <si>
    <t>Mortality Rate (Qx)</t>
  </si>
  <si>
    <t>-</t>
  </si>
  <si>
    <t>50% of Account Value</t>
  </si>
  <si>
    <t>10% of Account Value</t>
  </si>
  <si>
    <t>Total Premium Paid</t>
  </si>
  <si>
    <t>Closing Balance</t>
  </si>
  <si>
    <t>Policyholders Account</t>
  </si>
  <si>
    <t>Start of the Period</t>
  </si>
  <si>
    <t>During</t>
  </si>
  <si>
    <t>Closing Time</t>
  </si>
  <si>
    <t>Sum Assured + CV</t>
  </si>
  <si>
    <t>Jubilee Life Insurance - PKR</t>
  </si>
  <si>
    <t>ICICI Prudential - INR</t>
  </si>
  <si>
    <t>Income</t>
  </si>
  <si>
    <t xml:space="preserve">yearly savings </t>
  </si>
  <si>
    <t>Living Costs</t>
  </si>
  <si>
    <t>Total Costs</t>
  </si>
  <si>
    <t>Year</t>
  </si>
  <si>
    <t>Savings-Premium</t>
  </si>
  <si>
    <t>Savings PV</t>
  </si>
  <si>
    <t>Born</t>
  </si>
  <si>
    <t>Yearly Expense</t>
  </si>
  <si>
    <t>College Education</t>
  </si>
  <si>
    <t>Major Events Total</t>
  </si>
  <si>
    <t>Disposable Income</t>
  </si>
  <si>
    <t>Major Life Events(PV)</t>
  </si>
  <si>
    <t>Accumalted Savings in PV</t>
  </si>
  <si>
    <t>Discount Rate</t>
  </si>
  <si>
    <t>Salary Growth</t>
  </si>
  <si>
    <t>Inflation</t>
  </si>
  <si>
    <t>TIMELINE</t>
  </si>
  <si>
    <t>2 - Year 3 till Wedding</t>
  </si>
  <si>
    <t>1 - Year 2 and before</t>
  </si>
  <si>
    <t>Expenses All Assumed at Age 40 - Year 0</t>
  </si>
  <si>
    <t>3 - After Wedding till Retirement</t>
  </si>
  <si>
    <t>4 - After Retirement</t>
  </si>
  <si>
    <t xml:space="preserve">5 - If Mother Dies then Daughter Expenses </t>
  </si>
  <si>
    <t>Current Expenses</t>
  </si>
  <si>
    <t>Current Savings</t>
  </si>
  <si>
    <t>Current Income</t>
  </si>
  <si>
    <t>Income Required</t>
  </si>
  <si>
    <t>Single Payout</t>
  </si>
  <si>
    <t xml:space="preserve"> Single Payout</t>
  </si>
  <si>
    <t>Total Sum Assured</t>
  </si>
  <si>
    <t>Single Payout less Savings</t>
  </si>
  <si>
    <t>Lower of 6% (AP or FV), subject to a maximum of 21000</t>
  </si>
  <si>
    <t>Lower of 4% of (AP or FV), subject to a maximum of  17500</t>
  </si>
  <si>
    <t>Year 3</t>
  </si>
  <si>
    <t>Lower of 3% of (AP or FV), subject to a maximum of  14000</t>
  </si>
  <si>
    <t>Year 4</t>
  </si>
  <si>
    <t>Lower of 2% of (AP or FV), subject to a maximum of  7000</t>
  </si>
  <si>
    <t>Year 5 onwards</t>
  </si>
  <si>
    <t>Nil</t>
  </si>
  <si>
    <t>Year 1/2</t>
  </si>
  <si>
    <t>20% of Account Value</t>
  </si>
  <si>
    <t>onwards</t>
  </si>
  <si>
    <t>100% Cash Value of the fund</t>
  </si>
  <si>
    <t>Allianaz - MR</t>
  </si>
  <si>
    <t>Sum Assured &amp; Funeral Cost</t>
  </si>
  <si>
    <t xml:space="preserve">total income required </t>
  </si>
  <si>
    <t>funeral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</si>
</sst>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84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15" xfId="0" applyFont="1" applyBorder="1"/>
    <xf numFmtId="41" fontId="4" fillId="0" borderId="16" xfId="1" applyFont="1" applyBorder="1"/>
    <xf numFmtId="0" fontId="4" fillId="0" borderId="5" xfId="0" applyFont="1" applyBorder="1"/>
    <xf numFmtId="41" fontId="4" fillId="0" borderId="6" xfId="1" applyFont="1" applyBorder="1"/>
    <xf numFmtId="0" fontId="4" fillId="0" borderId="7" xfId="0" applyFont="1" applyBorder="1"/>
    <xf numFmtId="41" fontId="4" fillId="0" borderId="8" xfId="0" applyNumberFormat="1" applyFont="1" applyBorder="1"/>
    <xf numFmtId="3" fontId="4" fillId="0" borderId="6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0" fontId="8" fillId="0" borderId="0" xfId="2" applyNumberFormat="1" applyFont="1" applyAlignment="1">
      <alignment horizontal="center"/>
    </xf>
    <xf numFmtId="10" fontId="7" fillId="0" borderId="0" xfId="2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Font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41" fontId="10" fillId="0" borderId="0" xfId="1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41" fontId="10" fillId="0" borderId="0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9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41" fontId="10" fillId="0" borderId="0" xfId="0" applyNumberFormat="1" applyFont="1" applyBorder="1" applyAlignment="1">
      <alignment vertical="center" wrapText="1"/>
    </xf>
    <xf numFmtId="2" fontId="10" fillId="0" borderId="0" xfId="0" applyNumberFormat="1" applyFont="1" applyBorder="1" applyAlignment="1">
      <alignment vertical="center" wrapText="1"/>
    </xf>
    <xf numFmtId="41" fontId="12" fillId="0" borderId="0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3" fontId="10" fillId="0" borderId="24" xfId="0" applyNumberFormat="1" applyFont="1" applyBorder="1" applyAlignment="1">
      <alignment vertical="center" wrapText="1"/>
    </xf>
    <xf numFmtId="9" fontId="10" fillId="0" borderId="24" xfId="0" applyNumberFormat="1" applyFont="1" applyBorder="1" applyAlignment="1">
      <alignment vertical="center" wrapText="1"/>
    </xf>
    <xf numFmtId="41" fontId="10" fillId="0" borderId="24" xfId="0" applyNumberFormat="1" applyFont="1" applyBorder="1" applyAlignment="1">
      <alignment vertical="center" wrapText="1"/>
    </xf>
    <xf numFmtId="41" fontId="10" fillId="0" borderId="24" xfId="1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41" fontId="9" fillId="0" borderId="2" xfId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41" fontId="10" fillId="0" borderId="2" xfId="0" applyNumberFormat="1" applyFont="1" applyBorder="1" applyAlignment="1">
      <alignment vertical="center" wrapText="1"/>
    </xf>
    <xf numFmtId="3" fontId="10" fillId="0" borderId="2" xfId="0" applyNumberFormat="1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41" fontId="10" fillId="0" borderId="0" xfId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9" fontId="10" fillId="0" borderId="23" xfId="0" applyNumberFormat="1" applyFont="1" applyBorder="1" applyAlignment="1">
      <alignment horizontal="center" vertical="center" wrapText="1"/>
    </xf>
    <xf numFmtId="41" fontId="10" fillId="0" borderId="23" xfId="1" applyFont="1" applyBorder="1" applyAlignment="1">
      <alignment horizontal="center" vertical="center" wrapText="1"/>
    </xf>
    <xf numFmtId="41" fontId="10" fillId="0" borderId="35" xfId="1" applyFont="1" applyBorder="1" applyAlignment="1">
      <alignment horizontal="center" vertical="center" wrapText="1"/>
    </xf>
    <xf numFmtId="41" fontId="10" fillId="0" borderId="10" xfId="1" applyFont="1" applyBorder="1" applyAlignment="1">
      <alignment horizontal="center" vertical="center" wrapText="1"/>
    </xf>
    <xf numFmtId="41" fontId="10" fillId="0" borderId="11" xfId="0" applyNumberFormat="1" applyFont="1" applyBorder="1" applyAlignment="1">
      <alignment horizontal="center" vertical="center" wrapText="1"/>
    </xf>
    <xf numFmtId="41" fontId="12" fillId="0" borderId="35" xfId="0" applyNumberFormat="1" applyFont="1" applyBorder="1" applyAlignment="1">
      <alignment horizontal="center" vertical="center" wrapText="1"/>
    </xf>
    <xf numFmtId="41" fontId="10" fillId="0" borderId="12" xfId="1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9" fontId="10" fillId="0" borderId="0" xfId="0" applyNumberFormat="1" applyFont="1" applyBorder="1" applyAlignment="1">
      <alignment horizontal="center" vertical="center" wrapText="1"/>
    </xf>
    <xf numFmtId="41" fontId="10" fillId="0" borderId="37" xfId="1" applyFont="1" applyBorder="1" applyAlignment="1">
      <alignment horizontal="center" vertical="center" wrapText="1"/>
    </xf>
    <xf numFmtId="41" fontId="12" fillId="0" borderId="37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41" fontId="10" fillId="0" borderId="13" xfId="0" applyNumberFormat="1" applyFont="1" applyBorder="1" applyAlignment="1">
      <alignment horizontal="center" vertical="center" wrapText="1"/>
    </xf>
    <xf numFmtId="9" fontId="10" fillId="0" borderId="24" xfId="0" applyNumberFormat="1" applyFont="1" applyBorder="1" applyAlignment="1">
      <alignment horizontal="center" vertical="center" wrapText="1"/>
    </xf>
    <xf numFmtId="41" fontId="10" fillId="0" borderId="24" xfId="1" applyFont="1" applyBorder="1" applyAlignment="1">
      <alignment horizontal="center" vertical="center" wrapText="1"/>
    </xf>
    <xf numFmtId="41" fontId="10" fillId="0" borderId="38" xfId="1" applyFont="1" applyBorder="1" applyAlignment="1">
      <alignment horizontal="center" vertical="center" wrapText="1"/>
    </xf>
    <xf numFmtId="41" fontId="10" fillId="0" borderId="14" xfId="1" applyFont="1" applyBorder="1" applyAlignment="1">
      <alignment horizontal="center" vertical="center" wrapText="1"/>
    </xf>
    <xf numFmtId="41" fontId="12" fillId="0" borderId="38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right" vertical="center" wrapText="1"/>
    </xf>
    <xf numFmtId="3" fontId="10" fillId="0" borderId="14" xfId="0" applyNumberFormat="1" applyFont="1" applyBorder="1" applyAlignment="1">
      <alignment horizontal="right" vertical="center" wrapText="1"/>
    </xf>
    <xf numFmtId="41" fontId="10" fillId="0" borderId="9" xfId="1" applyFont="1" applyBorder="1" applyAlignment="1">
      <alignment horizontal="center" vertical="center" wrapText="1"/>
    </xf>
    <xf numFmtId="41" fontId="0" fillId="0" borderId="0" xfId="1" applyFont="1" applyAlignment="1">
      <alignment horizontal="center"/>
    </xf>
    <xf numFmtId="41" fontId="0" fillId="0" borderId="0" xfId="1" applyFont="1" applyFill="1" applyAlignment="1">
      <alignment horizontal="center"/>
    </xf>
    <xf numFmtId="41" fontId="0" fillId="0" borderId="1" xfId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41" fontId="0" fillId="3" borderId="1" xfId="1" applyFont="1" applyFill="1" applyBorder="1" applyAlignment="1">
      <alignment horizontal="center"/>
    </xf>
    <xf numFmtId="41" fontId="6" fillId="3" borderId="1" xfId="1" applyFont="1" applyFill="1" applyBorder="1" applyAlignment="1">
      <alignment horizontal="center"/>
    </xf>
    <xf numFmtId="41" fontId="5" fillId="3" borderId="1" xfId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41" fontId="0" fillId="2" borderId="1" xfId="1" applyFont="1" applyFill="1" applyBorder="1" applyAlignment="1">
      <alignment horizontal="center"/>
    </xf>
    <xf numFmtId="41" fontId="0" fillId="0" borderId="30" xfId="1" applyFont="1" applyFill="1" applyBorder="1" applyAlignment="1">
      <alignment horizontal="center"/>
    </xf>
    <xf numFmtId="41" fontId="0" fillId="0" borderId="4" xfId="1" applyFont="1" applyFill="1" applyBorder="1" applyAlignment="1">
      <alignment horizontal="center"/>
    </xf>
    <xf numFmtId="0" fontId="0" fillId="3" borderId="5" xfId="1" applyNumberFormat="1" applyFont="1" applyFill="1" applyBorder="1" applyAlignment="1">
      <alignment horizontal="center"/>
    </xf>
    <xf numFmtId="41" fontId="0" fillId="3" borderId="6" xfId="1" applyFont="1" applyFill="1" applyBorder="1" applyAlignment="1">
      <alignment horizontal="center"/>
    </xf>
    <xf numFmtId="0" fontId="0" fillId="2" borderId="5" xfId="1" applyNumberFormat="1" applyFont="1" applyFill="1" applyBorder="1" applyAlignment="1">
      <alignment horizontal="center"/>
    </xf>
    <xf numFmtId="41" fontId="0" fillId="2" borderId="6" xfId="1" applyFont="1" applyFill="1" applyBorder="1" applyAlignment="1">
      <alignment horizontal="center"/>
    </xf>
    <xf numFmtId="0" fontId="0" fillId="2" borderId="7" xfId="1" applyNumberFormat="1" applyFont="1" applyFill="1" applyBorder="1" applyAlignment="1">
      <alignment horizontal="center"/>
    </xf>
    <xf numFmtId="0" fontId="0" fillId="2" borderId="31" xfId="1" applyNumberFormat="1" applyFont="1" applyFill="1" applyBorder="1" applyAlignment="1">
      <alignment horizontal="center"/>
    </xf>
    <xf numFmtId="41" fontId="0" fillId="2" borderId="31" xfId="1" applyFont="1" applyFill="1" applyBorder="1" applyAlignment="1">
      <alignment horizontal="center"/>
    </xf>
    <xf numFmtId="41" fontId="0" fillId="2" borderId="8" xfId="1" applyFont="1" applyFill="1" applyBorder="1" applyAlignment="1">
      <alignment horizontal="center"/>
    </xf>
    <xf numFmtId="0" fontId="0" fillId="3" borderId="15" xfId="1" applyNumberFormat="1" applyFont="1" applyFill="1" applyBorder="1" applyAlignment="1">
      <alignment horizontal="center"/>
    </xf>
    <xf numFmtId="0" fontId="0" fillId="3" borderId="29" xfId="1" applyNumberFormat="1" applyFont="1" applyFill="1" applyBorder="1" applyAlignment="1">
      <alignment horizontal="center"/>
    </xf>
    <xf numFmtId="41" fontId="0" fillId="3" borderId="29" xfId="1" applyFont="1" applyFill="1" applyBorder="1" applyAlignment="1">
      <alignment horizontal="center"/>
    </xf>
    <xf numFmtId="41" fontId="6" fillId="3" borderId="29" xfId="1" applyFont="1" applyFill="1" applyBorder="1" applyAlignment="1">
      <alignment horizontal="center"/>
    </xf>
    <xf numFmtId="41" fontId="0" fillId="3" borderId="16" xfId="1" applyFont="1" applyFill="1" applyBorder="1" applyAlignment="1">
      <alignment horizontal="center"/>
    </xf>
    <xf numFmtId="41" fontId="0" fillId="0" borderId="36" xfId="1" applyFont="1" applyFill="1" applyBorder="1" applyAlignment="1">
      <alignment horizontal="center"/>
    </xf>
    <xf numFmtId="41" fontId="0" fillId="0" borderId="20" xfId="1" applyFont="1" applyFill="1" applyBorder="1" applyAlignment="1">
      <alignment horizontal="center"/>
    </xf>
    <xf numFmtId="41" fontId="3" fillId="0" borderId="19" xfId="1" applyFont="1" applyBorder="1" applyAlignment="1">
      <alignment horizontal="center"/>
    </xf>
    <xf numFmtId="41" fontId="3" fillId="0" borderId="36" xfId="1" applyFont="1" applyBorder="1" applyAlignment="1">
      <alignment horizontal="center"/>
    </xf>
    <xf numFmtId="41" fontId="3" fillId="0" borderId="36" xfId="1" applyFont="1" applyFill="1" applyBorder="1" applyAlignment="1">
      <alignment horizontal="center"/>
    </xf>
    <xf numFmtId="41" fontId="13" fillId="0" borderId="36" xfId="1" applyFont="1" applyFill="1" applyBorder="1" applyAlignment="1">
      <alignment horizontal="center"/>
    </xf>
    <xf numFmtId="41" fontId="3" fillId="0" borderId="20" xfId="1" applyFont="1" applyFill="1" applyBorder="1" applyAlignment="1">
      <alignment horizontal="center"/>
    </xf>
    <xf numFmtId="41" fontId="2" fillId="0" borderId="17" xfId="1" applyFont="1" applyFill="1" applyBorder="1" applyAlignment="1">
      <alignment horizontal="center"/>
    </xf>
    <xf numFmtId="41" fontId="2" fillId="0" borderId="34" xfId="1" applyFont="1" applyFill="1" applyBorder="1" applyAlignment="1">
      <alignment horizontal="center"/>
    </xf>
    <xf numFmtId="41" fontId="2" fillId="0" borderId="18" xfId="1" applyFont="1" applyFill="1" applyBorder="1" applyAlignment="1">
      <alignment horizontal="center"/>
    </xf>
    <xf numFmtId="9" fontId="0" fillId="0" borderId="17" xfId="1" applyNumberFormat="1" applyFont="1" applyFill="1" applyBorder="1" applyAlignment="1">
      <alignment horizontal="center"/>
    </xf>
    <xf numFmtId="9" fontId="0" fillId="0" borderId="18" xfId="1" applyNumberFormat="1" applyFont="1" applyFill="1" applyBorder="1" applyAlignment="1">
      <alignment horizontal="center"/>
    </xf>
    <xf numFmtId="184" fontId="0" fillId="0" borderId="17" xfId="2" applyNumberFormat="1" applyFont="1" applyFill="1" applyBorder="1" applyAlignment="1">
      <alignment horizontal="center"/>
    </xf>
    <xf numFmtId="184" fontId="0" fillId="0" borderId="18" xfId="2" applyNumberFormat="1" applyFont="1" applyFill="1" applyBorder="1" applyAlignment="1">
      <alignment horizontal="center"/>
    </xf>
    <xf numFmtId="41" fontId="14" fillId="0" borderId="0" xfId="1" applyFont="1" applyFill="1" applyBorder="1" applyAlignment="1">
      <alignment horizontal="center" vertical="center"/>
    </xf>
    <xf numFmtId="41" fontId="14" fillId="0" borderId="24" xfId="1" applyFont="1" applyFill="1" applyBorder="1" applyAlignment="1">
      <alignment horizontal="center" vertical="center"/>
    </xf>
    <xf numFmtId="0" fontId="4" fillId="0" borderId="21" xfId="0" applyFont="1" applyBorder="1"/>
    <xf numFmtId="3" fontId="4" fillId="0" borderId="22" xfId="0" applyNumberFormat="1" applyFont="1" applyBorder="1"/>
    <xf numFmtId="0" fontId="4" fillId="0" borderId="19" xfId="0" applyFont="1" applyBorder="1"/>
    <xf numFmtId="3" fontId="4" fillId="0" borderId="20" xfId="0" applyNumberFormat="1" applyFont="1" applyBorder="1"/>
    <xf numFmtId="0" fontId="4" fillId="0" borderId="20" xfId="0" applyFont="1" applyBorder="1"/>
    <xf numFmtId="41" fontId="0" fillId="0" borderId="3" xfId="1" applyFont="1" applyFill="1" applyBorder="1" applyAlignment="1">
      <alignment horizontal="center"/>
    </xf>
    <xf numFmtId="41" fontId="0" fillId="0" borderId="5" xfId="1" applyFont="1" applyFill="1" applyBorder="1" applyAlignment="1">
      <alignment horizontal="center"/>
    </xf>
    <xf numFmtId="41" fontId="0" fillId="0" borderId="6" xfId="1" applyFont="1" applyFill="1" applyBorder="1" applyAlignment="1">
      <alignment horizontal="center"/>
    </xf>
    <xf numFmtId="41" fontId="0" fillId="0" borderId="8" xfId="1" applyFont="1" applyFill="1" applyBorder="1" applyAlignment="1">
      <alignment horizontal="center"/>
    </xf>
    <xf numFmtId="41" fontId="2" fillId="0" borderId="3" xfId="1" applyFont="1" applyFill="1" applyBorder="1" applyAlignment="1">
      <alignment horizontal="center"/>
    </xf>
    <xf numFmtId="41" fontId="2" fillId="0" borderId="5" xfId="1" applyFont="1" applyFill="1" applyBorder="1" applyAlignment="1">
      <alignment horizontal="center"/>
    </xf>
    <xf numFmtId="41" fontId="2" fillId="0" borderId="7" xfId="1" applyFont="1" applyFill="1" applyBorder="1" applyAlignment="1">
      <alignment horizontal="center"/>
    </xf>
    <xf numFmtId="41" fontId="0" fillId="0" borderId="19" xfId="1" applyFont="1" applyFill="1" applyBorder="1" applyAlignment="1">
      <alignment horizontal="center"/>
    </xf>
    <xf numFmtId="41" fontId="0" fillId="0" borderId="21" xfId="1" applyFont="1" applyFill="1" applyBorder="1" applyAlignment="1">
      <alignment horizontal="center"/>
    </xf>
    <xf numFmtId="41" fontId="0" fillId="0" borderId="28" xfId="1" applyFont="1" applyFill="1" applyBorder="1" applyAlignment="1">
      <alignment horizontal="center"/>
    </xf>
    <xf numFmtId="41" fontId="0" fillId="0" borderId="22" xfId="1" applyFont="1" applyFill="1" applyBorder="1" applyAlignment="1">
      <alignment horizontal="center"/>
    </xf>
    <xf numFmtId="41" fontId="10" fillId="0" borderId="35" xfId="0" applyNumberFormat="1" applyFont="1" applyBorder="1" applyAlignment="1">
      <alignment horizontal="center" vertical="center" wrapText="1"/>
    </xf>
    <xf numFmtId="41" fontId="10" fillId="0" borderId="37" xfId="0" applyNumberFormat="1" applyFont="1" applyBorder="1" applyAlignment="1">
      <alignment horizontal="center" vertical="center" wrapText="1"/>
    </xf>
    <xf numFmtId="41" fontId="10" fillId="0" borderId="38" xfId="0" applyNumberFormat="1" applyFont="1" applyBorder="1" applyAlignment="1">
      <alignment horizontal="center" vertical="center" wrapText="1"/>
    </xf>
    <xf numFmtId="41" fontId="10" fillId="0" borderId="11" xfId="1" applyFont="1" applyBorder="1" applyAlignment="1">
      <alignment horizontal="center" vertical="center" wrapText="1"/>
    </xf>
    <xf numFmtId="41" fontId="10" fillId="0" borderId="13" xfId="1" applyFont="1" applyBorder="1" applyAlignment="1">
      <alignment horizontal="center" vertical="center" wrapText="1"/>
    </xf>
    <xf numFmtId="0" fontId="12" fillId="0" borderId="0" xfId="0" applyFont="1"/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2" fillId="0" borderId="0" xfId="0" applyFont="1"/>
    <xf numFmtId="41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41" fontId="0" fillId="0" borderId="32" xfId="1" applyFont="1" applyBorder="1" applyAlignment="1">
      <alignment horizontal="center"/>
    </xf>
    <xf numFmtId="41" fontId="0" fillId="0" borderId="25" xfId="1" applyFont="1" applyBorder="1" applyAlignment="1">
      <alignment horizontal="center"/>
    </xf>
    <xf numFmtId="41" fontId="0" fillId="0" borderId="26" xfId="1" applyFont="1" applyBorder="1" applyAlignment="1">
      <alignment horizontal="center"/>
    </xf>
    <xf numFmtId="41" fontId="0" fillId="0" borderId="1" xfId="1" applyFont="1" applyBorder="1" applyAlignment="1">
      <alignment horizontal="center"/>
    </xf>
    <xf numFmtId="41" fontId="0" fillId="0" borderId="5" xfId="1" applyFont="1" applyBorder="1" applyAlignment="1">
      <alignment horizontal="center"/>
    </xf>
    <xf numFmtId="41" fontId="0" fillId="0" borderId="6" xfId="1" applyFont="1" applyBorder="1" applyAlignment="1">
      <alignment horizontal="center"/>
    </xf>
    <xf numFmtId="41" fontId="0" fillId="0" borderId="40" xfId="1" applyFont="1" applyBorder="1" applyAlignment="1">
      <alignment horizontal="center"/>
    </xf>
    <xf numFmtId="41" fontId="0" fillId="0" borderId="33" xfId="1" applyFont="1" applyBorder="1" applyAlignment="1">
      <alignment horizontal="center"/>
    </xf>
    <xf numFmtId="41" fontId="0" fillId="0" borderId="42" xfId="1" applyFont="1" applyBorder="1" applyAlignment="1">
      <alignment horizontal="center"/>
    </xf>
    <xf numFmtId="41" fontId="0" fillId="0" borderId="39" xfId="1" applyFont="1" applyBorder="1" applyAlignment="1">
      <alignment horizontal="center"/>
    </xf>
    <xf numFmtId="41" fontId="0" fillId="0" borderId="43" xfId="1" applyFont="1" applyBorder="1" applyAlignment="1">
      <alignment horizontal="center"/>
    </xf>
    <xf numFmtId="41" fontId="0" fillId="0" borderId="41" xfId="1" applyFont="1" applyBorder="1" applyAlignment="1">
      <alignment horizontal="center"/>
    </xf>
    <xf numFmtId="41" fontId="0" fillId="0" borderId="44" xfId="1" applyFont="1" applyBorder="1" applyAlignment="1">
      <alignment horizontal="center"/>
    </xf>
    <xf numFmtId="0" fontId="0" fillId="4" borderId="5" xfId="1" applyNumberFormat="1" applyFont="1" applyFill="1" applyBorder="1" applyAlignment="1">
      <alignment horizontal="center"/>
    </xf>
    <xf numFmtId="0" fontId="0" fillId="4" borderId="1" xfId="1" applyNumberFormat="1" applyFont="1" applyFill="1" applyBorder="1" applyAlignment="1">
      <alignment horizontal="center"/>
    </xf>
    <xf numFmtId="41" fontId="0" fillId="4" borderId="1" xfId="1" applyFont="1" applyFill="1" applyBorder="1" applyAlignment="1">
      <alignment horizontal="center"/>
    </xf>
    <xf numFmtId="41" fontId="0" fillId="4" borderId="6" xfId="1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9DC2-C99D-1E4A-BC26-1519A4E04AC8}">
  <dimension ref="B1:AA83"/>
  <sheetViews>
    <sheetView topLeftCell="M1" zoomScale="70" zoomScaleNormal="70" workbookViewId="0">
      <selection activeCell="U38" sqref="U38"/>
    </sheetView>
  </sheetViews>
  <sheetFormatPr baseColWidth="10" defaultColWidth="17.83203125" defaultRowHeight="16" outlineLevelRow="1" outlineLevelCol="1" x14ac:dyDescent="0.2"/>
  <cols>
    <col min="1" max="1" width="3.5" style="97" customWidth="1"/>
    <col min="2" max="2" width="6.33203125" style="97" customWidth="1"/>
    <col min="3" max="3" width="17.83203125" style="97" customWidth="1" outlineLevel="1"/>
    <col min="4" max="4" width="17.83203125" style="97"/>
    <col min="5" max="6" width="17.83203125" style="97" customWidth="1" outlineLevel="1"/>
    <col min="7" max="7" width="17.83203125" style="97" customWidth="1"/>
    <col min="8" max="9" width="17.83203125" style="97" customWidth="1" outlineLevel="1"/>
    <col min="10" max="15" width="17.83203125" style="97"/>
    <col min="16" max="16" width="23.83203125" style="97" bestFit="1" customWidth="1"/>
    <col min="17" max="17" width="17.83203125" style="97"/>
    <col min="18" max="19" width="22.5" style="97" customWidth="1"/>
    <col min="20" max="16384" width="17.83203125" style="97"/>
  </cols>
  <sheetData>
    <row r="1" spans="2:24" x14ac:dyDescent="0.2">
      <c r="B1" s="134" t="s">
        <v>70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2:24" x14ac:dyDescent="0.2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2:24" ht="17" thickBot="1" x14ac:dyDescent="0.25"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2:24" ht="17" thickBot="1" x14ac:dyDescent="0.25">
      <c r="B4" s="127" t="s">
        <v>67</v>
      </c>
      <c r="C4" s="128"/>
      <c r="D4" s="129"/>
      <c r="E4" s="132">
        <v>0.215</v>
      </c>
      <c r="F4" s="133"/>
      <c r="G4" s="127" t="s">
        <v>68</v>
      </c>
      <c r="H4" s="128"/>
      <c r="I4" s="129"/>
      <c r="J4" s="130">
        <v>0.1</v>
      </c>
      <c r="K4" s="131"/>
      <c r="L4" s="127" t="s">
        <v>69</v>
      </c>
      <c r="M4" s="128"/>
      <c r="N4" s="129"/>
      <c r="O4" s="130">
        <v>0.09</v>
      </c>
      <c r="P4" s="131"/>
      <c r="R4" s="127" t="s">
        <v>73</v>
      </c>
      <c r="S4" s="129"/>
      <c r="U4" s="127" t="s">
        <v>98</v>
      </c>
      <c r="V4" s="128"/>
      <c r="W4" s="128"/>
      <c r="X4" s="129"/>
    </row>
    <row r="5" spans="2:24" ht="17" thickBot="1" x14ac:dyDescent="0.25">
      <c r="B5" s="122" t="s">
        <v>57</v>
      </c>
      <c r="C5" s="123" t="s">
        <v>1</v>
      </c>
      <c r="D5" s="124" t="s">
        <v>37</v>
      </c>
      <c r="E5" s="124" t="s">
        <v>53</v>
      </c>
      <c r="F5" s="125" t="s">
        <v>61</v>
      </c>
      <c r="G5" s="125" t="s">
        <v>54</v>
      </c>
      <c r="H5" s="125" t="s">
        <v>62</v>
      </c>
      <c r="I5" s="125" t="s">
        <v>3</v>
      </c>
      <c r="J5" s="125" t="s">
        <v>63</v>
      </c>
      <c r="K5" s="125" t="s">
        <v>64</v>
      </c>
      <c r="L5" s="125" t="s">
        <v>65</v>
      </c>
      <c r="M5" s="124" t="s">
        <v>17</v>
      </c>
      <c r="N5" s="124" t="s">
        <v>58</v>
      </c>
      <c r="O5" s="124" t="s">
        <v>59</v>
      </c>
      <c r="P5" s="126" t="s">
        <v>66</v>
      </c>
      <c r="R5" s="1" t="s">
        <v>72</v>
      </c>
      <c r="S5" s="2"/>
      <c r="U5" s="148" t="s">
        <v>57</v>
      </c>
      <c r="V5" s="120" t="s">
        <v>80</v>
      </c>
      <c r="W5" s="120" t="s">
        <v>81</v>
      </c>
      <c r="X5" s="121" t="s">
        <v>15</v>
      </c>
    </row>
    <row r="6" spans="2:24" outlineLevel="1" x14ac:dyDescent="0.2">
      <c r="B6" s="115">
        <v>-18</v>
      </c>
      <c r="C6" s="116">
        <v>-1</v>
      </c>
      <c r="D6" s="116">
        <v>22</v>
      </c>
      <c r="E6" s="117">
        <v>0</v>
      </c>
      <c r="F6" s="118">
        <v>0</v>
      </c>
      <c r="G6" s="118">
        <v>0</v>
      </c>
      <c r="H6" s="118">
        <v>0</v>
      </c>
      <c r="I6" s="118"/>
      <c r="J6" s="118">
        <v>0</v>
      </c>
      <c r="K6" s="117">
        <f t="shared" ref="K6:K23" si="0">G6-J6</f>
        <v>0</v>
      </c>
      <c r="L6" s="100">
        <f>J6/((1+$E$4)^B6)</f>
        <v>0</v>
      </c>
      <c r="M6" s="117">
        <v>0</v>
      </c>
      <c r="N6" s="117">
        <v>0</v>
      </c>
      <c r="O6" s="117">
        <v>0</v>
      </c>
      <c r="P6" s="119">
        <v>0</v>
      </c>
      <c r="R6" s="7" t="s">
        <v>4</v>
      </c>
      <c r="S6" s="11">
        <v>30000</v>
      </c>
      <c r="U6" s="141">
        <v>0</v>
      </c>
      <c r="V6" s="105">
        <f>(12*$S$44+45000*12)</f>
        <v>2400000</v>
      </c>
      <c r="W6" s="105"/>
      <c r="X6" s="106">
        <f>V6/(1+$E$4)^U6</f>
        <v>2400000</v>
      </c>
    </row>
    <row r="7" spans="2:24" outlineLevel="1" x14ac:dyDescent="0.2">
      <c r="B7" s="107">
        <v>-17</v>
      </c>
      <c r="C7" s="99" t="s">
        <v>60</v>
      </c>
      <c r="D7" s="99">
        <v>23</v>
      </c>
      <c r="E7" s="100">
        <f>E8/(1+$J$4)</f>
        <v>759723.52857651829</v>
      </c>
      <c r="F7" s="102">
        <f t="shared" ref="F7:F22" si="1">F8/1.1</f>
        <v>605404.68683441298</v>
      </c>
      <c r="G7" s="100">
        <v>0</v>
      </c>
      <c r="H7" s="101">
        <v>0</v>
      </c>
      <c r="I7" s="101">
        <v>0</v>
      </c>
      <c r="J7" s="101">
        <v>0</v>
      </c>
      <c r="K7" s="100">
        <f t="shared" si="0"/>
        <v>0</v>
      </c>
      <c r="L7" s="100">
        <f t="shared" ref="L7:L70" si="2">J7/((1+$E$4)^B7)</f>
        <v>0</v>
      </c>
      <c r="M7" s="100">
        <v>0</v>
      </c>
      <c r="N7" s="100">
        <f t="shared" ref="N7:N26" si="3">G7-M7</f>
        <v>0</v>
      </c>
      <c r="O7" s="100">
        <f>N7/((1+$E$4)^B7)</f>
        <v>0</v>
      </c>
      <c r="P7" s="108">
        <f>O7+P6</f>
        <v>0</v>
      </c>
      <c r="R7" s="7" t="s">
        <v>5</v>
      </c>
      <c r="S7" s="11">
        <v>45000</v>
      </c>
      <c r="U7" s="142">
        <v>1</v>
      </c>
      <c r="V7" s="98">
        <f>(12*$S$44+45000*12)</f>
        <v>2400000</v>
      </c>
      <c r="W7" s="98"/>
      <c r="X7" s="143">
        <f t="shared" ref="X7:X16" si="4">V7/(1+$E$4)^U7</f>
        <v>1975308.6419753085</v>
      </c>
    </row>
    <row r="8" spans="2:24" outlineLevel="1" x14ac:dyDescent="0.2">
      <c r="B8" s="107">
        <v>-16</v>
      </c>
      <c r="C8" s="99">
        <v>1</v>
      </c>
      <c r="D8" s="99">
        <v>24</v>
      </c>
      <c r="E8" s="100">
        <f>E9/(1+$J$4)</f>
        <v>835695.88143417018</v>
      </c>
      <c r="F8" s="102">
        <f t="shared" si="1"/>
        <v>665945.15551785438</v>
      </c>
      <c r="G8" s="100">
        <v>0</v>
      </c>
      <c r="H8" s="101">
        <v>0</v>
      </c>
      <c r="I8" s="101">
        <v>0</v>
      </c>
      <c r="J8" s="101">
        <v>0</v>
      </c>
      <c r="K8" s="100">
        <f t="shared" si="0"/>
        <v>0</v>
      </c>
      <c r="L8" s="100">
        <f t="shared" si="2"/>
        <v>0</v>
      </c>
      <c r="M8" s="100">
        <v>0</v>
      </c>
      <c r="N8" s="100">
        <f t="shared" si="3"/>
        <v>0</v>
      </c>
      <c r="O8" s="100">
        <f>N8/((1+$E$4)^B8)</f>
        <v>0</v>
      </c>
      <c r="P8" s="108">
        <f t="shared" ref="P8:P71" si="5">O8+P7</f>
        <v>0</v>
      </c>
      <c r="R8" s="7" t="s">
        <v>6</v>
      </c>
      <c r="S8" s="11">
        <v>80000</v>
      </c>
      <c r="U8" s="142">
        <v>2</v>
      </c>
      <c r="V8" s="98">
        <f>(12*$S$44)+H26</f>
        <v>3160000</v>
      </c>
      <c r="W8" s="98"/>
      <c r="X8" s="143">
        <f t="shared" si="4"/>
        <v>2140595.0989855882</v>
      </c>
    </row>
    <row r="9" spans="2:24" outlineLevel="1" x14ac:dyDescent="0.2">
      <c r="B9" s="107">
        <v>-15</v>
      </c>
      <c r="C9" s="99">
        <v>2</v>
      </c>
      <c r="D9" s="99">
        <v>25</v>
      </c>
      <c r="E9" s="100">
        <f>E10/(1+$J$4)</f>
        <v>919265.46957758721</v>
      </c>
      <c r="F9" s="102">
        <f t="shared" si="1"/>
        <v>732539.67106963985</v>
      </c>
      <c r="G9" s="100">
        <v>0</v>
      </c>
      <c r="H9" s="101">
        <v>0</v>
      </c>
      <c r="I9" s="101">
        <v>0</v>
      </c>
      <c r="J9" s="101">
        <v>0</v>
      </c>
      <c r="K9" s="100">
        <f t="shared" si="0"/>
        <v>0</v>
      </c>
      <c r="L9" s="100">
        <f t="shared" si="2"/>
        <v>0</v>
      </c>
      <c r="M9" s="100">
        <v>0</v>
      </c>
      <c r="N9" s="100">
        <f t="shared" si="3"/>
        <v>0</v>
      </c>
      <c r="O9" s="100">
        <f>N9/((1+$E$4)^B9)</f>
        <v>0</v>
      </c>
      <c r="P9" s="108">
        <f t="shared" si="5"/>
        <v>0</v>
      </c>
      <c r="R9" s="7" t="s">
        <v>8</v>
      </c>
      <c r="S9" s="11">
        <v>40000</v>
      </c>
      <c r="U9" s="142">
        <v>3</v>
      </c>
      <c r="V9" s="98">
        <f t="shared" ref="V9:V11" si="6">(12*$S$44)+H27</f>
        <v>3277000</v>
      </c>
      <c r="W9" s="98"/>
      <c r="X9" s="143">
        <f t="shared" si="4"/>
        <v>1827038.1151679354</v>
      </c>
    </row>
    <row r="10" spans="2:24" outlineLevel="1" x14ac:dyDescent="0.2">
      <c r="B10" s="107">
        <v>-14</v>
      </c>
      <c r="C10" s="99">
        <v>3</v>
      </c>
      <c r="D10" s="99">
        <v>26</v>
      </c>
      <c r="E10" s="100">
        <f>E11/(1+$J$4)</f>
        <v>1011192.016535346</v>
      </c>
      <c r="F10" s="102">
        <f t="shared" si="1"/>
        <v>805793.63817660394</v>
      </c>
      <c r="G10" s="100">
        <v>0</v>
      </c>
      <c r="H10" s="101">
        <v>0</v>
      </c>
      <c r="I10" s="101">
        <v>0</v>
      </c>
      <c r="J10" s="101">
        <v>0</v>
      </c>
      <c r="K10" s="100">
        <f t="shared" si="0"/>
        <v>0</v>
      </c>
      <c r="L10" s="100">
        <f t="shared" si="2"/>
        <v>0</v>
      </c>
      <c r="M10" s="100">
        <v>0</v>
      </c>
      <c r="N10" s="100">
        <f t="shared" si="3"/>
        <v>0</v>
      </c>
      <c r="O10" s="100">
        <f>N10/((1+$E$4)^B10)</f>
        <v>0</v>
      </c>
      <c r="P10" s="108">
        <f t="shared" si="5"/>
        <v>0</v>
      </c>
      <c r="R10" s="7" t="s">
        <v>14</v>
      </c>
      <c r="S10" s="11">
        <v>15000</v>
      </c>
      <c r="U10" s="142">
        <v>4</v>
      </c>
      <c r="V10" s="98">
        <f t="shared" si="6"/>
        <v>3404530</v>
      </c>
      <c r="W10" s="98"/>
      <c r="X10" s="143">
        <f t="shared" si="4"/>
        <v>1562255.4690900142</v>
      </c>
    </row>
    <row r="11" spans="2:24" outlineLevel="1" x14ac:dyDescent="0.2">
      <c r="B11" s="107">
        <v>-13</v>
      </c>
      <c r="C11" s="99">
        <v>4</v>
      </c>
      <c r="D11" s="99">
        <v>27</v>
      </c>
      <c r="E11" s="100">
        <f>E12/(1+$J$4)</f>
        <v>1112311.2181888807</v>
      </c>
      <c r="F11" s="102">
        <f t="shared" si="1"/>
        <v>886373.00199426443</v>
      </c>
      <c r="G11" s="100">
        <v>0</v>
      </c>
      <c r="H11" s="101">
        <v>0</v>
      </c>
      <c r="I11" s="101">
        <v>0</v>
      </c>
      <c r="J11" s="101">
        <v>0</v>
      </c>
      <c r="K11" s="100">
        <f t="shared" si="0"/>
        <v>0</v>
      </c>
      <c r="L11" s="100">
        <f t="shared" si="2"/>
        <v>0</v>
      </c>
      <c r="M11" s="100">
        <v>0</v>
      </c>
      <c r="N11" s="100">
        <f t="shared" si="3"/>
        <v>0</v>
      </c>
      <c r="O11" s="100">
        <f>N11/((1+$E$4)^B11)</f>
        <v>0</v>
      </c>
      <c r="P11" s="108">
        <f t="shared" si="5"/>
        <v>0</v>
      </c>
      <c r="R11" s="7" t="s">
        <v>55</v>
      </c>
      <c r="S11" s="11">
        <f>SUM(S6:S10)</f>
        <v>210000</v>
      </c>
      <c r="U11" s="142">
        <v>5</v>
      </c>
      <c r="V11" s="98">
        <f t="shared" si="6"/>
        <v>3543537.7</v>
      </c>
      <c r="W11" s="98"/>
      <c r="X11" s="143">
        <f t="shared" si="4"/>
        <v>1338306.7485652105</v>
      </c>
    </row>
    <row r="12" spans="2:24" ht="17" outlineLevel="1" thickBot="1" x14ac:dyDescent="0.25">
      <c r="B12" s="107">
        <v>-12</v>
      </c>
      <c r="C12" s="99">
        <v>5</v>
      </c>
      <c r="D12" s="99">
        <v>28</v>
      </c>
      <c r="E12" s="100">
        <f>E13/(1+$J$4)</f>
        <v>1223542.3400077689</v>
      </c>
      <c r="F12" s="102">
        <f t="shared" si="1"/>
        <v>975010.30219369091</v>
      </c>
      <c r="G12" s="100">
        <v>0</v>
      </c>
      <c r="H12" s="101">
        <v>0</v>
      </c>
      <c r="I12" s="101">
        <v>0</v>
      </c>
      <c r="J12" s="101">
        <v>0</v>
      </c>
      <c r="K12" s="100">
        <f t="shared" si="0"/>
        <v>0</v>
      </c>
      <c r="L12" s="100">
        <f t="shared" si="2"/>
        <v>0</v>
      </c>
      <c r="M12" s="100">
        <v>0</v>
      </c>
      <c r="N12" s="100">
        <f t="shared" si="3"/>
        <v>0</v>
      </c>
      <c r="O12" s="100">
        <f>N12/((1+$E$4)^B12)</f>
        <v>0</v>
      </c>
      <c r="P12" s="108">
        <f t="shared" si="5"/>
        <v>0</v>
      </c>
      <c r="R12" s="136" t="s">
        <v>7</v>
      </c>
      <c r="S12" s="137">
        <v>45000</v>
      </c>
      <c r="U12" s="142">
        <v>6</v>
      </c>
      <c r="V12" s="98">
        <f>(12*$S$44)+I30</f>
        <v>7360000</v>
      </c>
      <c r="W12" s="98"/>
      <c r="X12" s="143">
        <f t="shared" si="4"/>
        <v>2287811.0155004677</v>
      </c>
    </row>
    <row r="13" spans="2:24" ht="17" outlineLevel="1" thickBot="1" x14ac:dyDescent="0.25">
      <c r="B13" s="107">
        <v>-11</v>
      </c>
      <c r="C13" s="99">
        <v>6</v>
      </c>
      <c r="D13" s="99">
        <v>29</v>
      </c>
      <c r="E13" s="100">
        <f>E14/(1+$J$4)</f>
        <v>1345896.5740085458</v>
      </c>
      <c r="F13" s="102">
        <f t="shared" si="1"/>
        <v>1072511.3324130601</v>
      </c>
      <c r="G13" s="100">
        <v>0</v>
      </c>
      <c r="H13" s="101">
        <v>0</v>
      </c>
      <c r="I13" s="101">
        <v>0</v>
      </c>
      <c r="J13" s="101">
        <v>0</v>
      </c>
      <c r="K13" s="100">
        <f t="shared" si="0"/>
        <v>0</v>
      </c>
      <c r="L13" s="100">
        <f t="shared" si="2"/>
        <v>0</v>
      </c>
      <c r="M13" s="100">
        <v>0</v>
      </c>
      <c r="N13" s="100">
        <f t="shared" si="3"/>
        <v>0</v>
      </c>
      <c r="O13" s="100">
        <f>N13/((1+$E$4)^B13)</f>
        <v>0</v>
      </c>
      <c r="P13" s="108">
        <f t="shared" si="5"/>
        <v>0</v>
      </c>
      <c r="R13" s="138" t="s">
        <v>56</v>
      </c>
      <c r="S13" s="139">
        <f>SUM(S11:S12)</f>
        <v>255000</v>
      </c>
      <c r="U13" s="142">
        <v>7</v>
      </c>
      <c r="V13" s="98">
        <f t="shared" ref="V13:V16" si="7">(12*$S$44)</f>
        <v>1860000</v>
      </c>
      <c r="W13" s="98"/>
      <c r="X13" s="143">
        <f t="shared" si="4"/>
        <v>475859.77912315144</v>
      </c>
    </row>
    <row r="14" spans="2:24" ht="17" outlineLevel="1" thickBot="1" x14ac:dyDescent="0.25">
      <c r="B14" s="107">
        <v>-10</v>
      </c>
      <c r="C14" s="99">
        <v>7</v>
      </c>
      <c r="D14" s="99">
        <v>30</v>
      </c>
      <c r="E14" s="100">
        <f>E15/(1+$J$4)</f>
        <v>1480486.2314094005</v>
      </c>
      <c r="F14" s="102">
        <f t="shared" si="1"/>
        <v>1179762.4656543662</v>
      </c>
      <c r="G14" s="100">
        <v>0</v>
      </c>
      <c r="H14" s="101">
        <v>0</v>
      </c>
      <c r="I14" s="101">
        <v>0</v>
      </c>
      <c r="J14" s="101">
        <v>0</v>
      </c>
      <c r="K14" s="100">
        <f t="shared" si="0"/>
        <v>0</v>
      </c>
      <c r="L14" s="100">
        <f t="shared" si="2"/>
        <v>0</v>
      </c>
      <c r="M14" s="100">
        <v>0</v>
      </c>
      <c r="N14" s="100">
        <f t="shared" si="3"/>
        <v>0</v>
      </c>
      <c r="O14" s="100">
        <f>N14/((1+$E$4)^B14)</f>
        <v>0</v>
      </c>
      <c r="P14" s="108">
        <f t="shared" si="5"/>
        <v>0</v>
      </c>
      <c r="R14" s="1" t="s">
        <v>71</v>
      </c>
      <c r="S14" s="2"/>
      <c r="U14" s="142">
        <v>8</v>
      </c>
      <c r="V14" s="98">
        <f t="shared" si="7"/>
        <v>1860000</v>
      </c>
      <c r="W14" s="98"/>
      <c r="X14" s="143">
        <f t="shared" si="4"/>
        <v>391654.13919600949</v>
      </c>
    </row>
    <row r="15" spans="2:24" outlineLevel="1" x14ac:dyDescent="0.2">
      <c r="B15" s="107">
        <v>-9</v>
      </c>
      <c r="C15" s="99">
        <v>8</v>
      </c>
      <c r="D15" s="99">
        <v>31</v>
      </c>
      <c r="E15" s="100">
        <f>E16/(1+$J$4)</f>
        <v>1628534.8545503407</v>
      </c>
      <c r="F15" s="102">
        <f t="shared" si="1"/>
        <v>1297738.7122198029</v>
      </c>
      <c r="G15" s="100">
        <v>0</v>
      </c>
      <c r="H15" s="101">
        <v>0</v>
      </c>
      <c r="I15" s="101">
        <v>0</v>
      </c>
      <c r="J15" s="101">
        <v>0</v>
      </c>
      <c r="K15" s="100">
        <f t="shared" si="0"/>
        <v>0</v>
      </c>
      <c r="L15" s="100">
        <f t="shared" si="2"/>
        <v>0</v>
      </c>
      <c r="M15" s="100">
        <v>0</v>
      </c>
      <c r="N15" s="100">
        <f t="shared" si="3"/>
        <v>0</v>
      </c>
      <c r="O15" s="100">
        <f>N15/((1+$E$4)^B15)</f>
        <v>0</v>
      </c>
      <c r="P15" s="108">
        <f t="shared" si="5"/>
        <v>0</v>
      </c>
      <c r="R15" s="7" t="s">
        <v>4</v>
      </c>
      <c r="S15" s="11">
        <v>30000</v>
      </c>
      <c r="U15" s="142">
        <v>9</v>
      </c>
      <c r="V15" s="98">
        <f t="shared" si="7"/>
        <v>1860000</v>
      </c>
      <c r="W15" s="98"/>
      <c r="X15" s="143">
        <f t="shared" si="4"/>
        <v>322349.08575803245</v>
      </c>
    </row>
    <row r="16" spans="2:24" ht="17" outlineLevel="1" thickBot="1" x14ac:dyDescent="0.25">
      <c r="B16" s="107">
        <v>-8</v>
      </c>
      <c r="C16" s="99">
        <v>9</v>
      </c>
      <c r="D16" s="99">
        <v>32</v>
      </c>
      <c r="E16" s="100">
        <f>E17/(1+$J$4)</f>
        <v>1791388.340005375</v>
      </c>
      <c r="F16" s="102">
        <f t="shared" si="1"/>
        <v>1427512.5834417832</v>
      </c>
      <c r="G16" s="100">
        <v>0</v>
      </c>
      <c r="H16" s="101">
        <v>0</v>
      </c>
      <c r="I16" s="101">
        <v>0</v>
      </c>
      <c r="J16" s="101">
        <v>0</v>
      </c>
      <c r="K16" s="100">
        <f t="shared" si="0"/>
        <v>0</v>
      </c>
      <c r="L16" s="100">
        <f t="shared" si="2"/>
        <v>0</v>
      </c>
      <c r="M16" s="100">
        <v>0</v>
      </c>
      <c r="N16" s="100">
        <f t="shared" si="3"/>
        <v>0</v>
      </c>
      <c r="O16" s="100">
        <f>N16/((1+$E$4)^B16)</f>
        <v>0</v>
      </c>
      <c r="P16" s="108">
        <f t="shared" si="5"/>
        <v>0</v>
      </c>
      <c r="R16" s="7" t="s">
        <v>5</v>
      </c>
      <c r="S16" s="11">
        <v>45000</v>
      </c>
      <c r="U16" s="149">
        <v>10</v>
      </c>
      <c r="V16" s="150">
        <f t="shared" si="7"/>
        <v>1860000</v>
      </c>
      <c r="W16" s="150"/>
      <c r="X16" s="151">
        <f t="shared" si="4"/>
        <v>265307.88951278391</v>
      </c>
    </row>
    <row r="17" spans="2:27" outlineLevel="1" x14ac:dyDescent="0.2">
      <c r="B17" s="107">
        <v>-7</v>
      </c>
      <c r="C17" s="99">
        <v>10</v>
      </c>
      <c r="D17" s="99">
        <v>33</v>
      </c>
      <c r="E17" s="100">
        <f>E18/(1+$J$4)</f>
        <v>1970527.1740059126</v>
      </c>
      <c r="F17" s="102">
        <f t="shared" si="1"/>
        <v>1570263.8417859618</v>
      </c>
      <c r="G17" s="100">
        <v>0</v>
      </c>
      <c r="H17" s="101">
        <v>0</v>
      </c>
      <c r="I17" s="101">
        <v>0</v>
      </c>
      <c r="J17" s="101">
        <v>0</v>
      </c>
      <c r="K17" s="100">
        <f t="shared" si="0"/>
        <v>0</v>
      </c>
      <c r="L17" s="100">
        <f t="shared" si="2"/>
        <v>0</v>
      </c>
      <c r="M17" s="100">
        <v>0</v>
      </c>
      <c r="N17" s="100">
        <f t="shared" si="3"/>
        <v>0</v>
      </c>
      <c r="O17" s="100">
        <f>N17/((1+$E$4)^B17)</f>
        <v>0</v>
      </c>
      <c r="P17" s="108">
        <f t="shared" si="5"/>
        <v>0</v>
      </c>
      <c r="R17" s="7" t="s">
        <v>6</v>
      </c>
      <c r="S17" s="11">
        <v>80000</v>
      </c>
      <c r="T17" s="96"/>
      <c r="U17" s="174" t="s">
        <v>82</v>
      </c>
      <c r="V17" s="173"/>
      <c r="W17" s="173"/>
      <c r="X17" s="172">
        <f>V6*10</f>
        <v>24000000</v>
      </c>
      <c r="Y17" s="96"/>
      <c r="Z17" s="96"/>
      <c r="AA17" s="96"/>
    </row>
    <row r="18" spans="2:27" outlineLevel="1" x14ac:dyDescent="0.2">
      <c r="B18" s="107">
        <v>-6</v>
      </c>
      <c r="C18" s="99">
        <v>11</v>
      </c>
      <c r="D18" s="99">
        <v>34</v>
      </c>
      <c r="E18" s="100">
        <f>E19/(1+$J$4)</f>
        <v>2167579.891406504</v>
      </c>
      <c r="F18" s="102">
        <f t="shared" si="1"/>
        <v>1727290.2259645581</v>
      </c>
      <c r="G18" s="100">
        <v>0</v>
      </c>
      <c r="H18" s="101">
        <v>0</v>
      </c>
      <c r="I18" s="101">
        <v>0</v>
      </c>
      <c r="J18" s="101">
        <v>0</v>
      </c>
      <c r="K18" s="100">
        <f t="shared" si="0"/>
        <v>0</v>
      </c>
      <c r="L18" s="100">
        <f t="shared" si="2"/>
        <v>0</v>
      </c>
      <c r="M18" s="100">
        <v>0</v>
      </c>
      <c r="N18" s="100">
        <f t="shared" si="3"/>
        <v>0</v>
      </c>
      <c r="O18" s="100">
        <f>N18/((1+$E$4)^B18)</f>
        <v>0</v>
      </c>
      <c r="P18" s="108">
        <f t="shared" si="5"/>
        <v>0</v>
      </c>
      <c r="R18" s="7" t="s">
        <v>8</v>
      </c>
      <c r="S18" s="11">
        <v>40000</v>
      </c>
      <c r="T18" s="96"/>
      <c r="U18" s="164" t="s">
        <v>84</v>
      </c>
      <c r="V18" s="165"/>
      <c r="W18" s="166"/>
      <c r="X18" s="176">
        <f>X17-P24</f>
        <v>18271470.349361382</v>
      </c>
      <c r="Y18" s="96"/>
      <c r="Z18" s="96"/>
      <c r="AA18" s="96"/>
    </row>
    <row r="19" spans="2:27" ht="17" outlineLevel="1" thickBot="1" x14ac:dyDescent="0.25">
      <c r="B19" s="107">
        <v>-5</v>
      </c>
      <c r="C19" s="99">
        <v>12</v>
      </c>
      <c r="D19" s="99">
        <v>35</v>
      </c>
      <c r="E19" s="100">
        <f>E20/(1+$J$4)</f>
        <v>2384337.8805471547</v>
      </c>
      <c r="F19" s="102">
        <f t="shared" si="1"/>
        <v>1900019.248561014</v>
      </c>
      <c r="G19" s="100">
        <v>0</v>
      </c>
      <c r="H19" s="101">
        <v>0</v>
      </c>
      <c r="I19" s="101">
        <v>0</v>
      </c>
      <c r="J19" s="101">
        <v>0</v>
      </c>
      <c r="K19" s="100">
        <f t="shared" si="0"/>
        <v>0</v>
      </c>
      <c r="L19" s="100">
        <f t="shared" si="2"/>
        <v>0</v>
      </c>
      <c r="M19" s="100">
        <v>0</v>
      </c>
      <c r="N19" s="100">
        <f t="shared" si="3"/>
        <v>0</v>
      </c>
      <c r="O19" s="100">
        <f>N19/((1+$E$4)^B19)</f>
        <v>0</v>
      </c>
      <c r="P19" s="108">
        <f t="shared" si="5"/>
        <v>0</v>
      </c>
      <c r="R19" s="136" t="s">
        <v>14</v>
      </c>
      <c r="S19" s="137">
        <v>15000</v>
      </c>
      <c r="T19" s="96"/>
      <c r="U19" s="168" t="s">
        <v>99</v>
      </c>
      <c r="V19" s="167"/>
      <c r="W19" s="167"/>
      <c r="X19" s="169">
        <f>SUM(V6:V16)</f>
        <v>32985067.699999999</v>
      </c>
      <c r="Y19" s="96"/>
      <c r="Z19" s="96"/>
      <c r="AA19" s="96"/>
    </row>
    <row r="20" spans="2:27" ht="17" outlineLevel="1" thickBot="1" x14ac:dyDescent="0.25">
      <c r="B20" s="107">
        <v>-4</v>
      </c>
      <c r="C20" s="99">
        <v>13</v>
      </c>
      <c r="D20" s="99">
        <v>36</v>
      </c>
      <c r="E20" s="100">
        <f>E21/(1+$J$4)</f>
        <v>2622771.6686018705</v>
      </c>
      <c r="F20" s="102">
        <f t="shared" si="1"/>
        <v>2090021.1734171156</v>
      </c>
      <c r="G20" s="100">
        <v>0</v>
      </c>
      <c r="H20" s="101">
        <v>0</v>
      </c>
      <c r="I20" s="101">
        <v>0</v>
      </c>
      <c r="J20" s="101">
        <v>0</v>
      </c>
      <c r="K20" s="100">
        <f t="shared" si="0"/>
        <v>0</v>
      </c>
      <c r="L20" s="100">
        <f t="shared" si="2"/>
        <v>0</v>
      </c>
      <c r="M20" s="100">
        <v>0</v>
      </c>
      <c r="N20" s="100">
        <f t="shared" si="3"/>
        <v>0</v>
      </c>
      <c r="O20" s="100">
        <f>N20/((1+$E$4)^B20)</f>
        <v>0</v>
      </c>
      <c r="P20" s="108">
        <f t="shared" si="5"/>
        <v>0</v>
      </c>
      <c r="R20" s="138" t="s">
        <v>9</v>
      </c>
      <c r="S20" s="140">
        <f>SUM(S15:S19)</f>
        <v>210000</v>
      </c>
      <c r="U20" s="168" t="s">
        <v>100</v>
      </c>
      <c r="V20" s="167"/>
      <c r="W20" s="167"/>
      <c r="X20" s="169">
        <v>85000</v>
      </c>
    </row>
    <row r="21" spans="2:27" ht="17" outlineLevel="1" thickBot="1" x14ac:dyDescent="0.25">
      <c r="B21" s="107">
        <v>-3</v>
      </c>
      <c r="C21" s="99">
        <v>14</v>
      </c>
      <c r="D21" s="99">
        <v>37</v>
      </c>
      <c r="E21" s="100">
        <f>E22/(1+$J$4)</f>
        <v>2885048.835462058</v>
      </c>
      <c r="F21" s="102">
        <f t="shared" si="1"/>
        <v>2299023.2907588272</v>
      </c>
      <c r="G21" s="100">
        <f t="shared" ref="G7:G23" si="8">E21-F21</f>
        <v>586025.54470323073</v>
      </c>
      <c r="H21" s="101">
        <v>0</v>
      </c>
      <c r="I21" s="101">
        <v>0</v>
      </c>
      <c r="J21" s="101">
        <v>0</v>
      </c>
      <c r="K21" s="100">
        <f t="shared" si="0"/>
        <v>586025.54470323073</v>
      </c>
      <c r="L21" s="100">
        <f t="shared" si="2"/>
        <v>0</v>
      </c>
      <c r="M21" s="100">
        <v>0</v>
      </c>
      <c r="N21" s="100">
        <f t="shared" si="3"/>
        <v>586025.54470323073</v>
      </c>
      <c r="O21" s="100">
        <f>N21/((1+$E$4)^B21)</f>
        <v>1051103.2550713751</v>
      </c>
      <c r="P21" s="108">
        <f t="shared" si="5"/>
        <v>1051103.2550713751</v>
      </c>
      <c r="R21" s="1" t="s">
        <v>74</v>
      </c>
      <c r="S21" s="2"/>
      <c r="U21" s="170" t="s">
        <v>83</v>
      </c>
      <c r="V21" s="171"/>
      <c r="W21" s="171"/>
      <c r="X21" s="175">
        <f>SUM(X6:X16)+X20</f>
        <v>15071485.982874503</v>
      </c>
    </row>
    <row r="22" spans="2:27" outlineLevel="1" x14ac:dyDescent="0.2">
      <c r="B22" s="107">
        <v>-2</v>
      </c>
      <c r="C22" s="99">
        <v>15</v>
      </c>
      <c r="D22" s="99">
        <v>38</v>
      </c>
      <c r="E22" s="100">
        <f>E23/(1+$J$4)</f>
        <v>3173553.7190082641</v>
      </c>
      <c r="F22" s="102">
        <f t="shared" si="1"/>
        <v>2528925.6198347104</v>
      </c>
      <c r="G22" s="100">
        <f t="shared" si="8"/>
        <v>644628.09917355375</v>
      </c>
      <c r="H22" s="101">
        <v>0</v>
      </c>
      <c r="I22" s="101">
        <v>0</v>
      </c>
      <c r="J22" s="101">
        <v>0</v>
      </c>
      <c r="K22" s="100">
        <f t="shared" si="0"/>
        <v>644628.09917355375</v>
      </c>
      <c r="L22" s="100">
        <f t="shared" si="2"/>
        <v>0</v>
      </c>
      <c r="M22" s="100">
        <v>0</v>
      </c>
      <c r="N22" s="100">
        <f t="shared" si="3"/>
        <v>644628.09917355375</v>
      </c>
      <c r="O22" s="100">
        <f>N22/((1+$E$4)^B22)</f>
        <v>951616.1157024795</v>
      </c>
      <c r="P22" s="108">
        <f t="shared" si="5"/>
        <v>2002719.3707738547</v>
      </c>
      <c r="R22" s="7" t="s">
        <v>4</v>
      </c>
      <c r="S22" s="11">
        <v>20000</v>
      </c>
    </row>
    <row r="23" spans="2:27" outlineLevel="1" x14ac:dyDescent="0.2">
      <c r="B23" s="107">
        <v>-1</v>
      </c>
      <c r="C23" s="99">
        <v>16</v>
      </c>
      <c r="D23" s="99">
        <v>39</v>
      </c>
      <c r="E23" s="100">
        <f>E24/(1+$J$4)</f>
        <v>3490909.0909090908</v>
      </c>
      <c r="F23" s="102">
        <f>F24/1.1</f>
        <v>2781818.1818181816</v>
      </c>
      <c r="G23" s="100">
        <f t="shared" si="8"/>
        <v>709090.90909090918</v>
      </c>
      <c r="H23" s="101">
        <v>0</v>
      </c>
      <c r="I23" s="101">
        <v>0</v>
      </c>
      <c r="J23" s="101">
        <v>0</v>
      </c>
      <c r="K23" s="100">
        <f t="shared" si="0"/>
        <v>709090.90909090918</v>
      </c>
      <c r="L23" s="100">
        <f t="shared" si="2"/>
        <v>0</v>
      </c>
      <c r="M23" s="100">
        <v>0</v>
      </c>
      <c r="N23" s="100">
        <f t="shared" si="3"/>
        <v>709090.90909090918</v>
      </c>
      <c r="O23" s="100">
        <f>N23/((1+$E$4)^B23)</f>
        <v>861545.4545454547</v>
      </c>
      <c r="P23" s="108">
        <f t="shared" si="5"/>
        <v>2864264.8253193093</v>
      </c>
      <c r="R23" s="7" t="s">
        <v>5</v>
      </c>
      <c r="S23" s="11">
        <v>30000</v>
      </c>
    </row>
    <row r="24" spans="2:27" x14ac:dyDescent="0.2">
      <c r="B24" s="177">
        <v>0</v>
      </c>
      <c r="C24" s="178">
        <v>17</v>
      </c>
      <c r="D24" s="178">
        <v>40</v>
      </c>
      <c r="E24" s="179">
        <f>320000*12</f>
        <v>3840000</v>
      </c>
      <c r="F24" s="179">
        <f>255000*12</f>
        <v>3060000</v>
      </c>
      <c r="G24" s="179">
        <f>E24-F24</f>
        <v>780000</v>
      </c>
      <c r="H24" s="179">
        <v>0</v>
      </c>
      <c r="I24" s="179">
        <v>0</v>
      </c>
      <c r="J24" s="179">
        <f>H24+I24</f>
        <v>0</v>
      </c>
      <c r="K24" s="179">
        <f>G24-J24</f>
        <v>780000</v>
      </c>
      <c r="L24" s="179">
        <f t="shared" si="2"/>
        <v>0</v>
      </c>
      <c r="M24" s="179">
        <v>780000</v>
      </c>
      <c r="N24" s="179">
        <v>0</v>
      </c>
      <c r="O24" s="179">
        <v>0</v>
      </c>
      <c r="P24" s="180">
        <f>(O24+P23)*2</f>
        <v>5728529.6506386185</v>
      </c>
      <c r="R24" s="7" t="s">
        <v>6</v>
      </c>
      <c r="S24" s="11">
        <v>60000</v>
      </c>
    </row>
    <row r="25" spans="2:27" x14ac:dyDescent="0.2">
      <c r="B25" s="177">
        <v>1</v>
      </c>
      <c r="C25" s="178">
        <v>18</v>
      </c>
      <c r="D25" s="178">
        <v>41</v>
      </c>
      <c r="E25" s="179">
        <f>(1+$J$4)*E24</f>
        <v>4224000</v>
      </c>
      <c r="F25" s="179">
        <f>F24*(1+$O$4)</f>
        <v>3335400.0000000005</v>
      </c>
      <c r="G25" s="179">
        <f>E25-F25</f>
        <v>888599.99999999953</v>
      </c>
      <c r="H25" s="179">
        <f>1.09*H24</f>
        <v>0</v>
      </c>
      <c r="I25" s="179">
        <v>0</v>
      </c>
      <c r="J25" s="179">
        <f t="shared" ref="J25:J49" si="9">H25+I25</f>
        <v>0</v>
      </c>
      <c r="K25" s="179">
        <f t="shared" ref="K25:K49" si="10">G25-J25</f>
        <v>888599.99999999953</v>
      </c>
      <c r="L25" s="179">
        <f t="shared" si="2"/>
        <v>0</v>
      </c>
      <c r="M25" s="179">
        <v>780000</v>
      </c>
      <c r="N25" s="179">
        <f t="shared" si="3"/>
        <v>108599.99999999953</v>
      </c>
      <c r="O25" s="179">
        <f>N25/((1+$E$4)^B25)</f>
        <v>89382.716049382332</v>
      </c>
      <c r="P25" s="180">
        <f t="shared" si="5"/>
        <v>5817912.366688001</v>
      </c>
      <c r="R25" s="7" t="s">
        <v>8</v>
      </c>
      <c r="S25" s="11">
        <v>30000</v>
      </c>
    </row>
    <row r="26" spans="2:27" x14ac:dyDescent="0.2">
      <c r="B26" s="177">
        <v>2</v>
      </c>
      <c r="C26" s="178">
        <v>19</v>
      </c>
      <c r="D26" s="178">
        <v>42</v>
      </c>
      <c r="E26" s="179">
        <f>(1+$J$4)*E25</f>
        <v>4646400</v>
      </c>
      <c r="F26" s="179">
        <f>210000*12*(1+$O$4)^2</f>
        <v>2994012.0000000005</v>
      </c>
      <c r="G26" s="179">
        <f>E26-F26</f>
        <v>1652387.9999999995</v>
      </c>
      <c r="H26" s="179">
        <v>1300000</v>
      </c>
      <c r="I26" s="179">
        <v>0</v>
      </c>
      <c r="J26" s="179">
        <f t="shared" si="9"/>
        <v>1300000</v>
      </c>
      <c r="K26" s="179">
        <f t="shared" si="10"/>
        <v>352387.99999999953</v>
      </c>
      <c r="L26" s="179">
        <f t="shared" si="2"/>
        <v>880624.56603837479</v>
      </c>
      <c r="M26" s="179">
        <v>780000</v>
      </c>
      <c r="N26" s="179">
        <f t="shared" si="3"/>
        <v>872387.99999999953</v>
      </c>
      <c r="O26" s="179">
        <f>N26/((1+$E$4)^B26)</f>
        <v>590958.69532083487</v>
      </c>
      <c r="P26" s="180">
        <f t="shared" si="5"/>
        <v>6408871.0620088354</v>
      </c>
      <c r="R26" s="7" t="s">
        <v>7</v>
      </c>
      <c r="S26" s="11">
        <v>0</v>
      </c>
    </row>
    <row r="27" spans="2:27" ht="17" thickBot="1" x14ac:dyDescent="0.25">
      <c r="B27" s="177">
        <v>3</v>
      </c>
      <c r="C27" s="178">
        <v>20</v>
      </c>
      <c r="D27" s="178">
        <v>43</v>
      </c>
      <c r="E27" s="179">
        <f>(1+$J$4)*E26</f>
        <v>5111040</v>
      </c>
      <c r="F27" s="179">
        <f>F26*(1+$O$4)</f>
        <v>3263473.0800000005</v>
      </c>
      <c r="G27" s="179">
        <f>E27-F27</f>
        <v>1847566.9199999995</v>
      </c>
      <c r="H27" s="179">
        <f>1.09*H26</f>
        <v>1417000</v>
      </c>
      <c r="I27" s="179">
        <v>0</v>
      </c>
      <c r="J27" s="179">
        <f t="shared" si="9"/>
        <v>1417000</v>
      </c>
      <c r="K27" s="179">
        <f t="shared" si="10"/>
        <v>430566.91999999946</v>
      </c>
      <c r="L27" s="179">
        <f t="shared" si="2"/>
        <v>790025.33084924158</v>
      </c>
      <c r="M27" s="179">
        <v>780000</v>
      </c>
      <c r="N27" s="179">
        <f t="shared" ref="N25:N49" si="11">G27-M27</f>
        <v>1067566.9199999995</v>
      </c>
      <c r="O27" s="179">
        <f>N27/((1+$E$4)^B27)</f>
        <v>595204.59363211389</v>
      </c>
      <c r="P27" s="180">
        <f t="shared" si="5"/>
        <v>7004075.6556409495</v>
      </c>
      <c r="R27" s="136" t="s">
        <v>14</v>
      </c>
      <c r="S27" s="137">
        <v>15000</v>
      </c>
    </row>
    <row r="28" spans="2:27" ht="17" thickBot="1" x14ac:dyDescent="0.25">
      <c r="B28" s="177">
        <v>4</v>
      </c>
      <c r="C28" s="178">
        <v>21</v>
      </c>
      <c r="D28" s="178">
        <v>44</v>
      </c>
      <c r="E28" s="179">
        <f>(1+$J$4)*E27</f>
        <v>5622144</v>
      </c>
      <c r="F28" s="179">
        <f>F27*(1+$O$4)</f>
        <v>3557185.6572000007</v>
      </c>
      <c r="G28" s="179">
        <f>E28-F28</f>
        <v>2064958.3427999993</v>
      </c>
      <c r="H28" s="179">
        <f>1.09*H27</f>
        <v>1544530</v>
      </c>
      <c r="I28" s="179">
        <v>0</v>
      </c>
      <c r="J28" s="179">
        <f t="shared" si="9"/>
        <v>1544530</v>
      </c>
      <c r="K28" s="179">
        <f t="shared" si="10"/>
        <v>520428.34279999929</v>
      </c>
      <c r="L28" s="179">
        <f t="shared" si="2"/>
        <v>708747.0046301838</v>
      </c>
      <c r="M28" s="179">
        <v>780000</v>
      </c>
      <c r="N28" s="179">
        <f t="shared" si="11"/>
        <v>1284958.3427999993</v>
      </c>
      <c r="O28" s="179">
        <f>N28/((1+$E$4)^B28)</f>
        <v>589635.92583767511</v>
      </c>
      <c r="P28" s="180">
        <f t="shared" si="5"/>
        <v>7593711.5814786246</v>
      </c>
      <c r="R28" s="138" t="s">
        <v>9</v>
      </c>
      <c r="S28" s="140">
        <f>SUM(S22:S27)</f>
        <v>155000</v>
      </c>
    </row>
    <row r="29" spans="2:27" ht="17" thickBot="1" x14ac:dyDescent="0.25">
      <c r="B29" s="177">
        <v>5</v>
      </c>
      <c r="C29" s="178">
        <v>22</v>
      </c>
      <c r="D29" s="178">
        <v>45</v>
      </c>
      <c r="E29" s="179">
        <f>1.1*E28</f>
        <v>6184358.4000000004</v>
      </c>
      <c r="F29" s="179">
        <f>F28*(1+$O$4)</f>
        <v>3877332.3663480012</v>
      </c>
      <c r="G29" s="179">
        <f>E29-F29</f>
        <v>2307026.0336519992</v>
      </c>
      <c r="H29" s="179">
        <f>1.09*H28</f>
        <v>1683537.7000000002</v>
      </c>
      <c r="I29" s="179">
        <v>0</v>
      </c>
      <c r="J29" s="179">
        <f t="shared" si="9"/>
        <v>1683537.7000000002</v>
      </c>
      <c r="K29" s="179">
        <f t="shared" si="10"/>
        <v>623488.33365199901</v>
      </c>
      <c r="L29" s="179">
        <f t="shared" si="2"/>
        <v>635830.64612913609</v>
      </c>
      <c r="M29" s="179">
        <v>780000</v>
      </c>
      <c r="N29" s="179">
        <f t="shared" si="11"/>
        <v>1527026.0336519992</v>
      </c>
      <c r="O29" s="179">
        <f>N29/((1+$E$4)^B29)</f>
        <v>576720.05184853449</v>
      </c>
      <c r="P29" s="180">
        <f t="shared" si="5"/>
        <v>8170431.6333271591</v>
      </c>
      <c r="R29" s="1" t="s">
        <v>75</v>
      </c>
      <c r="S29" s="2"/>
    </row>
    <row r="30" spans="2:27" x14ac:dyDescent="0.2">
      <c r="B30" s="177">
        <v>6</v>
      </c>
      <c r="C30" s="178">
        <v>23</v>
      </c>
      <c r="D30" s="178">
        <v>46</v>
      </c>
      <c r="E30" s="179">
        <f>(1+$J$4)*E29</f>
        <v>6802794.2400000012</v>
      </c>
      <c r="F30" s="179">
        <f>F29*(1+$O$4)</f>
        <v>4226292.2793193217</v>
      </c>
      <c r="G30" s="179">
        <f>E30-F30</f>
        <v>2576501.9606806794</v>
      </c>
      <c r="H30" s="179">
        <v>0</v>
      </c>
      <c r="I30" s="179">
        <v>5500000</v>
      </c>
      <c r="J30" s="179">
        <f t="shared" si="9"/>
        <v>5500000</v>
      </c>
      <c r="K30" s="179">
        <f t="shared" si="10"/>
        <v>-2923498.0393193206</v>
      </c>
      <c r="L30" s="179">
        <f t="shared" si="2"/>
        <v>1709641.3838658386</v>
      </c>
      <c r="M30" s="179">
        <v>780000</v>
      </c>
      <c r="N30" s="179">
        <f t="shared" si="11"/>
        <v>1796501.9606806794</v>
      </c>
      <c r="O30" s="179">
        <f>N30/((1+$E$4)^B30)</f>
        <v>558431.65421378345</v>
      </c>
      <c r="P30" s="180">
        <f>O30+P29</f>
        <v>8728863.2875409424</v>
      </c>
      <c r="R30" s="7" t="s">
        <v>4</v>
      </c>
      <c r="S30" s="11">
        <v>20000</v>
      </c>
    </row>
    <row r="31" spans="2:27" x14ac:dyDescent="0.2">
      <c r="B31" s="177">
        <v>7</v>
      </c>
      <c r="C31" s="178">
        <v>24</v>
      </c>
      <c r="D31" s="178">
        <v>47</v>
      </c>
      <c r="E31" s="179">
        <f>(1+$J$4)*E30</f>
        <v>7483073.6640000017</v>
      </c>
      <c r="F31" s="179">
        <f>155000*12*(1+$O$4)^7</f>
        <v>3400152.7647190443</v>
      </c>
      <c r="G31" s="179">
        <f>E31-F31</f>
        <v>4082920.8992809574</v>
      </c>
      <c r="H31" s="179">
        <v>0</v>
      </c>
      <c r="I31" s="179">
        <v>0</v>
      </c>
      <c r="J31" s="179">
        <f t="shared" si="9"/>
        <v>0</v>
      </c>
      <c r="K31" s="179">
        <f t="shared" si="10"/>
        <v>4082920.8992809574</v>
      </c>
      <c r="L31" s="179">
        <f t="shared" si="2"/>
        <v>0</v>
      </c>
      <c r="M31" s="179">
        <v>780000</v>
      </c>
      <c r="N31" s="179">
        <f t="shared" si="11"/>
        <v>3302920.8992809574</v>
      </c>
      <c r="O31" s="179">
        <f>N31/((1+$E$4)^B31)</f>
        <v>845014.62881348236</v>
      </c>
      <c r="P31" s="180">
        <f t="shared" si="5"/>
        <v>9573877.9163544253</v>
      </c>
      <c r="R31" s="7" t="s">
        <v>5</v>
      </c>
      <c r="S31" s="11">
        <v>30000</v>
      </c>
    </row>
    <row r="32" spans="2:27" x14ac:dyDescent="0.2">
      <c r="B32" s="177">
        <v>8</v>
      </c>
      <c r="C32" s="178">
        <v>25</v>
      </c>
      <c r="D32" s="178">
        <v>48</v>
      </c>
      <c r="E32" s="179">
        <f>(1+$J$4)*E31</f>
        <v>8231381.0304000024</v>
      </c>
      <c r="F32" s="179">
        <f>F31*(1+$O$4)</f>
        <v>3706166.5135437585</v>
      </c>
      <c r="G32" s="179">
        <f>E32-F32</f>
        <v>4525214.5168562438</v>
      </c>
      <c r="H32" s="179">
        <v>0</v>
      </c>
      <c r="I32" s="179">
        <v>0</v>
      </c>
      <c r="J32" s="179">
        <f t="shared" si="9"/>
        <v>0</v>
      </c>
      <c r="K32" s="179">
        <f t="shared" si="10"/>
        <v>4525214.5168562438</v>
      </c>
      <c r="L32" s="179">
        <f t="shared" si="2"/>
        <v>0</v>
      </c>
      <c r="M32" s="179">
        <v>780000</v>
      </c>
      <c r="N32" s="179">
        <f t="shared" si="11"/>
        <v>3745214.5168562438</v>
      </c>
      <c r="O32" s="179">
        <f>N32/((1+$E$4)^B32)</f>
        <v>788617.61704501649</v>
      </c>
      <c r="P32" s="180">
        <f t="shared" si="5"/>
        <v>10362495.533399442</v>
      </c>
      <c r="R32" s="7" t="s">
        <v>6</v>
      </c>
      <c r="S32" s="11">
        <v>60000</v>
      </c>
    </row>
    <row r="33" spans="2:19" x14ac:dyDescent="0.2">
      <c r="B33" s="177">
        <v>9</v>
      </c>
      <c r="C33" s="178">
        <v>26</v>
      </c>
      <c r="D33" s="178">
        <v>49</v>
      </c>
      <c r="E33" s="179">
        <f>(1+$J$4)*E32</f>
        <v>9054519.1334400028</v>
      </c>
      <c r="F33" s="179">
        <f>F32*(1+$O$4)</f>
        <v>4039721.4997626971</v>
      </c>
      <c r="G33" s="179">
        <f>E33-F33</f>
        <v>5014797.6336773057</v>
      </c>
      <c r="H33" s="179">
        <v>0</v>
      </c>
      <c r="I33" s="179">
        <v>0</v>
      </c>
      <c r="J33" s="179">
        <f t="shared" si="9"/>
        <v>0</v>
      </c>
      <c r="K33" s="179">
        <f t="shared" si="10"/>
        <v>5014797.6336773057</v>
      </c>
      <c r="L33" s="179">
        <f t="shared" si="2"/>
        <v>0</v>
      </c>
      <c r="M33" s="179">
        <v>780000</v>
      </c>
      <c r="N33" s="179">
        <f t="shared" si="11"/>
        <v>4234797.6336773057</v>
      </c>
      <c r="O33" s="179">
        <f>N33/((1+$E$4)^B33)</f>
        <v>733915.66966997785</v>
      </c>
      <c r="P33" s="180">
        <f t="shared" si="5"/>
        <v>11096411.203069421</v>
      </c>
      <c r="R33" s="7" t="s">
        <v>8</v>
      </c>
      <c r="S33" s="11">
        <v>30000</v>
      </c>
    </row>
    <row r="34" spans="2:19" x14ac:dyDescent="0.2">
      <c r="B34" s="177">
        <v>10</v>
      </c>
      <c r="C34" s="178">
        <v>27</v>
      </c>
      <c r="D34" s="178">
        <v>50</v>
      </c>
      <c r="E34" s="179">
        <f>(1+$J$4)*E33</f>
        <v>9959971.0467840042</v>
      </c>
      <c r="F34" s="179">
        <f>F33*(1+$O$4)</f>
        <v>4403296.4347413406</v>
      </c>
      <c r="G34" s="179">
        <f>E34-F34</f>
        <v>5556674.6120426636</v>
      </c>
      <c r="H34" s="179">
        <v>0</v>
      </c>
      <c r="I34" s="179">
        <v>0</v>
      </c>
      <c r="J34" s="179">
        <f t="shared" si="9"/>
        <v>0</v>
      </c>
      <c r="K34" s="179">
        <f t="shared" si="10"/>
        <v>5556674.6120426636</v>
      </c>
      <c r="L34" s="179">
        <f t="shared" si="2"/>
        <v>0</v>
      </c>
      <c r="M34" s="179">
        <v>0</v>
      </c>
      <c r="N34" s="179">
        <f t="shared" si="11"/>
        <v>5556674.6120426636</v>
      </c>
      <c r="O34" s="179">
        <f>N34/((1+$E$4)^B34)</f>
        <v>792596.56668296049</v>
      </c>
      <c r="P34" s="180">
        <f t="shared" si="5"/>
        <v>11889007.769752381</v>
      </c>
      <c r="R34" s="7" t="s">
        <v>7</v>
      </c>
      <c r="S34" s="11">
        <v>0</v>
      </c>
    </row>
    <row r="35" spans="2:19" ht="17" thickBot="1" x14ac:dyDescent="0.25">
      <c r="B35" s="177">
        <v>11</v>
      </c>
      <c r="C35" s="178">
        <v>28</v>
      </c>
      <c r="D35" s="178">
        <v>51</v>
      </c>
      <c r="E35" s="179">
        <f>(1+$J$4)*E34</f>
        <v>10955968.151462406</v>
      </c>
      <c r="F35" s="179">
        <f>F34*(1+$O$4)</f>
        <v>4799593.1138680615</v>
      </c>
      <c r="G35" s="179">
        <f t="shared" ref="G35:G83" si="12">E35-F35</f>
        <v>6156375.0375943445</v>
      </c>
      <c r="H35" s="179">
        <v>0</v>
      </c>
      <c r="I35" s="179">
        <v>0</v>
      </c>
      <c r="J35" s="179">
        <f t="shared" si="9"/>
        <v>0</v>
      </c>
      <c r="K35" s="179">
        <f t="shared" si="10"/>
        <v>6156375.0375943445</v>
      </c>
      <c r="L35" s="179">
        <f t="shared" si="2"/>
        <v>0</v>
      </c>
      <c r="M35" s="179">
        <v>0</v>
      </c>
      <c r="N35" s="179">
        <f t="shared" si="11"/>
        <v>6156375.0375943445</v>
      </c>
      <c r="O35" s="179">
        <f>N35/((1+$E$4)^B35)</f>
        <v>722746.52341844374</v>
      </c>
      <c r="P35" s="180">
        <f t="shared" si="5"/>
        <v>12611754.293170825</v>
      </c>
      <c r="R35" s="136" t="s">
        <v>14</v>
      </c>
      <c r="S35" s="137">
        <v>15000</v>
      </c>
    </row>
    <row r="36" spans="2:19" ht="17" thickBot="1" x14ac:dyDescent="0.25">
      <c r="B36" s="177">
        <v>12</v>
      </c>
      <c r="C36" s="178">
        <v>29</v>
      </c>
      <c r="D36" s="178">
        <v>52</v>
      </c>
      <c r="E36" s="179">
        <f>(1+$J$4)*E35</f>
        <v>12051564.966608647</v>
      </c>
      <c r="F36" s="179">
        <f>F35*(1+$O$4)</f>
        <v>5231556.4941161871</v>
      </c>
      <c r="G36" s="179">
        <f t="shared" si="12"/>
        <v>6820008.4724924602</v>
      </c>
      <c r="H36" s="179">
        <v>0</v>
      </c>
      <c r="I36" s="179">
        <v>0</v>
      </c>
      <c r="J36" s="179">
        <f t="shared" si="9"/>
        <v>0</v>
      </c>
      <c r="K36" s="179">
        <f t="shared" si="10"/>
        <v>6820008.4724924602</v>
      </c>
      <c r="L36" s="179">
        <f t="shared" si="2"/>
        <v>0</v>
      </c>
      <c r="M36" s="179">
        <v>0</v>
      </c>
      <c r="N36" s="179">
        <f t="shared" si="11"/>
        <v>6820008.4724924602</v>
      </c>
      <c r="O36" s="179">
        <f>N36/((1+$E$4)^B36)</f>
        <v>658975.9714034762</v>
      </c>
      <c r="P36" s="180">
        <f t="shared" si="5"/>
        <v>13270730.2645743</v>
      </c>
      <c r="R36" s="138" t="s">
        <v>9</v>
      </c>
      <c r="S36" s="140">
        <f>SUM(S30:S35)</f>
        <v>155000</v>
      </c>
    </row>
    <row r="37" spans="2:19" ht="17" thickBot="1" x14ac:dyDescent="0.25">
      <c r="B37" s="177">
        <v>13</v>
      </c>
      <c r="C37" s="178">
        <v>30</v>
      </c>
      <c r="D37" s="178">
        <v>53</v>
      </c>
      <c r="E37" s="179">
        <f>(1+$J$4)*E36</f>
        <v>13256721.463269513</v>
      </c>
      <c r="F37" s="179">
        <f>F36*(1+$O$4)</f>
        <v>5702396.5785866445</v>
      </c>
      <c r="G37" s="179">
        <f t="shared" si="12"/>
        <v>7554324.8846828686</v>
      </c>
      <c r="H37" s="179">
        <v>0</v>
      </c>
      <c r="I37" s="179">
        <v>0</v>
      </c>
      <c r="J37" s="179">
        <f t="shared" si="9"/>
        <v>0</v>
      </c>
      <c r="K37" s="179">
        <f t="shared" si="10"/>
        <v>7554324.8846828686</v>
      </c>
      <c r="L37" s="179">
        <f t="shared" si="2"/>
        <v>0</v>
      </c>
      <c r="M37" s="179">
        <v>0</v>
      </c>
      <c r="N37" s="179">
        <f t="shared" si="11"/>
        <v>7554324.8846828686</v>
      </c>
      <c r="O37" s="179">
        <f>N37/((1+$E$4)^B37)</f>
        <v>600764.20053191436</v>
      </c>
      <c r="P37" s="180">
        <f t="shared" si="5"/>
        <v>13871494.465106215</v>
      </c>
      <c r="R37" s="1" t="s">
        <v>76</v>
      </c>
      <c r="S37" s="2"/>
    </row>
    <row r="38" spans="2:19" x14ac:dyDescent="0.2">
      <c r="B38" s="177">
        <v>14</v>
      </c>
      <c r="C38" s="178">
        <v>31</v>
      </c>
      <c r="D38" s="178">
        <v>54</v>
      </c>
      <c r="E38" s="179">
        <f>(1+$J$4)*E37</f>
        <v>14582393.609596465</v>
      </c>
      <c r="F38" s="179">
        <f>F37*(1+$O$4)</f>
        <v>6215612.270659443</v>
      </c>
      <c r="G38" s="179">
        <f t="shared" si="12"/>
        <v>8366781.3389370218</v>
      </c>
      <c r="H38" s="179">
        <v>0</v>
      </c>
      <c r="I38" s="179">
        <v>0</v>
      </c>
      <c r="J38" s="179">
        <f t="shared" si="9"/>
        <v>0</v>
      </c>
      <c r="K38" s="179">
        <f t="shared" si="10"/>
        <v>8366781.3389370218</v>
      </c>
      <c r="L38" s="179">
        <f t="shared" si="2"/>
        <v>0</v>
      </c>
      <c r="M38" s="179">
        <v>0</v>
      </c>
      <c r="N38" s="179">
        <f t="shared" si="11"/>
        <v>8366781.3389370218</v>
      </c>
      <c r="O38" s="179">
        <f>N38/((1+$E$4)^B38)</f>
        <v>547634.15690194687</v>
      </c>
      <c r="P38" s="180">
        <f t="shared" si="5"/>
        <v>14419128.622008162</v>
      </c>
      <c r="R38" s="7" t="s">
        <v>4</v>
      </c>
      <c r="S38" s="11">
        <v>20000</v>
      </c>
    </row>
    <row r="39" spans="2:19" x14ac:dyDescent="0.2">
      <c r="B39" s="177">
        <v>15</v>
      </c>
      <c r="C39" s="178">
        <v>32</v>
      </c>
      <c r="D39" s="178">
        <v>55</v>
      </c>
      <c r="E39" s="179">
        <f>(1+$J$4)*E38</f>
        <v>16040632.970556112</v>
      </c>
      <c r="F39" s="179">
        <f>F38*(1+$O$4)</f>
        <v>6775017.3750187932</v>
      </c>
      <c r="G39" s="179">
        <f t="shared" si="12"/>
        <v>9265615.5955373198</v>
      </c>
      <c r="H39" s="179">
        <v>0</v>
      </c>
      <c r="I39" s="179">
        <v>0</v>
      </c>
      <c r="J39" s="179">
        <f t="shared" si="9"/>
        <v>0</v>
      </c>
      <c r="K39" s="179">
        <f t="shared" si="10"/>
        <v>9265615.5955373198</v>
      </c>
      <c r="L39" s="179">
        <f t="shared" si="2"/>
        <v>0</v>
      </c>
      <c r="M39" s="179">
        <v>0</v>
      </c>
      <c r="N39" s="179">
        <f t="shared" si="11"/>
        <v>9265615.5955373198</v>
      </c>
      <c r="O39" s="179">
        <f>N39/((1+$E$4)^B39)</f>
        <v>499148.88987436198</v>
      </c>
      <c r="P39" s="180">
        <f t="shared" si="5"/>
        <v>14918277.511882523</v>
      </c>
      <c r="R39" s="7" t="s">
        <v>5</v>
      </c>
      <c r="S39" s="11">
        <v>30000</v>
      </c>
    </row>
    <row r="40" spans="2:19" x14ac:dyDescent="0.2">
      <c r="B40" s="177">
        <v>16</v>
      </c>
      <c r="C40" s="178">
        <v>33</v>
      </c>
      <c r="D40" s="178">
        <v>56</v>
      </c>
      <c r="E40" s="179">
        <f>(1+$J$4)*E39</f>
        <v>17644696.267611723</v>
      </c>
      <c r="F40" s="179">
        <f>F39*(1+$O$4)</f>
        <v>7384768.9387704851</v>
      </c>
      <c r="G40" s="179">
        <f t="shared" si="12"/>
        <v>10259927.328841239</v>
      </c>
      <c r="H40" s="179">
        <v>0</v>
      </c>
      <c r="I40" s="179">
        <v>0</v>
      </c>
      <c r="J40" s="179">
        <f t="shared" si="9"/>
        <v>0</v>
      </c>
      <c r="K40" s="179">
        <f t="shared" si="10"/>
        <v>10259927.328841239</v>
      </c>
      <c r="L40" s="179">
        <f t="shared" si="2"/>
        <v>0</v>
      </c>
      <c r="M40" s="179">
        <v>0</v>
      </c>
      <c r="N40" s="179">
        <f t="shared" si="11"/>
        <v>10259927.328841239</v>
      </c>
      <c r="O40" s="179">
        <f>N40/((1+$E$4)^B40)</f>
        <v>454908.27583651664</v>
      </c>
      <c r="P40" s="180">
        <f t="shared" si="5"/>
        <v>15373185.787719039</v>
      </c>
      <c r="R40" s="7" t="s">
        <v>6</v>
      </c>
      <c r="S40" s="11">
        <v>60000</v>
      </c>
    </row>
    <row r="41" spans="2:19" x14ac:dyDescent="0.2">
      <c r="B41" s="177">
        <v>17</v>
      </c>
      <c r="C41" s="178">
        <v>34</v>
      </c>
      <c r="D41" s="178">
        <v>57</v>
      </c>
      <c r="E41" s="179">
        <f>(1+$J$4)*E40</f>
        <v>19409165.894372899</v>
      </c>
      <c r="F41" s="179">
        <f>F40*(1+$O$4)</f>
        <v>8049398.1432598289</v>
      </c>
      <c r="G41" s="179">
        <f t="shared" si="12"/>
        <v>11359767.75111307</v>
      </c>
      <c r="H41" s="179">
        <v>0</v>
      </c>
      <c r="I41" s="179">
        <v>0</v>
      </c>
      <c r="J41" s="179">
        <f t="shared" si="9"/>
        <v>0</v>
      </c>
      <c r="K41" s="179">
        <f t="shared" si="10"/>
        <v>11359767.75111307</v>
      </c>
      <c r="L41" s="179">
        <f t="shared" si="2"/>
        <v>0</v>
      </c>
      <c r="M41" s="179">
        <v>0</v>
      </c>
      <c r="N41" s="179">
        <f t="shared" si="11"/>
        <v>11359767.75111307</v>
      </c>
      <c r="O41" s="179">
        <f>N41/((1+$E$4)^B41)</f>
        <v>414545.99861148221</v>
      </c>
      <c r="P41" s="180">
        <f t="shared" si="5"/>
        <v>15787731.786330521</v>
      </c>
      <c r="R41" s="7" t="s">
        <v>8</v>
      </c>
      <c r="S41" s="11">
        <v>30000</v>
      </c>
    </row>
    <row r="42" spans="2:19" x14ac:dyDescent="0.2">
      <c r="B42" s="177">
        <v>18</v>
      </c>
      <c r="C42" s="178">
        <v>35</v>
      </c>
      <c r="D42" s="178">
        <v>58</v>
      </c>
      <c r="E42" s="179">
        <f>(1+$J$4)*E41</f>
        <v>21350082.48381019</v>
      </c>
      <c r="F42" s="179">
        <f>F41*(1+$O$4)</f>
        <v>8773843.9761532135</v>
      </c>
      <c r="G42" s="179">
        <f t="shared" si="12"/>
        <v>12576238.507656977</v>
      </c>
      <c r="H42" s="179">
        <v>0</v>
      </c>
      <c r="I42" s="179">
        <v>0</v>
      </c>
      <c r="J42" s="179">
        <f t="shared" si="9"/>
        <v>0</v>
      </c>
      <c r="K42" s="179">
        <f t="shared" si="10"/>
        <v>12576238.507656977</v>
      </c>
      <c r="L42" s="179">
        <f t="shared" si="2"/>
        <v>0</v>
      </c>
      <c r="M42" s="179">
        <v>0</v>
      </c>
      <c r="N42" s="179">
        <f t="shared" si="11"/>
        <v>12576238.507656977</v>
      </c>
      <c r="O42" s="179">
        <f>N42/((1+$E$4)^B42)</f>
        <v>377726.76771994715</v>
      </c>
      <c r="P42" s="180">
        <f t="shared" si="5"/>
        <v>16165458.554050468</v>
      </c>
      <c r="R42" s="7" t="s">
        <v>7</v>
      </c>
      <c r="S42" s="11">
        <v>0</v>
      </c>
    </row>
    <row r="43" spans="2:19" ht="17" thickBot="1" x14ac:dyDescent="0.25">
      <c r="B43" s="177">
        <v>19</v>
      </c>
      <c r="C43" s="178">
        <v>36</v>
      </c>
      <c r="D43" s="178">
        <v>59</v>
      </c>
      <c r="E43" s="179">
        <f>(1+$J$4)*E42</f>
        <v>23485090.732191212</v>
      </c>
      <c r="F43" s="179">
        <f>F42*(1+$O$4)</f>
        <v>9563489.9340070039</v>
      </c>
      <c r="G43" s="179">
        <f t="shared" si="12"/>
        <v>13921600.798184209</v>
      </c>
      <c r="H43" s="179">
        <v>0</v>
      </c>
      <c r="I43" s="179">
        <v>0</v>
      </c>
      <c r="J43" s="179">
        <f t="shared" si="9"/>
        <v>0</v>
      </c>
      <c r="K43" s="179">
        <f t="shared" si="10"/>
        <v>13921600.798184209</v>
      </c>
      <c r="L43" s="179">
        <f t="shared" si="2"/>
        <v>0</v>
      </c>
      <c r="M43" s="179">
        <v>0</v>
      </c>
      <c r="N43" s="179">
        <f t="shared" si="11"/>
        <v>13921600.798184209</v>
      </c>
      <c r="O43" s="179">
        <f>N43/((1+$E$4)^B43)</f>
        <v>344143.75691541209</v>
      </c>
      <c r="P43" s="180">
        <f t="shared" si="5"/>
        <v>16509602.310965881</v>
      </c>
      <c r="R43" s="136" t="s">
        <v>14</v>
      </c>
      <c r="S43" s="137">
        <v>15000</v>
      </c>
    </row>
    <row r="44" spans="2:19" ht="17" thickBot="1" x14ac:dyDescent="0.25">
      <c r="B44" s="177">
        <v>20</v>
      </c>
      <c r="C44" s="178">
        <v>37</v>
      </c>
      <c r="D44" s="178">
        <v>60</v>
      </c>
      <c r="E44" s="179">
        <f>(1+$J$4)*E43</f>
        <v>25833599.805410337</v>
      </c>
      <c r="F44" s="179">
        <f>F43*(1+$O$4)</f>
        <v>10424204.028067635</v>
      </c>
      <c r="G44" s="179">
        <f t="shared" si="12"/>
        <v>15409395.777342701</v>
      </c>
      <c r="H44" s="179">
        <v>0</v>
      </c>
      <c r="I44" s="179">
        <v>0</v>
      </c>
      <c r="J44" s="179">
        <f t="shared" si="9"/>
        <v>0</v>
      </c>
      <c r="K44" s="179">
        <f t="shared" si="10"/>
        <v>15409395.777342701</v>
      </c>
      <c r="L44" s="179">
        <f t="shared" si="2"/>
        <v>0</v>
      </c>
      <c r="M44" s="179">
        <v>0</v>
      </c>
      <c r="N44" s="179">
        <f t="shared" si="11"/>
        <v>15409395.777342701</v>
      </c>
      <c r="O44" s="179">
        <f>N44/((1+$E$4)^B44)</f>
        <v>313516.24656956602</v>
      </c>
      <c r="P44" s="180">
        <f t="shared" si="5"/>
        <v>16823118.557535447</v>
      </c>
      <c r="R44" s="138" t="s">
        <v>9</v>
      </c>
      <c r="S44" s="140">
        <f>SUM(S38:S43)</f>
        <v>155000</v>
      </c>
    </row>
    <row r="45" spans="2:19" ht="17" thickBot="1" x14ac:dyDescent="0.25">
      <c r="B45" s="177">
        <v>21</v>
      </c>
      <c r="C45" s="178">
        <v>38</v>
      </c>
      <c r="D45" s="178">
        <v>61</v>
      </c>
      <c r="E45" s="179">
        <f>(1+$J$4)*E44</f>
        <v>28416959.785951372</v>
      </c>
      <c r="F45" s="179">
        <f>F44*(1+$O$4)</f>
        <v>11362382.390593722</v>
      </c>
      <c r="G45" s="179">
        <f t="shared" si="12"/>
        <v>17054577.39535765</v>
      </c>
      <c r="H45" s="179">
        <v>0</v>
      </c>
      <c r="I45" s="179">
        <v>0</v>
      </c>
      <c r="J45" s="179">
        <f t="shared" si="9"/>
        <v>0</v>
      </c>
      <c r="K45" s="179">
        <f t="shared" si="10"/>
        <v>17054577.39535765</v>
      </c>
      <c r="L45" s="179">
        <f t="shared" si="2"/>
        <v>0</v>
      </c>
      <c r="M45" s="179">
        <v>0</v>
      </c>
      <c r="N45" s="179">
        <f t="shared" si="11"/>
        <v>17054577.39535765</v>
      </c>
      <c r="O45" s="179">
        <f>N45/((1+$E$4)^B45)</f>
        <v>285587.45458385453</v>
      </c>
      <c r="P45" s="180">
        <f t="shared" si="5"/>
        <v>17108706.012119301</v>
      </c>
    </row>
    <row r="46" spans="2:19" x14ac:dyDescent="0.2">
      <c r="B46" s="177">
        <v>22</v>
      </c>
      <c r="C46" s="178">
        <v>39</v>
      </c>
      <c r="D46" s="178">
        <v>62</v>
      </c>
      <c r="E46" s="179">
        <f>(1+$J$4)*E45</f>
        <v>31258655.764546514</v>
      </c>
      <c r="F46" s="179">
        <f>F45*(1+$O$4)</f>
        <v>12384996.805747159</v>
      </c>
      <c r="G46" s="179">
        <f t="shared" si="12"/>
        <v>18873658.958799355</v>
      </c>
      <c r="H46" s="179">
        <v>0</v>
      </c>
      <c r="I46" s="179">
        <v>0</v>
      </c>
      <c r="J46" s="179">
        <f t="shared" si="9"/>
        <v>0</v>
      </c>
      <c r="K46" s="179">
        <f t="shared" si="10"/>
        <v>18873658.958799355</v>
      </c>
      <c r="L46" s="179">
        <f t="shared" si="2"/>
        <v>0</v>
      </c>
      <c r="M46" s="179">
        <v>0</v>
      </c>
      <c r="N46" s="179">
        <f t="shared" si="11"/>
        <v>18873658.958799355</v>
      </c>
      <c r="O46" s="179">
        <f>N46/((1+$E$4)^B46)</f>
        <v>260122.5415451843</v>
      </c>
      <c r="P46" s="180">
        <f t="shared" si="5"/>
        <v>17368828.553664483</v>
      </c>
      <c r="R46" s="145" t="s">
        <v>77</v>
      </c>
      <c r="S46" s="106">
        <f>$S$13</f>
        <v>255000</v>
      </c>
    </row>
    <row r="47" spans="2:19" x14ac:dyDescent="0.2">
      <c r="B47" s="177">
        <v>23</v>
      </c>
      <c r="C47" s="178">
        <v>40</v>
      </c>
      <c r="D47" s="178">
        <v>63</v>
      </c>
      <c r="E47" s="179">
        <f>(1+$J$4)*E46</f>
        <v>34384521.341001168</v>
      </c>
      <c r="F47" s="179">
        <f>F46*(1+$O$4)</f>
        <v>13499646.518264404</v>
      </c>
      <c r="G47" s="179">
        <f t="shared" si="12"/>
        <v>20884874.822736762</v>
      </c>
      <c r="H47" s="179">
        <v>0</v>
      </c>
      <c r="I47" s="179">
        <v>0</v>
      </c>
      <c r="J47" s="179">
        <f t="shared" si="9"/>
        <v>0</v>
      </c>
      <c r="K47" s="179">
        <f t="shared" si="10"/>
        <v>20884874.822736762</v>
      </c>
      <c r="L47" s="179">
        <f t="shared" si="2"/>
        <v>0</v>
      </c>
      <c r="M47" s="179">
        <v>0</v>
      </c>
      <c r="N47" s="179">
        <f t="shared" si="11"/>
        <v>20884874.822736762</v>
      </c>
      <c r="O47" s="179">
        <f>N47/((1+$E$4)^B47)</f>
        <v>236906.77682904841</v>
      </c>
      <c r="P47" s="180">
        <f t="shared" si="5"/>
        <v>17605735.330493532</v>
      </c>
      <c r="R47" s="146" t="s">
        <v>78</v>
      </c>
      <c r="S47" s="143">
        <f>65000</f>
        <v>65000</v>
      </c>
    </row>
    <row r="48" spans="2:19" ht="17" thickBot="1" x14ac:dyDescent="0.25">
      <c r="B48" s="177">
        <v>24</v>
      </c>
      <c r="C48" s="178">
        <v>41</v>
      </c>
      <c r="D48" s="178">
        <v>64</v>
      </c>
      <c r="E48" s="179">
        <f>(1+$J$4)*E47</f>
        <v>37822973.475101285</v>
      </c>
      <c r="F48" s="179">
        <f>F47*(1+$O$4)</f>
        <v>14714614.704908201</v>
      </c>
      <c r="G48" s="179">
        <f t="shared" si="12"/>
        <v>23108358.770193085</v>
      </c>
      <c r="H48" s="179">
        <v>0</v>
      </c>
      <c r="I48" s="179">
        <v>0</v>
      </c>
      <c r="J48" s="179">
        <f t="shared" si="9"/>
        <v>0</v>
      </c>
      <c r="K48" s="179">
        <f t="shared" si="10"/>
        <v>23108358.770193085</v>
      </c>
      <c r="L48" s="179">
        <f t="shared" si="2"/>
        <v>0</v>
      </c>
      <c r="M48" s="179">
        <v>0</v>
      </c>
      <c r="N48" s="179">
        <f t="shared" si="11"/>
        <v>23108358.770193085</v>
      </c>
      <c r="O48" s="179">
        <f>N48/((1+$E$4)^B48)</f>
        <v>215743.85328313612</v>
      </c>
      <c r="P48" s="180">
        <f t="shared" si="5"/>
        <v>17821479.183776669</v>
      </c>
      <c r="R48" s="147" t="s">
        <v>79</v>
      </c>
      <c r="S48" s="144">
        <f>S46+S47</f>
        <v>320000</v>
      </c>
    </row>
    <row r="49" spans="2:19" ht="17" thickBot="1" x14ac:dyDescent="0.25">
      <c r="B49" s="177">
        <v>25</v>
      </c>
      <c r="C49" s="178">
        <v>42</v>
      </c>
      <c r="D49" s="178">
        <v>65</v>
      </c>
      <c r="E49" s="179">
        <f>(1+$J$4)*E48</f>
        <v>41605270.822611414</v>
      </c>
      <c r="F49" s="179">
        <f>F48*(1+$O$4)</f>
        <v>16038930.028349942</v>
      </c>
      <c r="G49" s="179">
        <f t="shared" si="12"/>
        <v>25566340.79426147</v>
      </c>
      <c r="H49" s="179">
        <v>0</v>
      </c>
      <c r="I49" s="179">
        <v>0</v>
      </c>
      <c r="J49" s="179">
        <f t="shared" si="9"/>
        <v>0</v>
      </c>
      <c r="K49" s="179">
        <f t="shared" si="10"/>
        <v>25566340.79426147</v>
      </c>
      <c r="L49" s="179">
        <f t="shared" si="2"/>
        <v>0</v>
      </c>
      <c r="M49" s="179">
        <v>0</v>
      </c>
      <c r="N49" s="179">
        <f t="shared" si="11"/>
        <v>25566340.79426147</v>
      </c>
      <c r="O49" s="179">
        <f>N49/((1+$E$4)^B49)</f>
        <v>196454.33900008706</v>
      </c>
      <c r="P49" s="180">
        <f t="shared" si="5"/>
        <v>18017933.522776756</v>
      </c>
    </row>
    <row r="50" spans="2:19" ht="17" thickBot="1" x14ac:dyDescent="0.25">
      <c r="B50" s="109">
        <v>26</v>
      </c>
      <c r="C50" s="103">
        <v>43</v>
      </c>
      <c r="D50" s="103">
        <v>66</v>
      </c>
      <c r="E50" s="104">
        <v>0</v>
      </c>
      <c r="F50" s="104">
        <f>F49*(1+$O$4)</f>
        <v>17482433.730901439</v>
      </c>
      <c r="G50" s="104">
        <f t="shared" si="12"/>
        <v>-17482433.730901439</v>
      </c>
      <c r="H50" s="104">
        <v>0</v>
      </c>
      <c r="I50" s="104">
        <v>0</v>
      </c>
      <c r="J50" s="104">
        <f t="shared" ref="J50:J83" si="13">H50+I50</f>
        <v>0</v>
      </c>
      <c r="K50" s="104">
        <f t="shared" ref="K50:K83" si="14">G50-J50</f>
        <v>-17482433.730901439</v>
      </c>
      <c r="L50" s="104">
        <f t="shared" si="2"/>
        <v>0</v>
      </c>
      <c r="M50" s="104">
        <v>0</v>
      </c>
      <c r="N50" s="104">
        <f t="shared" ref="N50:N83" si="15">G50-M50</f>
        <v>-17482433.730901439</v>
      </c>
      <c r="O50" s="104">
        <f>N50/((1+$E$4)^B50)</f>
        <v>-110565.25309020198</v>
      </c>
      <c r="P50" s="110">
        <f t="shared" si="5"/>
        <v>17907368.269686554</v>
      </c>
      <c r="R50" s="3" t="s">
        <v>2</v>
      </c>
      <c r="S50" s="4"/>
    </row>
    <row r="51" spans="2:19" x14ac:dyDescent="0.2">
      <c r="B51" s="109">
        <v>27</v>
      </c>
      <c r="C51" s="103">
        <v>44</v>
      </c>
      <c r="D51" s="103">
        <v>67</v>
      </c>
      <c r="E51" s="104">
        <v>0</v>
      </c>
      <c r="F51" s="104">
        <f>F50*(1+$O$4)</f>
        <v>19055852.766682569</v>
      </c>
      <c r="G51" s="104">
        <f t="shared" si="12"/>
        <v>-19055852.766682569</v>
      </c>
      <c r="H51" s="104">
        <v>0</v>
      </c>
      <c r="I51" s="104">
        <v>0</v>
      </c>
      <c r="J51" s="104">
        <f t="shared" si="13"/>
        <v>0</v>
      </c>
      <c r="K51" s="104">
        <f t="shared" si="14"/>
        <v>-19055852.766682569</v>
      </c>
      <c r="L51" s="104">
        <f t="shared" si="2"/>
        <v>0</v>
      </c>
      <c r="M51" s="104">
        <v>0</v>
      </c>
      <c r="N51" s="104">
        <f t="shared" si="15"/>
        <v>-19055852.766682569</v>
      </c>
      <c r="O51" s="104">
        <f>N51/((1+$E$4)^B51)</f>
        <v>-99190.227052115326</v>
      </c>
      <c r="P51" s="110">
        <f t="shared" si="5"/>
        <v>17808178.042634439</v>
      </c>
      <c r="R51" s="5" t="s">
        <v>10</v>
      </c>
      <c r="S51" s="6">
        <f>S48*12</f>
        <v>3840000</v>
      </c>
    </row>
    <row r="52" spans="2:19" x14ac:dyDescent="0.2">
      <c r="B52" s="109">
        <v>28</v>
      </c>
      <c r="C52" s="103">
        <v>45</v>
      </c>
      <c r="D52" s="103">
        <v>68</v>
      </c>
      <c r="E52" s="104">
        <v>0</v>
      </c>
      <c r="F52" s="104">
        <f>F51*(1+$O$4)</f>
        <v>20770879.515684001</v>
      </c>
      <c r="G52" s="104">
        <f t="shared" si="12"/>
        <v>-20770879.515684001</v>
      </c>
      <c r="H52" s="104">
        <v>0</v>
      </c>
      <c r="I52" s="104">
        <v>0</v>
      </c>
      <c r="J52" s="104">
        <f t="shared" si="13"/>
        <v>0</v>
      </c>
      <c r="K52" s="104">
        <f t="shared" si="14"/>
        <v>-20770879.515684001</v>
      </c>
      <c r="L52" s="104">
        <f t="shared" si="2"/>
        <v>0</v>
      </c>
      <c r="M52" s="104">
        <v>0</v>
      </c>
      <c r="N52" s="104">
        <f t="shared" si="15"/>
        <v>-20770879.515684001</v>
      </c>
      <c r="O52" s="104">
        <f>N52/((1+$E$4)^B52)</f>
        <v>-88985.471182556154</v>
      </c>
      <c r="P52" s="110">
        <f t="shared" si="5"/>
        <v>17719192.571451884</v>
      </c>
      <c r="R52" s="7" t="s">
        <v>11</v>
      </c>
      <c r="S52" s="8">
        <f>$S$48</f>
        <v>320000</v>
      </c>
    </row>
    <row r="53" spans="2:19" ht="17" thickBot="1" x14ac:dyDescent="0.25">
      <c r="B53" s="109">
        <v>29</v>
      </c>
      <c r="C53" s="103">
        <v>46</v>
      </c>
      <c r="D53" s="103">
        <v>69</v>
      </c>
      <c r="E53" s="104">
        <v>0</v>
      </c>
      <c r="F53" s="104">
        <f>F52*(1+$O$4)</f>
        <v>22640258.672095563</v>
      </c>
      <c r="G53" s="104">
        <f t="shared" si="12"/>
        <v>-22640258.672095563</v>
      </c>
      <c r="H53" s="104">
        <v>0</v>
      </c>
      <c r="I53" s="104">
        <v>0</v>
      </c>
      <c r="J53" s="104">
        <f t="shared" si="13"/>
        <v>0</v>
      </c>
      <c r="K53" s="104">
        <f t="shared" si="14"/>
        <v>-22640258.672095563</v>
      </c>
      <c r="L53" s="104">
        <f t="shared" si="2"/>
        <v>0</v>
      </c>
      <c r="M53" s="104">
        <v>0</v>
      </c>
      <c r="N53" s="104">
        <f t="shared" si="15"/>
        <v>-22640258.672095563</v>
      </c>
      <c r="O53" s="104">
        <f>N53/((1+$E$4)^B53)</f>
        <v>-79830.587316038029</v>
      </c>
      <c r="P53" s="110">
        <f t="shared" si="5"/>
        <v>17639361.984135848</v>
      </c>
      <c r="R53" s="9" t="s">
        <v>12</v>
      </c>
      <c r="S53" s="10">
        <f>SUM(P6:P23)</f>
        <v>5918087.451164539</v>
      </c>
    </row>
    <row r="54" spans="2:19" x14ac:dyDescent="0.2">
      <c r="B54" s="109">
        <v>30</v>
      </c>
      <c r="C54" s="103">
        <v>47</v>
      </c>
      <c r="D54" s="103">
        <v>70</v>
      </c>
      <c r="E54" s="104">
        <v>0</v>
      </c>
      <c r="F54" s="104">
        <f>F53*(1+$O$4)</f>
        <v>24677881.952584166</v>
      </c>
      <c r="G54" s="104">
        <f t="shared" si="12"/>
        <v>-24677881.952584166</v>
      </c>
      <c r="H54" s="104">
        <v>0</v>
      </c>
      <c r="I54" s="104">
        <v>0</v>
      </c>
      <c r="J54" s="104">
        <f t="shared" si="13"/>
        <v>0</v>
      </c>
      <c r="K54" s="104">
        <f t="shared" si="14"/>
        <v>-24677881.952584166</v>
      </c>
      <c r="L54" s="104">
        <f t="shared" si="2"/>
        <v>0</v>
      </c>
      <c r="M54" s="104">
        <v>0</v>
      </c>
      <c r="N54" s="104">
        <f t="shared" si="15"/>
        <v>-24677881.952584166</v>
      </c>
      <c r="O54" s="104">
        <f>N54/((1+$E$4)^B54)</f>
        <v>-71617.563929614364</v>
      </c>
      <c r="P54" s="110">
        <f t="shared" si="5"/>
        <v>17567744.420206234</v>
      </c>
    </row>
    <row r="55" spans="2:19" x14ac:dyDescent="0.2">
      <c r="B55" s="109">
        <v>31</v>
      </c>
      <c r="C55" s="103">
        <v>48</v>
      </c>
      <c r="D55" s="103">
        <v>71</v>
      </c>
      <c r="E55" s="104">
        <v>0</v>
      </c>
      <c r="F55" s="104">
        <f>F54*(1+$O$4)</f>
        <v>26898891.328316744</v>
      </c>
      <c r="G55" s="104">
        <f t="shared" si="12"/>
        <v>-26898891.328316744</v>
      </c>
      <c r="H55" s="104">
        <v>0</v>
      </c>
      <c r="I55" s="104">
        <v>0</v>
      </c>
      <c r="J55" s="104">
        <f t="shared" si="13"/>
        <v>0</v>
      </c>
      <c r="K55" s="104">
        <f t="shared" si="14"/>
        <v>-26898891.328316744</v>
      </c>
      <c r="L55" s="104">
        <f t="shared" si="2"/>
        <v>0</v>
      </c>
      <c r="M55" s="104">
        <v>0</v>
      </c>
      <c r="N55" s="104">
        <f t="shared" si="15"/>
        <v>-26898891.328316744</v>
      </c>
      <c r="O55" s="104">
        <f>N55/((1+$E$4)^B55)</f>
        <v>-64249.501796938006</v>
      </c>
      <c r="P55" s="110">
        <f t="shared" si="5"/>
        <v>17503494.918409295</v>
      </c>
    </row>
    <row r="56" spans="2:19" x14ac:dyDescent="0.2">
      <c r="B56" s="109">
        <v>32</v>
      </c>
      <c r="C56" s="103">
        <v>49</v>
      </c>
      <c r="D56" s="103">
        <v>72</v>
      </c>
      <c r="E56" s="104">
        <v>0</v>
      </c>
      <c r="F56" s="104">
        <f>F55*(1+$O$4)</f>
        <v>29319791.547865253</v>
      </c>
      <c r="G56" s="104">
        <f t="shared" si="12"/>
        <v>-29319791.547865253</v>
      </c>
      <c r="H56" s="104">
        <v>0</v>
      </c>
      <c r="I56" s="104">
        <v>0</v>
      </c>
      <c r="J56" s="104">
        <f t="shared" si="13"/>
        <v>0</v>
      </c>
      <c r="K56" s="104">
        <f t="shared" si="14"/>
        <v>-29319791.547865253</v>
      </c>
      <c r="L56" s="104">
        <f t="shared" si="2"/>
        <v>0</v>
      </c>
      <c r="M56" s="104">
        <v>0</v>
      </c>
      <c r="N56" s="104">
        <f t="shared" si="15"/>
        <v>-29319791.547865253</v>
      </c>
      <c r="O56" s="104">
        <f>N56/((1+$E$4)^B56)</f>
        <v>-57639.470747870313</v>
      </c>
      <c r="P56" s="110">
        <f t="shared" si="5"/>
        <v>17445855.447661426</v>
      </c>
    </row>
    <row r="57" spans="2:19" x14ac:dyDescent="0.2">
      <c r="B57" s="109">
        <v>33</v>
      </c>
      <c r="C57" s="103">
        <v>50</v>
      </c>
      <c r="D57" s="103">
        <v>73</v>
      </c>
      <c r="E57" s="104">
        <v>0</v>
      </c>
      <c r="F57" s="104">
        <f>F56*(1+$O$4)</f>
        <v>31958572.78717313</v>
      </c>
      <c r="G57" s="104">
        <f t="shared" si="12"/>
        <v>-31958572.78717313</v>
      </c>
      <c r="H57" s="104">
        <v>0</v>
      </c>
      <c r="I57" s="104">
        <v>0</v>
      </c>
      <c r="J57" s="104">
        <f t="shared" si="13"/>
        <v>0</v>
      </c>
      <c r="K57" s="104">
        <f t="shared" si="14"/>
        <v>-31958572.78717313</v>
      </c>
      <c r="L57" s="104">
        <f t="shared" si="2"/>
        <v>0</v>
      </c>
      <c r="M57" s="104">
        <v>0</v>
      </c>
      <c r="N57" s="104">
        <f t="shared" si="15"/>
        <v>-31958572.78717313</v>
      </c>
      <c r="O57" s="104">
        <f>N57/((1+$E$4)^B57)</f>
        <v>-51709.484045414523</v>
      </c>
      <c r="P57" s="110">
        <f t="shared" si="5"/>
        <v>17394145.96361601</v>
      </c>
    </row>
    <row r="58" spans="2:19" x14ac:dyDescent="0.2">
      <c r="B58" s="109">
        <v>34</v>
      </c>
      <c r="C58" s="103">
        <v>51</v>
      </c>
      <c r="D58" s="103">
        <v>74</v>
      </c>
      <c r="E58" s="104">
        <v>0</v>
      </c>
      <c r="F58" s="104">
        <f>F57*(1+$O$4)</f>
        <v>34834844.338018715</v>
      </c>
      <c r="G58" s="104">
        <f t="shared" si="12"/>
        <v>-34834844.338018715</v>
      </c>
      <c r="H58" s="104">
        <v>0</v>
      </c>
      <c r="I58" s="104">
        <v>0</v>
      </c>
      <c r="J58" s="104">
        <f t="shared" si="13"/>
        <v>0</v>
      </c>
      <c r="K58" s="104">
        <f t="shared" si="14"/>
        <v>-34834844.338018715</v>
      </c>
      <c r="L58" s="104">
        <f t="shared" si="2"/>
        <v>0</v>
      </c>
      <c r="M58" s="104">
        <v>0</v>
      </c>
      <c r="N58" s="104">
        <f t="shared" si="15"/>
        <v>-34834844.338018715</v>
      </c>
      <c r="O58" s="104">
        <f>N58/((1+$E$4)^B58)</f>
        <v>-46389.578279425376</v>
      </c>
      <c r="P58" s="110">
        <f t="shared" si="5"/>
        <v>17347756.385336585</v>
      </c>
    </row>
    <row r="59" spans="2:19" x14ac:dyDescent="0.2">
      <c r="B59" s="109">
        <v>35</v>
      </c>
      <c r="C59" s="103">
        <v>52</v>
      </c>
      <c r="D59" s="103">
        <v>75</v>
      </c>
      <c r="E59" s="104">
        <v>0</v>
      </c>
      <c r="F59" s="104">
        <f>F58*(1+$O$4)</f>
        <v>37969980.328440405</v>
      </c>
      <c r="G59" s="104">
        <f t="shared" si="12"/>
        <v>-37969980.328440405</v>
      </c>
      <c r="H59" s="104">
        <v>0</v>
      </c>
      <c r="I59" s="104">
        <v>0</v>
      </c>
      <c r="J59" s="104">
        <f t="shared" si="13"/>
        <v>0</v>
      </c>
      <c r="K59" s="104">
        <f t="shared" si="14"/>
        <v>-37969980.328440405</v>
      </c>
      <c r="L59" s="104">
        <f t="shared" si="2"/>
        <v>0</v>
      </c>
      <c r="M59" s="104">
        <v>0</v>
      </c>
      <c r="N59" s="104">
        <f t="shared" si="15"/>
        <v>-37969980.328440405</v>
      </c>
      <c r="O59" s="104">
        <f>N59/((1+$E$4)^B59)</f>
        <v>-41616.987921459811</v>
      </c>
      <c r="P59" s="110">
        <f t="shared" si="5"/>
        <v>17306139.397415124</v>
      </c>
    </row>
    <row r="60" spans="2:19" x14ac:dyDescent="0.2">
      <c r="B60" s="109">
        <v>36</v>
      </c>
      <c r="C60" s="103">
        <v>53</v>
      </c>
      <c r="D60" s="103">
        <v>76</v>
      </c>
      <c r="E60" s="104">
        <v>0</v>
      </c>
      <c r="F60" s="104">
        <f>F59*(1+$O$4)</f>
        <v>41387278.558000043</v>
      </c>
      <c r="G60" s="104">
        <f t="shared" si="12"/>
        <v>-41387278.558000043</v>
      </c>
      <c r="H60" s="104">
        <v>0</v>
      </c>
      <c r="I60" s="104">
        <v>0</v>
      </c>
      <c r="J60" s="104">
        <f t="shared" si="13"/>
        <v>0</v>
      </c>
      <c r="K60" s="104">
        <f t="shared" si="14"/>
        <v>-41387278.558000043</v>
      </c>
      <c r="L60" s="104">
        <f t="shared" si="2"/>
        <v>0</v>
      </c>
      <c r="M60" s="104">
        <v>0</v>
      </c>
      <c r="N60" s="104">
        <f t="shared" si="15"/>
        <v>-41387278.558000043</v>
      </c>
      <c r="O60" s="104">
        <f>N60/((1+$E$4)^B60)</f>
        <v>-37335.404801968056</v>
      </c>
      <c r="P60" s="110">
        <f t="shared" si="5"/>
        <v>17268803.992613155</v>
      </c>
    </row>
    <row r="61" spans="2:19" x14ac:dyDescent="0.2">
      <c r="B61" s="109">
        <v>37</v>
      </c>
      <c r="C61" s="103">
        <v>54</v>
      </c>
      <c r="D61" s="103">
        <v>77</v>
      </c>
      <c r="E61" s="104">
        <v>0</v>
      </c>
      <c r="F61" s="104">
        <f>F60*(1+$O$4)</f>
        <v>45112133.628220052</v>
      </c>
      <c r="G61" s="104">
        <f t="shared" si="12"/>
        <v>-45112133.628220052</v>
      </c>
      <c r="H61" s="104">
        <v>0</v>
      </c>
      <c r="I61" s="104">
        <v>0</v>
      </c>
      <c r="J61" s="104">
        <f t="shared" si="13"/>
        <v>0</v>
      </c>
      <c r="K61" s="104">
        <f t="shared" si="14"/>
        <v>-45112133.628220052</v>
      </c>
      <c r="L61" s="104">
        <f t="shared" si="2"/>
        <v>0</v>
      </c>
      <c r="M61" s="104">
        <v>0</v>
      </c>
      <c r="N61" s="104">
        <f t="shared" si="15"/>
        <v>-45112133.628220052</v>
      </c>
      <c r="O61" s="104">
        <f>N61/((1+$E$4)^B61)</f>
        <v>-33494.313772958994</v>
      </c>
      <c r="P61" s="110">
        <f t="shared" si="5"/>
        <v>17235309.678840198</v>
      </c>
    </row>
    <row r="62" spans="2:19" x14ac:dyDescent="0.2">
      <c r="B62" s="109">
        <v>38</v>
      </c>
      <c r="C62" s="103">
        <v>55</v>
      </c>
      <c r="D62" s="103">
        <v>78</v>
      </c>
      <c r="E62" s="104">
        <v>0</v>
      </c>
      <c r="F62" s="104">
        <f>F61*(1+$O$4)</f>
        <v>49172225.654759862</v>
      </c>
      <c r="G62" s="104">
        <f t="shared" si="12"/>
        <v>-49172225.654759862</v>
      </c>
      <c r="H62" s="104">
        <v>0</v>
      </c>
      <c r="I62" s="104">
        <v>0</v>
      </c>
      <c r="J62" s="104">
        <f t="shared" si="13"/>
        <v>0</v>
      </c>
      <c r="K62" s="104">
        <f t="shared" si="14"/>
        <v>-49172225.654759862</v>
      </c>
      <c r="L62" s="104">
        <f t="shared" si="2"/>
        <v>0</v>
      </c>
      <c r="M62" s="104">
        <v>0</v>
      </c>
      <c r="N62" s="104">
        <f t="shared" si="15"/>
        <v>-49172225.654759862</v>
      </c>
      <c r="O62" s="104">
        <f>N62/((1+$E$4)^B62)</f>
        <v>-30048.396718127828</v>
      </c>
      <c r="P62" s="110">
        <f t="shared" si="5"/>
        <v>17205261.282122068</v>
      </c>
    </row>
    <row r="63" spans="2:19" x14ac:dyDescent="0.2">
      <c r="B63" s="109">
        <v>39</v>
      </c>
      <c r="C63" s="103">
        <v>56</v>
      </c>
      <c r="D63" s="103">
        <v>79</v>
      </c>
      <c r="E63" s="104">
        <v>0</v>
      </c>
      <c r="F63" s="104">
        <f>F62*(1+$O$4)</f>
        <v>53597725.963688254</v>
      </c>
      <c r="G63" s="104">
        <f t="shared" si="12"/>
        <v>-53597725.963688254</v>
      </c>
      <c r="H63" s="104">
        <v>0</v>
      </c>
      <c r="I63" s="104">
        <v>0</v>
      </c>
      <c r="J63" s="104">
        <f t="shared" si="13"/>
        <v>0</v>
      </c>
      <c r="K63" s="104">
        <f t="shared" si="14"/>
        <v>-53597725.963688254</v>
      </c>
      <c r="L63" s="104">
        <f t="shared" si="2"/>
        <v>0</v>
      </c>
      <c r="M63" s="104">
        <v>0</v>
      </c>
      <c r="N63" s="104">
        <f t="shared" si="15"/>
        <v>-53597725.963688254</v>
      </c>
      <c r="O63" s="104">
        <f>N63/((1+$E$4)^B63)</f>
        <v>-26956.997878814265</v>
      </c>
      <c r="P63" s="110">
        <f t="shared" si="5"/>
        <v>17178304.284243252</v>
      </c>
    </row>
    <row r="64" spans="2:19" x14ac:dyDescent="0.2">
      <c r="B64" s="109">
        <v>40</v>
      </c>
      <c r="C64" s="103">
        <v>57</v>
      </c>
      <c r="D64" s="103">
        <v>80</v>
      </c>
      <c r="E64" s="104">
        <v>0</v>
      </c>
      <c r="F64" s="104">
        <f>F63*(1+$O$4)</f>
        <v>58421521.300420202</v>
      </c>
      <c r="G64" s="104">
        <f t="shared" si="12"/>
        <v>-58421521.300420202</v>
      </c>
      <c r="H64" s="104">
        <v>0</v>
      </c>
      <c r="I64" s="104">
        <v>0</v>
      </c>
      <c r="J64" s="104">
        <f t="shared" si="13"/>
        <v>0</v>
      </c>
      <c r="K64" s="104">
        <f t="shared" si="14"/>
        <v>-58421521.300420202</v>
      </c>
      <c r="L64" s="104">
        <f t="shared" si="2"/>
        <v>0</v>
      </c>
      <c r="M64" s="104">
        <v>0</v>
      </c>
      <c r="N64" s="104">
        <f t="shared" si="15"/>
        <v>-58421521.300420202</v>
      </c>
      <c r="O64" s="104">
        <f>N64/((1+$E$4)^B64)</f>
        <v>-24183.644187578237</v>
      </c>
      <c r="P64" s="110">
        <f t="shared" si="5"/>
        <v>17154120.640055675</v>
      </c>
    </row>
    <row r="65" spans="2:16" x14ac:dyDescent="0.2">
      <c r="B65" s="109">
        <v>41</v>
      </c>
      <c r="C65" s="103">
        <v>58</v>
      </c>
      <c r="D65" s="103">
        <v>81</v>
      </c>
      <c r="E65" s="104">
        <v>0</v>
      </c>
      <c r="F65" s="104">
        <f>F64*(1+$O$4)</f>
        <v>63679458.217458025</v>
      </c>
      <c r="G65" s="104">
        <f t="shared" si="12"/>
        <v>-63679458.217458025</v>
      </c>
      <c r="H65" s="104">
        <v>0</v>
      </c>
      <c r="I65" s="104">
        <v>0</v>
      </c>
      <c r="J65" s="104">
        <f t="shared" si="13"/>
        <v>0</v>
      </c>
      <c r="K65" s="104">
        <f t="shared" si="14"/>
        <v>-63679458.217458025</v>
      </c>
      <c r="L65" s="104">
        <f t="shared" si="2"/>
        <v>0</v>
      </c>
      <c r="M65" s="104">
        <v>0</v>
      </c>
      <c r="N65" s="104">
        <f t="shared" si="15"/>
        <v>-63679458.217458025</v>
      </c>
      <c r="O65" s="104">
        <f>N65/((1+$E$4)^B65)</f>
        <v>-21695.614950173065</v>
      </c>
      <c r="P65" s="110">
        <f t="shared" si="5"/>
        <v>17132425.025105502</v>
      </c>
    </row>
    <row r="66" spans="2:16" x14ac:dyDescent="0.2">
      <c r="B66" s="109">
        <v>42</v>
      </c>
      <c r="C66" s="103">
        <v>59</v>
      </c>
      <c r="D66" s="103">
        <v>82</v>
      </c>
      <c r="E66" s="104">
        <v>0</v>
      </c>
      <c r="F66" s="104">
        <f>F65*(1+$O$4)</f>
        <v>69410609.457029253</v>
      </c>
      <c r="G66" s="104">
        <f t="shared" si="12"/>
        <v>-69410609.457029253</v>
      </c>
      <c r="H66" s="104">
        <v>0</v>
      </c>
      <c r="I66" s="104">
        <v>0</v>
      </c>
      <c r="J66" s="104">
        <f t="shared" si="13"/>
        <v>0</v>
      </c>
      <c r="K66" s="104">
        <f t="shared" si="14"/>
        <v>-69410609.457029253</v>
      </c>
      <c r="L66" s="104">
        <f t="shared" si="2"/>
        <v>0</v>
      </c>
      <c r="M66" s="104">
        <v>0</v>
      </c>
      <c r="N66" s="104">
        <f t="shared" si="15"/>
        <v>-69410609.457029253</v>
      </c>
      <c r="O66" s="104">
        <f>N66/((1+$E$4)^B66)</f>
        <v>-19463.555798920697</v>
      </c>
      <c r="P66" s="110">
        <f t="shared" si="5"/>
        <v>17112961.469306581</v>
      </c>
    </row>
    <row r="67" spans="2:16" x14ac:dyDescent="0.2">
      <c r="B67" s="109">
        <v>43</v>
      </c>
      <c r="C67" s="103">
        <v>60</v>
      </c>
      <c r="D67" s="103">
        <v>83</v>
      </c>
      <c r="E67" s="104">
        <v>0</v>
      </c>
      <c r="F67" s="104">
        <f>F66*(1+$O$4)</f>
        <v>75657564.308161885</v>
      </c>
      <c r="G67" s="104">
        <f t="shared" si="12"/>
        <v>-75657564.308161885</v>
      </c>
      <c r="H67" s="104">
        <v>0</v>
      </c>
      <c r="I67" s="104">
        <v>0</v>
      </c>
      <c r="J67" s="104">
        <f t="shared" si="13"/>
        <v>0</v>
      </c>
      <c r="K67" s="104">
        <f t="shared" si="14"/>
        <v>-75657564.308161885</v>
      </c>
      <c r="L67" s="104">
        <f t="shared" si="2"/>
        <v>0</v>
      </c>
      <c r="M67" s="104">
        <v>0</v>
      </c>
      <c r="N67" s="104">
        <f t="shared" si="15"/>
        <v>-75657564.308161885</v>
      </c>
      <c r="O67" s="104">
        <f>N67/((1+$E$4)^B67)</f>
        <v>-17461.132362817742</v>
      </c>
      <c r="P67" s="110">
        <f t="shared" si="5"/>
        <v>17095500.336943764</v>
      </c>
    </row>
    <row r="68" spans="2:16" x14ac:dyDescent="0.2">
      <c r="B68" s="109">
        <v>44</v>
      </c>
      <c r="C68" s="103">
        <v>61</v>
      </c>
      <c r="D68" s="103">
        <v>84</v>
      </c>
      <c r="E68" s="104">
        <v>0</v>
      </c>
      <c r="F68" s="104">
        <f>F67*(1+$O$4)</f>
        <v>82466745.095896468</v>
      </c>
      <c r="G68" s="104">
        <f t="shared" si="12"/>
        <v>-82466745.095896468</v>
      </c>
      <c r="H68" s="104">
        <v>0</v>
      </c>
      <c r="I68" s="104">
        <v>0</v>
      </c>
      <c r="J68" s="104">
        <f t="shared" si="13"/>
        <v>0</v>
      </c>
      <c r="K68" s="104">
        <f t="shared" si="14"/>
        <v>-82466745.095896468</v>
      </c>
      <c r="L68" s="104">
        <f t="shared" si="2"/>
        <v>0</v>
      </c>
      <c r="M68" s="104">
        <v>0</v>
      </c>
      <c r="N68" s="104">
        <f t="shared" si="15"/>
        <v>-82466745.095896468</v>
      </c>
      <c r="O68" s="104">
        <f>N68/((1+$E$4)^B68)</f>
        <v>-15664.719568289169</v>
      </c>
      <c r="P68" s="110">
        <f t="shared" si="5"/>
        <v>17079835.617375474</v>
      </c>
    </row>
    <row r="69" spans="2:16" x14ac:dyDescent="0.2">
      <c r="B69" s="109">
        <v>45</v>
      </c>
      <c r="C69" s="103">
        <v>62</v>
      </c>
      <c r="D69" s="103">
        <v>85</v>
      </c>
      <c r="E69" s="104">
        <v>0</v>
      </c>
      <c r="F69" s="104">
        <f>F68*(1+$O$4)</f>
        <v>89888752.154527158</v>
      </c>
      <c r="G69" s="104">
        <f t="shared" si="12"/>
        <v>-89888752.154527158</v>
      </c>
      <c r="H69" s="104">
        <v>0</v>
      </c>
      <c r="I69" s="104">
        <v>0</v>
      </c>
      <c r="J69" s="104">
        <f t="shared" si="13"/>
        <v>0</v>
      </c>
      <c r="K69" s="104">
        <f t="shared" si="14"/>
        <v>-89888752.154527158</v>
      </c>
      <c r="L69" s="104">
        <f t="shared" si="2"/>
        <v>0</v>
      </c>
      <c r="M69" s="104">
        <v>0</v>
      </c>
      <c r="N69" s="104">
        <f t="shared" si="15"/>
        <v>-89888752.154527158</v>
      </c>
      <c r="O69" s="104">
        <f>N69/((1+$E$4)^B69)</f>
        <v>-14053.122904884933</v>
      </c>
      <c r="P69" s="110">
        <f t="shared" si="5"/>
        <v>17065782.494470589</v>
      </c>
    </row>
    <row r="70" spans="2:16" x14ac:dyDescent="0.2">
      <c r="B70" s="109">
        <v>46</v>
      </c>
      <c r="C70" s="103">
        <v>63</v>
      </c>
      <c r="D70" s="103">
        <v>86</v>
      </c>
      <c r="E70" s="104">
        <v>0</v>
      </c>
      <c r="F70" s="104">
        <f>F69*(1+$O$4)</f>
        <v>97978739.848434612</v>
      </c>
      <c r="G70" s="104">
        <f t="shared" si="12"/>
        <v>-97978739.848434612</v>
      </c>
      <c r="H70" s="104">
        <v>0</v>
      </c>
      <c r="I70" s="104">
        <v>0</v>
      </c>
      <c r="J70" s="104">
        <f t="shared" si="13"/>
        <v>0</v>
      </c>
      <c r="K70" s="104">
        <f t="shared" si="14"/>
        <v>-97978739.848434612</v>
      </c>
      <c r="L70" s="104">
        <f t="shared" si="2"/>
        <v>0</v>
      </c>
      <c r="M70" s="104">
        <v>0</v>
      </c>
      <c r="N70" s="104">
        <f t="shared" si="15"/>
        <v>-97978739.848434612</v>
      </c>
      <c r="O70" s="104">
        <f>N70/((1+$E$4)^B70)</f>
        <v>-12607.328367345332</v>
      </c>
      <c r="P70" s="110">
        <f t="shared" si="5"/>
        <v>17053175.166103244</v>
      </c>
    </row>
    <row r="71" spans="2:16" x14ac:dyDescent="0.2">
      <c r="B71" s="109">
        <v>47</v>
      </c>
      <c r="C71" s="103">
        <v>64</v>
      </c>
      <c r="D71" s="103">
        <v>87</v>
      </c>
      <c r="E71" s="104">
        <v>0</v>
      </c>
      <c r="F71" s="104">
        <f>F70*(1+$O$4)</f>
        <v>106796826.43479374</v>
      </c>
      <c r="G71" s="104">
        <f t="shared" si="12"/>
        <v>-106796826.43479374</v>
      </c>
      <c r="H71" s="104">
        <v>0</v>
      </c>
      <c r="I71" s="104">
        <v>0</v>
      </c>
      <c r="J71" s="104">
        <f t="shared" si="13"/>
        <v>0</v>
      </c>
      <c r="K71" s="104">
        <f t="shared" si="14"/>
        <v>-106796826.43479374</v>
      </c>
      <c r="L71" s="104">
        <f t="shared" ref="L71:L83" si="16">J71/((1+$E$4)^B71)</f>
        <v>0</v>
      </c>
      <c r="M71" s="104">
        <v>0</v>
      </c>
      <c r="N71" s="104">
        <f t="shared" si="15"/>
        <v>-106796826.43479374</v>
      </c>
      <c r="O71" s="104">
        <f>N71/((1+$E$4)^B71)</f>
        <v>-11310.278123791286</v>
      </c>
      <c r="P71" s="110">
        <f t="shared" si="5"/>
        <v>17041864.887979452</v>
      </c>
    </row>
    <row r="72" spans="2:16" x14ac:dyDescent="0.2">
      <c r="B72" s="109">
        <v>48</v>
      </c>
      <c r="C72" s="103">
        <v>65</v>
      </c>
      <c r="D72" s="103">
        <v>88</v>
      </c>
      <c r="E72" s="104">
        <v>0</v>
      </c>
      <c r="F72" s="104">
        <f>F71*(1+$O$4)</f>
        <v>116408540.81392519</v>
      </c>
      <c r="G72" s="104">
        <f t="shared" si="12"/>
        <v>-116408540.81392519</v>
      </c>
      <c r="H72" s="104">
        <v>0</v>
      </c>
      <c r="I72" s="104">
        <v>0</v>
      </c>
      <c r="J72" s="104">
        <f t="shared" si="13"/>
        <v>0</v>
      </c>
      <c r="K72" s="104">
        <f t="shared" si="14"/>
        <v>-116408540.81392519</v>
      </c>
      <c r="L72" s="104">
        <f t="shared" si="16"/>
        <v>0</v>
      </c>
      <c r="M72" s="104">
        <v>0</v>
      </c>
      <c r="N72" s="104">
        <f t="shared" si="15"/>
        <v>-116408540.81392519</v>
      </c>
      <c r="O72" s="104">
        <f>N72/((1+$E$4)^B72)</f>
        <v>-10146.669263318934</v>
      </c>
      <c r="P72" s="110">
        <f t="shared" ref="P72:P83" si="17">O72+P71</f>
        <v>17031718.218716133</v>
      </c>
    </row>
    <row r="73" spans="2:16" x14ac:dyDescent="0.2">
      <c r="B73" s="109">
        <v>49</v>
      </c>
      <c r="C73" s="103">
        <v>66</v>
      </c>
      <c r="D73" s="103">
        <v>89</v>
      </c>
      <c r="E73" s="104">
        <v>0</v>
      </c>
      <c r="F73" s="104">
        <f>F72*(1+$O$4)</f>
        <v>126885309.48717847</v>
      </c>
      <c r="G73" s="104">
        <f t="shared" si="12"/>
        <v>-126885309.48717847</v>
      </c>
      <c r="H73" s="104">
        <v>0</v>
      </c>
      <c r="I73" s="104">
        <v>0</v>
      </c>
      <c r="J73" s="104">
        <f t="shared" si="13"/>
        <v>0</v>
      </c>
      <c r="K73" s="104">
        <f t="shared" si="14"/>
        <v>-126885309.48717847</v>
      </c>
      <c r="L73" s="104">
        <f t="shared" si="16"/>
        <v>0</v>
      </c>
      <c r="M73" s="104">
        <v>0</v>
      </c>
      <c r="N73" s="104">
        <f t="shared" si="15"/>
        <v>-126885309.48717847</v>
      </c>
      <c r="O73" s="104">
        <f>N73/((1+$E$4)^B73)</f>
        <v>-9102.773248574189</v>
      </c>
      <c r="P73" s="110">
        <f t="shared" si="17"/>
        <v>17022615.445467558</v>
      </c>
    </row>
    <row r="74" spans="2:16" x14ac:dyDescent="0.2">
      <c r="B74" s="109">
        <v>50</v>
      </c>
      <c r="C74" s="103">
        <v>67</v>
      </c>
      <c r="D74" s="103">
        <v>90</v>
      </c>
      <c r="E74" s="104">
        <v>0</v>
      </c>
      <c r="F74" s="104">
        <f>F73*(1+$O$4)</f>
        <v>138304987.34102455</v>
      </c>
      <c r="G74" s="104">
        <f t="shared" si="12"/>
        <v>-138304987.34102455</v>
      </c>
      <c r="H74" s="104">
        <v>0</v>
      </c>
      <c r="I74" s="104">
        <v>0</v>
      </c>
      <c r="J74" s="104">
        <f t="shared" si="13"/>
        <v>0</v>
      </c>
      <c r="K74" s="104">
        <f t="shared" si="14"/>
        <v>-138304987.34102455</v>
      </c>
      <c r="L74" s="104">
        <f t="shared" si="16"/>
        <v>0</v>
      </c>
      <c r="M74" s="104">
        <v>0</v>
      </c>
      <c r="N74" s="104">
        <f t="shared" si="15"/>
        <v>-138304987.34102455</v>
      </c>
      <c r="O74" s="104">
        <f>N74/((1+$E$4)^B74)</f>
        <v>-8166.2739431653208</v>
      </c>
      <c r="P74" s="110">
        <f t="shared" si="17"/>
        <v>17014449.171524391</v>
      </c>
    </row>
    <row r="75" spans="2:16" x14ac:dyDescent="0.2">
      <c r="B75" s="109">
        <v>51</v>
      </c>
      <c r="C75" s="103">
        <v>68</v>
      </c>
      <c r="D75" s="103">
        <v>91</v>
      </c>
      <c r="E75" s="104">
        <v>0</v>
      </c>
      <c r="F75" s="104">
        <f>F74*(1+$O$4)</f>
        <v>150752436.20171678</v>
      </c>
      <c r="G75" s="104">
        <f t="shared" si="12"/>
        <v>-150752436.20171678</v>
      </c>
      <c r="H75" s="104">
        <v>0</v>
      </c>
      <c r="I75" s="104">
        <v>0</v>
      </c>
      <c r="J75" s="104">
        <f t="shared" si="13"/>
        <v>0</v>
      </c>
      <c r="K75" s="104">
        <f t="shared" si="14"/>
        <v>-150752436.20171678</v>
      </c>
      <c r="L75" s="104">
        <f t="shared" si="16"/>
        <v>0</v>
      </c>
      <c r="M75" s="104">
        <v>0</v>
      </c>
      <c r="N75" s="104">
        <f t="shared" si="15"/>
        <v>-150752436.20171678</v>
      </c>
      <c r="O75" s="104">
        <f>N75/((1+$E$4)^B75)</f>
        <v>-7326.1223029219773</v>
      </c>
      <c r="P75" s="110">
        <f t="shared" si="17"/>
        <v>17007123.049221467</v>
      </c>
    </row>
    <row r="76" spans="2:16" x14ac:dyDescent="0.2">
      <c r="B76" s="109">
        <v>52</v>
      </c>
      <c r="C76" s="103">
        <v>69</v>
      </c>
      <c r="D76" s="103">
        <v>92</v>
      </c>
      <c r="E76" s="104">
        <v>0</v>
      </c>
      <c r="F76" s="104">
        <f>F75*(1+$O$4)</f>
        <v>164320155.45987129</v>
      </c>
      <c r="G76" s="104">
        <f t="shared" si="12"/>
        <v>-164320155.45987129</v>
      </c>
      <c r="H76" s="104">
        <v>0</v>
      </c>
      <c r="I76" s="104">
        <v>0</v>
      </c>
      <c r="J76" s="104">
        <f t="shared" si="13"/>
        <v>0</v>
      </c>
      <c r="K76" s="104">
        <f t="shared" si="14"/>
        <v>-164320155.45987129</v>
      </c>
      <c r="L76" s="104">
        <f t="shared" si="16"/>
        <v>0</v>
      </c>
      <c r="M76" s="104">
        <v>0</v>
      </c>
      <c r="N76" s="104">
        <f t="shared" si="15"/>
        <v>-164320155.45987129</v>
      </c>
      <c r="O76" s="104">
        <f>N76/((1+$E$4)^B76)</f>
        <v>-6572.4060166131303</v>
      </c>
      <c r="P76" s="110">
        <f t="shared" si="17"/>
        <v>17000550.643204853</v>
      </c>
    </row>
    <row r="77" spans="2:16" x14ac:dyDescent="0.2">
      <c r="B77" s="109">
        <v>53</v>
      </c>
      <c r="C77" s="103">
        <v>70</v>
      </c>
      <c r="D77" s="103">
        <v>93</v>
      </c>
      <c r="E77" s="104">
        <v>0</v>
      </c>
      <c r="F77" s="104">
        <f>F76*(1+$O$4)</f>
        <v>179108969.45125973</v>
      </c>
      <c r="G77" s="104">
        <f t="shared" si="12"/>
        <v>-179108969.45125973</v>
      </c>
      <c r="H77" s="104">
        <v>0</v>
      </c>
      <c r="I77" s="104">
        <v>0</v>
      </c>
      <c r="J77" s="104">
        <f t="shared" si="13"/>
        <v>0</v>
      </c>
      <c r="K77" s="104">
        <f t="shared" si="14"/>
        <v>-179108969.45125973</v>
      </c>
      <c r="L77" s="104">
        <f t="shared" si="16"/>
        <v>0</v>
      </c>
      <c r="M77" s="104">
        <v>0</v>
      </c>
      <c r="N77" s="104">
        <f t="shared" si="15"/>
        <v>-179108969.45125973</v>
      </c>
      <c r="O77" s="104">
        <f>N77/((1+$E$4)^B77)</f>
        <v>-5896.2325581138384</v>
      </c>
      <c r="P77" s="110">
        <f t="shared" si="17"/>
        <v>16994654.41064674</v>
      </c>
    </row>
    <row r="78" spans="2:16" x14ac:dyDescent="0.2">
      <c r="B78" s="109">
        <v>54</v>
      </c>
      <c r="C78" s="103">
        <v>71</v>
      </c>
      <c r="D78" s="103">
        <v>94</v>
      </c>
      <c r="E78" s="104">
        <v>0</v>
      </c>
      <c r="F78" s="104">
        <f>F77*(1+$O$4)</f>
        <v>195228776.70187312</v>
      </c>
      <c r="G78" s="104">
        <f t="shared" si="12"/>
        <v>-195228776.70187312</v>
      </c>
      <c r="H78" s="104">
        <v>0</v>
      </c>
      <c r="I78" s="104">
        <v>0</v>
      </c>
      <c r="J78" s="104">
        <f t="shared" si="13"/>
        <v>0</v>
      </c>
      <c r="K78" s="104">
        <f t="shared" si="14"/>
        <v>-195228776.70187312</v>
      </c>
      <c r="L78" s="104">
        <f t="shared" si="16"/>
        <v>0</v>
      </c>
      <c r="M78" s="104">
        <v>0</v>
      </c>
      <c r="N78" s="104">
        <f t="shared" si="15"/>
        <v>-195228776.70187312</v>
      </c>
      <c r="O78" s="104">
        <f>N78/((1+$E$4)^B78)</f>
        <v>-5289.624270242045</v>
      </c>
      <c r="P78" s="110">
        <f t="shared" si="17"/>
        <v>16989364.786376499</v>
      </c>
    </row>
    <row r="79" spans="2:16" x14ac:dyDescent="0.2">
      <c r="B79" s="109">
        <v>55</v>
      </c>
      <c r="C79" s="103">
        <v>72</v>
      </c>
      <c r="D79" s="103">
        <v>95</v>
      </c>
      <c r="E79" s="104">
        <v>0</v>
      </c>
      <c r="F79" s="104">
        <f>F78*(1+$O$4)</f>
        <v>212799366.60504171</v>
      </c>
      <c r="G79" s="104">
        <f t="shared" si="12"/>
        <v>-212799366.60504171</v>
      </c>
      <c r="H79" s="104">
        <v>0</v>
      </c>
      <c r="I79" s="104">
        <v>0</v>
      </c>
      <c r="J79" s="104">
        <f t="shared" si="13"/>
        <v>0</v>
      </c>
      <c r="K79" s="104">
        <f t="shared" si="14"/>
        <v>-212799366.60504171</v>
      </c>
      <c r="L79" s="104">
        <f t="shared" si="16"/>
        <v>0</v>
      </c>
      <c r="M79" s="104">
        <v>0</v>
      </c>
      <c r="N79" s="104">
        <f t="shared" si="15"/>
        <v>-212799366.60504171</v>
      </c>
      <c r="O79" s="104">
        <f>N79/((1+$E$4)^B79)</f>
        <v>-4745.4242424393642</v>
      </c>
      <c r="P79" s="110">
        <f t="shared" si="17"/>
        <v>16984619.362134058</v>
      </c>
    </row>
    <row r="80" spans="2:16" x14ac:dyDescent="0.2">
      <c r="B80" s="109">
        <v>56</v>
      </c>
      <c r="C80" s="103">
        <v>73</v>
      </c>
      <c r="D80" s="103">
        <v>96</v>
      </c>
      <c r="E80" s="104">
        <v>0</v>
      </c>
      <c r="F80" s="104">
        <f>F79*(1+$O$4)</f>
        <v>231951309.59949547</v>
      </c>
      <c r="G80" s="104">
        <f t="shared" si="12"/>
        <v>-231951309.59949547</v>
      </c>
      <c r="H80" s="104">
        <v>0</v>
      </c>
      <c r="I80" s="104">
        <v>0</v>
      </c>
      <c r="J80" s="104">
        <f t="shared" si="13"/>
        <v>0</v>
      </c>
      <c r="K80" s="104">
        <f t="shared" si="14"/>
        <v>-231951309.59949547</v>
      </c>
      <c r="L80" s="104">
        <f t="shared" si="16"/>
        <v>0</v>
      </c>
      <c r="M80" s="104">
        <v>0</v>
      </c>
      <c r="N80" s="104">
        <f t="shared" si="15"/>
        <v>-231951309.59949547</v>
      </c>
      <c r="O80" s="104">
        <f>N80/((1+$E$4)^B80)</f>
        <v>-4257.2118718180309</v>
      </c>
      <c r="P80" s="110">
        <f t="shared" si="17"/>
        <v>16980362.15026224</v>
      </c>
    </row>
    <row r="81" spans="2:16" x14ac:dyDescent="0.2">
      <c r="B81" s="109">
        <v>57</v>
      </c>
      <c r="C81" s="103">
        <v>74</v>
      </c>
      <c r="D81" s="103">
        <v>97</v>
      </c>
      <c r="E81" s="104">
        <v>0</v>
      </c>
      <c r="F81" s="104">
        <f>F80*(1+$O$4)</f>
        <v>252826927.46345007</v>
      </c>
      <c r="G81" s="104">
        <f t="shared" si="12"/>
        <v>-252826927.46345007</v>
      </c>
      <c r="H81" s="104">
        <v>0</v>
      </c>
      <c r="I81" s="104">
        <v>0</v>
      </c>
      <c r="J81" s="104">
        <f t="shared" si="13"/>
        <v>0</v>
      </c>
      <c r="K81" s="104">
        <f t="shared" si="14"/>
        <v>-252826927.46345007</v>
      </c>
      <c r="L81" s="104">
        <f t="shared" si="16"/>
        <v>0</v>
      </c>
      <c r="M81" s="104">
        <v>0</v>
      </c>
      <c r="N81" s="104">
        <f t="shared" si="15"/>
        <v>-252826927.46345007</v>
      </c>
      <c r="O81" s="104">
        <f>N81/((1+$E$4)^B81)</f>
        <v>-3819.2271113429251</v>
      </c>
      <c r="P81" s="110">
        <f t="shared" si="17"/>
        <v>16976542.923150897</v>
      </c>
    </row>
    <row r="82" spans="2:16" x14ac:dyDescent="0.2">
      <c r="B82" s="109">
        <v>58</v>
      </c>
      <c r="C82" s="103">
        <v>75</v>
      </c>
      <c r="D82" s="103">
        <v>98</v>
      </c>
      <c r="E82" s="104">
        <v>0</v>
      </c>
      <c r="F82" s="104">
        <f>F81*(1+$O$4)</f>
        <v>275581350.93516058</v>
      </c>
      <c r="G82" s="104">
        <f t="shared" si="12"/>
        <v>-275581350.93516058</v>
      </c>
      <c r="H82" s="104">
        <v>0</v>
      </c>
      <c r="I82" s="104">
        <v>0</v>
      </c>
      <c r="J82" s="104">
        <f t="shared" si="13"/>
        <v>0</v>
      </c>
      <c r="K82" s="104">
        <f t="shared" si="14"/>
        <v>-275581350.93516058</v>
      </c>
      <c r="L82" s="104">
        <f t="shared" si="16"/>
        <v>0</v>
      </c>
      <c r="M82" s="104">
        <v>0</v>
      </c>
      <c r="N82" s="104">
        <f t="shared" si="15"/>
        <v>-275581350.93516058</v>
      </c>
      <c r="O82" s="104">
        <f>N82/((1+$E$4)^B82)</f>
        <v>-3426.3025114105258</v>
      </c>
      <c r="P82" s="110">
        <f t="shared" si="17"/>
        <v>16973116.620639488</v>
      </c>
    </row>
    <row r="83" spans="2:16" ht="17" thickBot="1" x14ac:dyDescent="0.25">
      <c r="B83" s="111">
        <v>59</v>
      </c>
      <c r="C83" s="112">
        <v>76</v>
      </c>
      <c r="D83" s="112">
        <v>99</v>
      </c>
      <c r="E83" s="113">
        <v>0</v>
      </c>
      <c r="F83" s="104">
        <f>F82*(1+$O$4)</f>
        <v>300383672.51932508</v>
      </c>
      <c r="G83" s="113">
        <f t="shared" si="12"/>
        <v>-300383672.51932508</v>
      </c>
      <c r="H83" s="113">
        <v>0</v>
      </c>
      <c r="I83" s="113">
        <v>0</v>
      </c>
      <c r="J83" s="113">
        <f t="shared" si="13"/>
        <v>0</v>
      </c>
      <c r="K83" s="113">
        <f t="shared" si="14"/>
        <v>-300383672.51932508</v>
      </c>
      <c r="L83" s="104">
        <f t="shared" si="16"/>
        <v>0</v>
      </c>
      <c r="M83" s="113">
        <v>0</v>
      </c>
      <c r="N83" s="113">
        <f t="shared" si="15"/>
        <v>-300383672.51932508</v>
      </c>
      <c r="O83" s="113">
        <f>N83/((1+$E$4)^B83)</f>
        <v>-3073.8022530349567</v>
      </c>
      <c r="P83" s="114">
        <f t="shared" si="17"/>
        <v>16970042.818386454</v>
      </c>
    </row>
  </sheetData>
  <mergeCells count="20">
    <mergeCell ref="U17:W17"/>
    <mergeCell ref="U21:W21"/>
    <mergeCell ref="U18:W18"/>
    <mergeCell ref="U19:W19"/>
    <mergeCell ref="U4:X4"/>
    <mergeCell ref="U20:W20"/>
    <mergeCell ref="R21:S21"/>
    <mergeCell ref="R29:S29"/>
    <mergeCell ref="R37:S37"/>
    <mergeCell ref="R50:S50"/>
    <mergeCell ref="O4:P4"/>
    <mergeCell ref="B1:P3"/>
    <mergeCell ref="R5:S5"/>
    <mergeCell ref="R4:S4"/>
    <mergeCell ref="R14:S14"/>
    <mergeCell ref="B4:D4"/>
    <mergeCell ref="E4:F4"/>
    <mergeCell ref="G4:I4"/>
    <mergeCell ref="J4:K4"/>
    <mergeCell ref="L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FBA3-0894-4202-B4E7-B47F04BCD80A}">
  <dimension ref="C5:U56"/>
  <sheetViews>
    <sheetView showGridLines="0" zoomScale="120" zoomScaleNormal="120" workbookViewId="0">
      <selection activeCell="A33" sqref="A33"/>
    </sheetView>
  </sheetViews>
  <sheetFormatPr baseColWidth="10" defaultColWidth="12.83203125" defaultRowHeight="16" x14ac:dyDescent="0.2"/>
  <cols>
    <col min="1" max="2" width="12.83203125" style="29"/>
    <col min="3" max="3" width="3.1640625" style="29" customWidth="1"/>
    <col min="4" max="4" width="6.83203125" style="29" bestFit="1" customWidth="1"/>
    <col min="5" max="5" width="8.33203125" style="29" bestFit="1" customWidth="1"/>
    <col min="6" max="6" width="8.83203125" style="29" bestFit="1" customWidth="1"/>
    <col min="7" max="7" width="7.1640625" style="29" customWidth="1"/>
    <col min="8" max="8" width="10.1640625" style="29" bestFit="1" customWidth="1"/>
    <col min="9" max="9" width="12.83203125" style="29"/>
    <col min="10" max="10" width="10" style="29" bestFit="1" customWidth="1"/>
    <col min="11" max="11" width="11.5" style="29" bestFit="1" customWidth="1"/>
    <col min="12" max="13" width="10.33203125" style="29" bestFit="1" customWidth="1"/>
    <col min="14" max="14" width="11.5" style="29" bestFit="1" customWidth="1"/>
    <col min="15" max="15" width="13" style="29" bestFit="1" customWidth="1"/>
    <col min="16" max="16" width="9.6640625" style="29" bestFit="1" customWidth="1"/>
    <col min="17" max="17" width="4.33203125" style="29" customWidth="1"/>
    <col min="18" max="18" width="7.6640625" style="29" bestFit="1" customWidth="1"/>
    <col min="19" max="19" width="12.5" style="30" bestFit="1" customWidth="1"/>
    <col min="20" max="20" width="12.83203125" style="29" bestFit="1" customWidth="1"/>
    <col min="21" max="21" width="3.33203125" style="29" customWidth="1"/>
    <col min="22" max="16384" width="12.83203125" style="29"/>
  </cols>
  <sheetData>
    <row r="5" spans="3:21" ht="17" thickBot="1" x14ac:dyDescent="0.25"/>
    <row r="6" spans="3:21" x14ac:dyDescent="0.2">
      <c r="C6" s="20" t="s">
        <v>51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3:21" ht="17" thickBot="1" x14ac:dyDescent="0.25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/>
    </row>
    <row r="8" spans="3:21" x14ac:dyDescent="0.2"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3"/>
      <c r="U8" s="34"/>
    </row>
    <row r="9" spans="3:21" ht="24" x14ac:dyDescent="0.2">
      <c r="C9" s="31"/>
      <c r="D9" s="32"/>
      <c r="E9" s="35" t="s">
        <v>16</v>
      </c>
      <c r="F9" s="32"/>
      <c r="G9" s="32"/>
      <c r="H9" s="32"/>
      <c r="I9" s="36" t="s">
        <v>20</v>
      </c>
      <c r="J9" s="36"/>
      <c r="K9" s="32"/>
      <c r="L9" s="32"/>
      <c r="M9" s="32"/>
      <c r="N9" s="32"/>
      <c r="O9" s="32"/>
      <c r="P9" s="32"/>
      <c r="Q9" s="32"/>
      <c r="R9" s="32"/>
      <c r="S9" s="32"/>
      <c r="T9" s="33"/>
      <c r="U9" s="34"/>
    </row>
    <row r="10" spans="3:21" x14ac:dyDescent="0.2">
      <c r="C10" s="31"/>
      <c r="D10" s="37" t="s">
        <v>17</v>
      </c>
      <c r="E10" s="37"/>
      <c r="F10" s="38">
        <f>780000</f>
        <v>780000</v>
      </c>
      <c r="G10" s="32"/>
      <c r="H10" s="32"/>
      <c r="I10" s="32" t="s">
        <v>34</v>
      </c>
      <c r="J10" s="37" t="s">
        <v>42</v>
      </c>
      <c r="K10" s="37"/>
      <c r="L10" s="37"/>
      <c r="M10" s="32"/>
      <c r="N10" s="32"/>
      <c r="O10" s="32"/>
      <c r="P10" s="32"/>
      <c r="Q10" s="32"/>
      <c r="R10" s="32"/>
      <c r="S10" s="32"/>
      <c r="T10" s="33"/>
      <c r="U10" s="34"/>
    </row>
    <row r="11" spans="3:21" x14ac:dyDescent="0.2">
      <c r="C11" s="31"/>
      <c r="D11" s="37" t="s">
        <v>18</v>
      </c>
      <c r="E11" s="37"/>
      <c r="F11" s="39">
        <f>F12/F10</f>
        <v>19.322417926762185</v>
      </c>
      <c r="G11" s="32"/>
      <c r="H11" s="32"/>
      <c r="I11" s="32" t="s">
        <v>35</v>
      </c>
      <c r="J11" s="37" t="s">
        <v>43</v>
      </c>
      <c r="K11" s="37"/>
      <c r="L11" s="37"/>
      <c r="M11" s="32"/>
      <c r="N11" s="32"/>
      <c r="O11" s="32"/>
      <c r="P11" s="32"/>
      <c r="Q11" s="32"/>
      <c r="R11" s="32"/>
      <c r="S11" s="32"/>
      <c r="T11" s="33"/>
      <c r="U11" s="34"/>
    </row>
    <row r="12" spans="3:21" x14ac:dyDescent="0.2">
      <c r="C12" s="31"/>
      <c r="D12" s="37" t="s">
        <v>13</v>
      </c>
      <c r="E12" s="37"/>
      <c r="F12" s="38">
        <f>TVM!X21</f>
        <v>15071485.982874503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3"/>
      <c r="U12" s="34"/>
    </row>
    <row r="13" spans="3:21" x14ac:dyDescent="0.2">
      <c r="C13" s="31"/>
      <c r="D13" s="37" t="s">
        <v>19</v>
      </c>
      <c r="E13" s="37"/>
      <c r="F13" s="39" t="s">
        <v>33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4"/>
    </row>
    <row r="14" spans="3:21" ht="17" thickBot="1" x14ac:dyDescent="0.25">
      <c r="C14" s="3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34"/>
    </row>
    <row r="15" spans="3:21" ht="17" thickBot="1" x14ac:dyDescent="0.25">
      <c r="C15" s="31"/>
      <c r="D15" s="71"/>
      <c r="E15" s="71"/>
      <c r="F15" s="71"/>
      <c r="G15" s="71"/>
      <c r="H15" s="54" t="s">
        <v>46</v>
      </c>
      <c r="I15" s="55"/>
      <c r="J15" s="55"/>
      <c r="K15" s="55"/>
      <c r="L15" s="55"/>
      <c r="M15" s="55"/>
      <c r="N15" s="55"/>
      <c r="O15" s="55"/>
      <c r="P15" s="56"/>
      <c r="Q15" s="71"/>
      <c r="R15" s="71"/>
      <c r="S15" s="71"/>
      <c r="T15" s="72"/>
      <c r="U15" s="34"/>
    </row>
    <row r="16" spans="3:21" ht="17" thickBot="1" x14ac:dyDescent="0.25">
      <c r="C16" s="31"/>
      <c r="D16" s="71"/>
      <c r="E16" s="71"/>
      <c r="F16" s="71"/>
      <c r="G16" s="71"/>
      <c r="H16" s="58" t="s">
        <v>47</v>
      </c>
      <c r="I16" s="59"/>
      <c r="J16" s="59"/>
      <c r="K16" s="59"/>
      <c r="L16" s="59"/>
      <c r="M16" s="60"/>
      <c r="N16" s="61" t="s">
        <v>48</v>
      </c>
      <c r="O16" s="36" t="s">
        <v>49</v>
      </c>
      <c r="P16" s="62"/>
      <c r="Q16" s="71"/>
      <c r="R16" s="71"/>
      <c r="S16" s="71"/>
      <c r="T16" s="72"/>
      <c r="U16" s="34"/>
    </row>
    <row r="17" spans="3:21" s="19" customFormat="1" ht="25" thickBot="1" x14ac:dyDescent="0.25">
      <c r="C17" s="26"/>
      <c r="D17" s="57" t="s">
        <v>21</v>
      </c>
      <c r="E17" s="65" t="s">
        <v>0</v>
      </c>
      <c r="F17" s="57" t="s">
        <v>22</v>
      </c>
      <c r="G17" s="27"/>
      <c r="H17" s="63" t="s">
        <v>23</v>
      </c>
      <c r="I17" s="57" t="s">
        <v>24</v>
      </c>
      <c r="J17" s="64" t="s">
        <v>25</v>
      </c>
      <c r="K17" s="57" t="s">
        <v>26</v>
      </c>
      <c r="L17" s="64" t="s">
        <v>27</v>
      </c>
      <c r="M17" s="63" t="s">
        <v>28</v>
      </c>
      <c r="N17" s="57" t="s">
        <v>36</v>
      </c>
      <c r="O17" s="64" t="s">
        <v>29</v>
      </c>
      <c r="P17" s="57" t="s">
        <v>30</v>
      </c>
      <c r="Q17" s="27"/>
      <c r="R17" s="57" t="s">
        <v>31</v>
      </c>
      <c r="S17" s="65" t="s">
        <v>19</v>
      </c>
      <c r="T17" s="66" t="s">
        <v>32</v>
      </c>
      <c r="U17" s="34"/>
    </row>
    <row r="18" spans="3:21" x14ac:dyDescent="0.2">
      <c r="C18" s="31"/>
      <c r="D18" s="26">
        <v>1</v>
      </c>
      <c r="E18" s="73">
        <v>40</v>
      </c>
      <c r="F18" s="93">
        <f>F10</f>
        <v>780000</v>
      </c>
      <c r="G18" s="71"/>
      <c r="H18" s="95">
        <v>0</v>
      </c>
      <c r="I18" s="74">
        <v>0.2</v>
      </c>
      <c r="J18" s="74">
        <v>0.95</v>
      </c>
      <c r="K18" s="75">
        <f>I18*F18*J18</f>
        <v>148200</v>
      </c>
      <c r="L18" s="75">
        <f>-R18*'mortality rates'!E45</f>
        <v>-36929.859473417957</v>
      </c>
      <c r="M18" s="77">
        <f>-110*12-100</f>
        <v>-1420</v>
      </c>
      <c r="N18" s="76">
        <f>(SUM(K18:M18)+H18)*0.1</f>
        <v>10985.014052658205</v>
      </c>
      <c r="O18" s="95">
        <f>-1.5%*(H18+SUM(K18:N18))</f>
        <v>-1812.5273186886038</v>
      </c>
      <c r="P18" s="77">
        <f>SUM(K18:O18)+H18</f>
        <v>119022.62726055166</v>
      </c>
      <c r="Q18" s="71"/>
      <c r="R18" s="152">
        <f>$F$12</f>
        <v>15071485.982874503</v>
      </c>
      <c r="S18" s="79">
        <f>R18+H18</f>
        <v>15071485.982874503</v>
      </c>
      <c r="T18" s="77">
        <f>0.5*P18</f>
        <v>59511.313630275828</v>
      </c>
      <c r="U18" s="34"/>
    </row>
    <row r="19" spans="3:21" x14ac:dyDescent="0.2">
      <c r="C19" s="31"/>
      <c r="D19" s="26">
        <f>+D18+1</f>
        <v>2</v>
      </c>
      <c r="E19" s="81">
        <f>$E$18+D19-1</f>
        <v>41</v>
      </c>
      <c r="F19" s="93">
        <f>F10</f>
        <v>780000</v>
      </c>
      <c r="G19" s="71"/>
      <c r="H19" s="78">
        <f>P18</f>
        <v>119022.62726055166</v>
      </c>
      <c r="I19" s="82">
        <v>0.8</v>
      </c>
      <c r="J19" s="82">
        <v>0.95</v>
      </c>
      <c r="K19" s="72">
        <f>I19*F19*J19</f>
        <v>592800</v>
      </c>
      <c r="L19" s="72">
        <f>-R19*'mortality rates'!E46</f>
        <v>-42063.873800933427</v>
      </c>
      <c r="M19" s="80">
        <f>-110*12</f>
        <v>-1320</v>
      </c>
      <c r="N19" s="83">
        <f>(SUM(K19:M19)+H19)*0.1</f>
        <v>66843.875345961816</v>
      </c>
      <c r="O19" s="155">
        <f>-1.5%*(H19+SUM(K19:N19))</f>
        <v>-11029.239432083699</v>
      </c>
      <c r="P19" s="80">
        <f t="shared" ref="P19:P27" si="0">SUM(K19:O19)+H19</f>
        <v>724253.38937349629</v>
      </c>
      <c r="Q19" s="71"/>
      <c r="R19" s="153">
        <f t="shared" ref="R19:R27" si="1">$F$12</f>
        <v>15071485.982874503</v>
      </c>
      <c r="S19" s="84">
        <f t="shared" ref="S19:S27" si="2">R19+H19</f>
        <v>15190508.610135054</v>
      </c>
      <c r="T19" s="80">
        <f>0.9*P19</f>
        <v>651828.05043614667</v>
      </c>
      <c r="U19" s="34"/>
    </row>
    <row r="20" spans="3:21" x14ac:dyDescent="0.2">
      <c r="C20" s="31"/>
      <c r="D20" s="26">
        <f>+D19+1</f>
        <v>3</v>
      </c>
      <c r="E20" s="81">
        <f>$E$18+D20-1</f>
        <v>42</v>
      </c>
      <c r="F20" s="93">
        <f>F19</f>
        <v>780000</v>
      </c>
      <c r="G20" s="71"/>
      <c r="H20" s="78">
        <f t="shared" ref="H20:H27" si="3">P19</f>
        <v>724253.38937349629</v>
      </c>
      <c r="I20" s="82">
        <v>0.9</v>
      </c>
      <c r="J20" s="82">
        <v>0.95</v>
      </c>
      <c r="K20" s="72">
        <f t="shared" ref="K20:K27" si="4">I20*F20*J20</f>
        <v>666900</v>
      </c>
      <c r="L20" s="72">
        <f>-R20*'mortality rates'!E47</f>
        <v>-47448.868291819388</v>
      </c>
      <c r="M20" s="80">
        <f>-110*12</f>
        <v>-1320</v>
      </c>
      <c r="N20" s="83">
        <f>(SUM(K20:M20)+H20)*0.1</f>
        <v>134238.45210816769</v>
      </c>
      <c r="O20" s="155">
        <f t="shared" ref="O20:O27" si="5">-1.5%*(H20+SUM(K20:N20))</f>
        <v>-22149.34459784767</v>
      </c>
      <c r="P20" s="80">
        <f t="shared" ref="P20:P27" si="6">SUM(K20:O20)+H20</f>
        <v>1454473.6285919971</v>
      </c>
      <c r="Q20" s="71"/>
      <c r="R20" s="153">
        <f t="shared" si="1"/>
        <v>15071485.982874503</v>
      </c>
      <c r="S20" s="84">
        <f t="shared" si="2"/>
        <v>15795739.372248</v>
      </c>
      <c r="T20" s="80">
        <f t="shared" ref="T20:T26" si="7">P20</f>
        <v>1454473.6285919971</v>
      </c>
      <c r="U20" s="34"/>
    </row>
    <row r="21" spans="3:21" x14ac:dyDescent="0.2">
      <c r="C21" s="31"/>
      <c r="D21" s="26">
        <f>+D20+1</f>
        <v>4</v>
      </c>
      <c r="E21" s="81">
        <f>$E$18+D21-1</f>
        <v>43</v>
      </c>
      <c r="F21" s="93">
        <f t="shared" ref="F21:F22" si="8">F20</f>
        <v>780000</v>
      </c>
      <c r="G21" s="71"/>
      <c r="H21" s="78">
        <f t="shared" si="3"/>
        <v>1454473.6285919971</v>
      </c>
      <c r="I21" s="82">
        <v>1</v>
      </c>
      <c r="J21" s="82">
        <v>0.95</v>
      </c>
      <c r="K21" s="72">
        <f t="shared" si="4"/>
        <v>741000</v>
      </c>
      <c r="L21" s="72">
        <f>-R21*'mortality rates'!E48</f>
        <v>-48689.088344087679</v>
      </c>
      <c r="M21" s="80">
        <f>-110*12</f>
        <v>-1320</v>
      </c>
      <c r="N21" s="83">
        <f>(SUM(K21:M21)+H21)*0.1</f>
        <v>214546.45402479093</v>
      </c>
      <c r="O21" s="155">
        <f t="shared" si="5"/>
        <v>-35400.164914090506</v>
      </c>
      <c r="P21" s="80">
        <f t="shared" si="6"/>
        <v>2324610.8293586099</v>
      </c>
      <c r="Q21" s="71"/>
      <c r="R21" s="153">
        <f t="shared" si="1"/>
        <v>15071485.982874503</v>
      </c>
      <c r="S21" s="84">
        <f t="shared" si="2"/>
        <v>16525959.611466501</v>
      </c>
      <c r="T21" s="80">
        <f t="shared" si="7"/>
        <v>2324610.8293586099</v>
      </c>
      <c r="U21" s="34"/>
    </row>
    <row r="22" spans="3:21" x14ac:dyDescent="0.2">
      <c r="C22" s="31"/>
      <c r="D22" s="26">
        <f>+D21+1</f>
        <v>5</v>
      </c>
      <c r="E22" s="81">
        <f>$E$18+D22-1</f>
        <v>44</v>
      </c>
      <c r="F22" s="93">
        <f t="shared" si="8"/>
        <v>780000</v>
      </c>
      <c r="G22" s="71"/>
      <c r="H22" s="78">
        <f t="shared" si="3"/>
        <v>2324610.8293586099</v>
      </c>
      <c r="I22" s="82">
        <v>1</v>
      </c>
      <c r="J22" s="82">
        <v>0.95</v>
      </c>
      <c r="K22" s="72">
        <f t="shared" si="4"/>
        <v>741000</v>
      </c>
      <c r="L22" s="72">
        <f>-R22*'mortality rates'!E49</f>
        <v>-49995.882331610068</v>
      </c>
      <c r="M22" s="80">
        <f t="shared" ref="M22:M27" si="9">-110*12</f>
        <v>-1320</v>
      </c>
      <c r="N22" s="83">
        <f>(SUM(K22:M22)+H22)*0.1</f>
        <v>301429.4947027</v>
      </c>
      <c r="O22" s="155">
        <f t="shared" si="5"/>
        <v>-49735.866625945491</v>
      </c>
      <c r="P22" s="80">
        <f t="shared" si="6"/>
        <v>3265988.5751037542</v>
      </c>
      <c r="Q22" s="71"/>
      <c r="R22" s="153">
        <f t="shared" si="1"/>
        <v>15071485.982874503</v>
      </c>
      <c r="S22" s="84">
        <f t="shared" si="2"/>
        <v>17396096.812233113</v>
      </c>
      <c r="T22" s="80">
        <f t="shared" si="7"/>
        <v>3265988.5751037542</v>
      </c>
      <c r="U22" s="28"/>
    </row>
    <row r="23" spans="3:21" x14ac:dyDescent="0.2">
      <c r="C23" s="31"/>
      <c r="D23" s="26">
        <v>6</v>
      </c>
      <c r="E23" s="81">
        <v>45</v>
      </c>
      <c r="F23" s="93">
        <f>F22</f>
        <v>780000</v>
      </c>
      <c r="G23" s="71"/>
      <c r="H23" s="78">
        <f t="shared" si="3"/>
        <v>3265988.5751037542</v>
      </c>
      <c r="I23" s="82">
        <v>1.03</v>
      </c>
      <c r="J23" s="82">
        <v>0.95</v>
      </c>
      <c r="K23" s="72">
        <f t="shared" si="4"/>
        <v>763230</v>
      </c>
      <c r="L23" s="72">
        <f>-R23*'mortality rates'!E50</f>
        <v>-60678.01727388455</v>
      </c>
      <c r="M23" s="80">
        <f t="shared" si="9"/>
        <v>-1320</v>
      </c>
      <c r="N23" s="83">
        <f t="shared" ref="N23:N27" si="10">(SUM(K23:M23)+H23)*0.1</f>
        <v>396722.05578298704</v>
      </c>
      <c r="O23" s="155">
        <f t="shared" si="5"/>
        <v>-65459.139204192848</v>
      </c>
      <c r="P23" s="80">
        <f t="shared" si="6"/>
        <v>4298483.4744086638</v>
      </c>
      <c r="Q23" s="71"/>
      <c r="R23" s="153">
        <f t="shared" si="1"/>
        <v>15071485.982874503</v>
      </c>
      <c r="S23" s="84">
        <f t="shared" si="2"/>
        <v>18337474.557978258</v>
      </c>
      <c r="T23" s="80">
        <f t="shared" si="7"/>
        <v>4298483.4744086638</v>
      </c>
      <c r="U23" s="34"/>
    </row>
    <row r="24" spans="3:21" x14ac:dyDescent="0.2">
      <c r="C24" s="31"/>
      <c r="D24" s="26">
        <v>7</v>
      </c>
      <c r="E24" s="81">
        <v>46</v>
      </c>
      <c r="F24" s="93">
        <f t="shared" ref="F24:F26" si="11">F23</f>
        <v>780000</v>
      </c>
      <c r="G24" s="71"/>
      <c r="H24" s="78">
        <f t="shared" si="3"/>
        <v>4298483.4744086638</v>
      </c>
      <c r="I24" s="82">
        <v>1.03</v>
      </c>
      <c r="J24" s="82">
        <v>0.95</v>
      </c>
      <c r="K24" s="72">
        <f t="shared" si="4"/>
        <v>763230</v>
      </c>
      <c r="L24" s="72">
        <f>-R24*'mortality rates'!E51</f>
        <v>-62358.153334618917</v>
      </c>
      <c r="M24" s="80">
        <f t="shared" si="9"/>
        <v>-1320</v>
      </c>
      <c r="N24" s="83">
        <f t="shared" si="10"/>
        <v>499803.53210740455</v>
      </c>
      <c r="O24" s="155">
        <f t="shared" si="5"/>
        <v>-82467.582797721741</v>
      </c>
      <c r="P24" s="80">
        <f t="shared" si="6"/>
        <v>5415371.2703837277</v>
      </c>
      <c r="Q24" s="71"/>
      <c r="R24" s="153">
        <f t="shared" si="1"/>
        <v>15071485.982874503</v>
      </c>
      <c r="S24" s="84">
        <f t="shared" si="2"/>
        <v>19369969.457283169</v>
      </c>
      <c r="T24" s="80">
        <f t="shared" si="7"/>
        <v>5415371.2703837277</v>
      </c>
      <c r="U24" s="34"/>
    </row>
    <row r="25" spans="3:21" x14ac:dyDescent="0.2">
      <c r="C25" s="31"/>
      <c r="D25" s="26">
        <v>8</v>
      </c>
      <c r="E25" s="81">
        <v>47</v>
      </c>
      <c r="F25" s="93">
        <f t="shared" si="11"/>
        <v>780000</v>
      </c>
      <c r="G25" s="71"/>
      <c r="H25" s="78">
        <f t="shared" si="3"/>
        <v>5415371.2703837277</v>
      </c>
      <c r="I25" s="82">
        <v>1.03</v>
      </c>
      <c r="J25" s="82">
        <v>0.95</v>
      </c>
      <c r="K25" s="72">
        <f t="shared" si="4"/>
        <v>763230</v>
      </c>
      <c r="L25" s="72">
        <f>-R25*'mortality rates'!E52</f>
        <v>-69044.765628350709</v>
      </c>
      <c r="M25" s="80">
        <f t="shared" si="9"/>
        <v>-1320</v>
      </c>
      <c r="N25" s="83">
        <f t="shared" si="10"/>
        <v>610823.65047553775</v>
      </c>
      <c r="O25" s="155">
        <f t="shared" si="5"/>
        <v>-100785.90232846372</v>
      </c>
      <c r="P25" s="80">
        <f t="shared" si="6"/>
        <v>6618274.252902451</v>
      </c>
      <c r="Q25" s="71"/>
      <c r="R25" s="153">
        <f t="shared" si="1"/>
        <v>15071485.982874503</v>
      </c>
      <c r="S25" s="84">
        <f t="shared" si="2"/>
        <v>20486857.253258232</v>
      </c>
      <c r="T25" s="80">
        <f t="shared" si="7"/>
        <v>6618274.252902451</v>
      </c>
      <c r="U25" s="34"/>
    </row>
    <row r="26" spans="3:21" x14ac:dyDescent="0.2">
      <c r="C26" s="31"/>
      <c r="D26" s="26">
        <v>9</v>
      </c>
      <c r="E26" s="81">
        <v>48</v>
      </c>
      <c r="F26" s="93">
        <f t="shared" si="11"/>
        <v>780000</v>
      </c>
      <c r="G26" s="71"/>
      <c r="H26" s="78">
        <f t="shared" si="3"/>
        <v>6618274.252902451</v>
      </c>
      <c r="I26" s="82">
        <v>1.03</v>
      </c>
      <c r="J26" s="82">
        <v>0.95</v>
      </c>
      <c r="K26" s="72">
        <f t="shared" si="4"/>
        <v>763230</v>
      </c>
      <c r="L26" s="72">
        <f>-R26*'mortality rates'!E53</f>
        <v>-71044.041670116523</v>
      </c>
      <c r="M26" s="80">
        <f t="shared" si="9"/>
        <v>-1320</v>
      </c>
      <c r="N26" s="83">
        <f t="shared" si="10"/>
        <v>730914.02112323348</v>
      </c>
      <c r="O26" s="155">
        <f t="shared" si="5"/>
        <v>-120600.81348533352</v>
      </c>
      <c r="P26" s="80">
        <f t="shared" si="6"/>
        <v>7919453.4188702349</v>
      </c>
      <c r="Q26" s="71"/>
      <c r="R26" s="153">
        <f t="shared" si="1"/>
        <v>15071485.982874503</v>
      </c>
      <c r="S26" s="84">
        <f t="shared" si="2"/>
        <v>21689760.235776953</v>
      </c>
      <c r="T26" s="80">
        <f t="shared" si="7"/>
        <v>7919453.4188702349</v>
      </c>
      <c r="U26" s="34"/>
    </row>
    <row r="27" spans="3:21" ht="17" thickBot="1" x14ac:dyDescent="0.25">
      <c r="C27" s="31"/>
      <c r="D27" s="85">
        <v>10</v>
      </c>
      <c r="E27" s="86">
        <v>49</v>
      </c>
      <c r="F27" s="94">
        <f>F22</f>
        <v>780000</v>
      </c>
      <c r="G27" s="71"/>
      <c r="H27" s="87">
        <f t="shared" si="3"/>
        <v>7919453.4188702349</v>
      </c>
      <c r="I27" s="88">
        <v>1.03</v>
      </c>
      <c r="J27" s="88">
        <v>0.95</v>
      </c>
      <c r="K27" s="89">
        <f t="shared" si="4"/>
        <v>763230</v>
      </c>
      <c r="L27" s="89">
        <f>-R27*'mortality rates'!E54</f>
        <v>-78361.278940423043</v>
      </c>
      <c r="M27" s="91">
        <f t="shared" si="9"/>
        <v>-1320</v>
      </c>
      <c r="N27" s="90">
        <f t="shared" si="10"/>
        <v>860300.21399298124</v>
      </c>
      <c r="O27" s="156">
        <f t="shared" si="5"/>
        <v>-141949.53530884191</v>
      </c>
      <c r="P27" s="91">
        <f t="shared" si="6"/>
        <v>9321352.818613952</v>
      </c>
      <c r="Q27" s="71"/>
      <c r="R27" s="154">
        <f t="shared" si="1"/>
        <v>15071485.982874503</v>
      </c>
      <c r="S27" s="92">
        <f t="shared" si="2"/>
        <v>22990939.401744738</v>
      </c>
      <c r="T27" s="91">
        <f>P27</f>
        <v>9321352.818613952</v>
      </c>
      <c r="U27" s="34"/>
    </row>
    <row r="28" spans="3:21" ht="17" thickBot="1" x14ac:dyDescent="0.25">
      <c r="C28" s="31"/>
      <c r="D28" s="32"/>
      <c r="E28" s="32"/>
      <c r="F28" s="41"/>
      <c r="G28" s="32"/>
      <c r="H28" s="42"/>
      <c r="I28" s="40"/>
      <c r="J28" s="40"/>
      <c r="K28" s="42"/>
      <c r="L28" s="43"/>
      <c r="M28" s="32"/>
      <c r="N28" s="42"/>
      <c r="O28" s="43"/>
      <c r="P28" s="42"/>
      <c r="Q28" s="32"/>
      <c r="R28" s="42"/>
      <c r="S28" s="44"/>
      <c r="T28" s="33"/>
      <c r="U28" s="34"/>
    </row>
    <row r="29" spans="3:21" ht="17" thickBot="1" x14ac:dyDescent="0.25">
      <c r="C29" s="31"/>
      <c r="D29" s="67" t="s">
        <v>44</v>
      </c>
      <c r="E29" s="68"/>
      <c r="F29" s="70">
        <f>SUM(F18:F28)</f>
        <v>7800000</v>
      </c>
      <c r="G29" s="32"/>
      <c r="H29" s="32"/>
      <c r="I29" s="40"/>
      <c r="J29" s="40"/>
      <c r="K29" s="32"/>
      <c r="L29" s="32"/>
      <c r="M29" s="32"/>
      <c r="N29" s="67" t="s">
        <v>45</v>
      </c>
      <c r="O29" s="68"/>
      <c r="P29" s="69">
        <f>P27</f>
        <v>9321352.818613952</v>
      </c>
      <c r="Q29" s="32"/>
      <c r="R29" s="32"/>
      <c r="S29" s="32"/>
      <c r="T29" s="33"/>
      <c r="U29" s="34"/>
    </row>
    <row r="30" spans="3:21" ht="17" thickBot="1" x14ac:dyDescent="0.25">
      <c r="C30" s="45"/>
      <c r="D30" s="46"/>
      <c r="E30" s="46"/>
      <c r="F30" s="47"/>
      <c r="G30" s="46"/>
      <c r="H30" s="46"/>
      <c r="I30" s="48"/>
      <c r="J30" s="48"/>
      <c r="K30" s="46"/>
      <c r="L30" s="46"/>
      <c r="M30" s="46"/>
      <c r="N30" s="46"/>
      <c r="O30" s="46"/>
      <c r="P30" s="49"/>
      <c r="Q30" s="46"/>
      <c r="R30" s="46"/>
      <c r="S30" s="46"/>
      <c r="T30" s="50"/>
      <c r="U30" s="51"/>
    </row>
    <row r="31" spans="3:21" x14ac:dyDescent="0.2">
      <c r="E31" s="52"/>
      <c r="H31" s="53"/>
      <c r="I31" s="53"/>
    </row>
    <row r="32" spans="3:21" x14ac:dyDescent="0.2">
      <c r="E32" s="52"/>
      <c r="H32" s="53"/>
      <c r="I32" s="53"/>
    </row>
    <row r="33" spans="5:19" x14ac:dyDescent="0.2">
      <c r="E33" s="52"/>
      <c r="H33" s="53"/>
      <c r="I33" s="53"/>
    </row>
    <row r="34" spans="5:19" x14ac:dyDescent="0.2">
      <c r="S34" s="29"/>
    </row>
    <row r="35" spans="5:19" x14ac:dyDescent="0.2">
      <c r="S35" s="29"/>
    </row>
    <row r="36" spans="5:19" x14ac:dyDescent="0.2">
      <c r="S36" s="29"/>
    </row>
    <row r="37" spans="5:19" x14ac:dyDescent="0.2">
      <c r="S37" s="29"/>
    </row>
    <row r="38" spans="5:19" x14ac:dyDescent="0.2">
      <c r="S38" s="29"/>
    </row>
    <row r="39" spans="5:19" x14ac:dyDescent="0.2">
      <c r="S39" s="29"/>
    </row>
    <row r="40" spans="5:19" x14ac:dyDescent="0.2">
      <c r="S40" s="29"/>
    </row>
    <row r="41" spans="5:19" x14ac:dyDescent="0.2">
      <c r="S41" s="29"/>
    </row>
    <row r="42" spans="5:19" x14ac:dyDescent="0.2">
      <c r="S42" s="29"/>
    </row>
    <row r="43" spans="5:19" x14ac:dyDescent="0.2">
      <c r="S43" s="29"/>
    </row>
    <row r="44" spans="5:19" x14ac:dyDescent="0.2">
      <c r="S44" s="29"/>
    </row>
    <row r="45" spans="5:19" x14ac:dyDescent="0.2">
      <c r="S45" s="29"/>
    </row>
    <row r="46" spans="5:19" x14ac:dyDescent="0.2">
      <c r="S46" s="29"/>
    </row>
    <row r="47" spans="5:19" x14ac:dyDescent="0.2">
      <c r="S47" s="29"/>
    </row>
    <row r="48" spans="5:19" x14ac:dyDescent="0.2">
      <c r="S48" s="29"/>
    </row>
    <row r="49" spans="19:19" x14ac:dyDescent="0.2">
      <c r="S49" s="29"/>
    </row>
    <row r="50" spans="19:19" x14ac:dyDescent="0.2">
      <c r="S50" s="29"/>
    </row>
    <row r="51" spans="19:19" x14ac:dyDescent="0.2">
      <c r="S51" s="29"/>
    </row>
    <row r="52" spans="19:19" x14ac:dyDescent="0.2">
      <c r="S52" s="29"/>
    </row>
    <row r="53" spans="19:19" x14ac:dyDescent="0.2">
      <c r="S53" s="29"/>
    </row>
    <row r="54" spans="19:19" x14ac:dyDescent="0.2">
      <c r="S54" s="29"/>
    </row>
    <row r="55" spans="19:19" x14ac:dyDescent="0.2">
      <c r="S55" s="29"/>
    </row>
    <row r="56" spans="19:19" x14ac:dyDescent="0.2">
      <c r="S56" s="29"/>
    </row>
  </sheetData>
  <mergeCells count="13">
    <mergeCell ref="D10:E10"/>
    <mergeCell ref="D11:E11"/>
    <mergeCell ref="D12:E12"/>
    <mergeCell ref="D13:E13"/>
    <mergeCell ref="J10:L10"/>
    <mergeCell ref="J11:L11"/>
    <mergeCell ref="N29:O29"/>
    <mergeCell ref="D29:E29"/>
    <mergeCell ref="H15:P15"/>
    <mergeCell ref="H16:M16"/>
    <mergeCell ref="O16:P16"/>
    <mergeCell ref="I9:J9"/>
    <mergeCell ref="C6:U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28B8-85D6-0D41-86DC-6088AD79498B}">
  <dimension ref="C5:U57"/>
  <sheetViews>
    <sheetView showGridLines="0" topLeftCell="B3" zoomScale="150" zoomScaleNormal="150" workbookViewId="0">
      <selection activeCell="P30" sqref="P30"/>
    </sheetView>
  </sheetViews>
  <sheetFormatPr baseColWidth="10" defaultColWidth="12.83203125" defaultRowHeight="16" x14ac:dyDescent="0.2"/>
  <cols>
    <col min="1" max="2" width="12.83203125" style="29"/>
    <col min="3" max="3" width="3.1640625" style="29" customWidth="1"/>
    <col min="4" max="4" width="6.83203125" style="29" bestFit="1" customWidth="1"/>
    <col min="5" max="5" width="8.33203125" style="29" bestFit="1" customWidth="1"/>
    <col min="6" max="6" width="8.6640625" style="29" bestFit="1" customWidth="1"/>
    <col min="7" max="7" width="7.1640625" style="29" customWidth="1"/>
    <col min="8" max="8" width="10" style="29" bestFit="1" customWidth="1"/>
    <col min="9" max="9" width="12.83203125" style="29"/>
    <col min="10" max="10" width="10" style="29" bestFit="1" customWidth="1"/>
    <col min="11" max="11" width="11.5" style="29" bestFit="1" customWidth="1"/>
    <col min="12" max="13" width="10.33203125" style="29" bestFit="1" customWidth="1"/>
    <col min="14" max="14" width="11.5" style="29" bestFit="1" customWidth="1"/>
    <col min="15" max="15" width="12.5" style="29" bestFit="1" customWidth="1"/>
    <col min="16" max="16" width="9.33203125" style="29" bestFit="1" customWidth="1"/>
    <col min="17" max="17" width="4.33203125" style="29" customWidth="1"/>
    <col min="18" max="18" width="7.5" style="29" bestFit="1" customWidth="1"/>
    <col min="19" max="19" width="12.5" style="30" bestFit="1" customWidth="1"/>
    <col min="20" max="20" width="12.1640625" style="29" bestFit="1" customWidth="1"/>
    <col min="21" max="21" width="3.33203125" style="29" customWidth="1"/>
    <col min="22" max="16384" width="12.83203125" style="29"/>
  </cols>
  <sheetData>
    <row r="5" spans="3:21" ht="17" thickBot="1" x14ac:dyDescent="0.25"/>
    <row r="6" spans="3:21" x14ac:dyDescent="0.2">
      <c r="C6" s="20" t="s">
        <v>52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3:21" ht="17" thickBot="1" x14ac:dyDescent="0.25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/>
    </row>
    <row r="8" spans="3:21" x14ac:dyDescent="0.2"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3"/>
      <c r="U8" s="34"/>
    </row>
    <row r="9" spans="3:21" x14ac:dyDescent="0.2">
      <c r="C9" s="31"/>
      <c r="D9" s="32"/>
      <c r="E9" s="35" t="s">
        <v>16</v>
      </c>
      <c r="F9" s="32"/>
      <c r="G9" s="32"/>
      <c r="H9" s="32"/>
      <c r="I9" s="36" t="s">
        <v>20</v>
      </c>
      <c r="J9" s="36"/>
      <c r="K9" s="32"/>
      <c r="L9" s="32"/>
      <c r="M9" s="32"/>
      <c r="N9" s="32"/>
      <c r="O9" s="32"/>
      <c r="P9" s="32"/>
      <c r="Q9" s="32"/>
      <c r="R9" s="32"/>
      <c r="S9" s="32"/>
      <c r="T9" s="33"/>
      <c r="U9" s="34"/>
    </row>
    <row r="10" spans="3:21" ht="16" customHeight="1" x14ac:dyDescent="0.15">
      <c r="C10" s="31"/>
      <c r="D10" s="37" t="s">
        <v>17</v>
      </c>
      <c r="E10" s="37"/>
      <c r="F10" s="38">
        <f>780000</f>
        <v>780000</v>
      </c>
      <c r="G10" s="32"/>
      <c r="H10" s="32"/>
      <c r="I10" s="159" t="s">
        <v>34</v>
      </c>
      <c r="J10" s="160" t="s">
        <v>85</v>
      </c>
      <c r="K10" s="160"/>
      <c r="L10" s="160"/>
      <c r="M10" s="160"/>
      <c r="N10" s="160"/>
      <c r="O10" s="32"/>
      <c r="P10" s="32"/>
      <c r="Q10" s="32"/>
      <c r="R10" s="32"/>
      <c r="S10" s="32"/>
      <c r="T10" s="33"/>
      <c r="U10" s="34"/>
    </row>
    <row r="11" spans="3:21" ht="16" customHeight="1" x14ac:dyDescent="0.15">
      <c r="C11" s="31"/>
      <c r="D11" s="37" t="s">
        <v>18</v>
      </c>
      <c r="E11" s="37"/>
      <c r="F11" s="39">
        <f>F12/F10</f>
        <v>19.322417926762185</v>
      </c>
      <c r="G11" s="32"/>
      <c r="H11" s="32"/>
      <c r="I11" s="159" t="s">
        <v>35</v>
      </c>
      <c r="J11" s="160" t="s">
        <v>86</v>
      </c>
      <c r="K11" s="160"/>
      <c r="L11" s="160"/>
      <c r="M11" s="160"/>
      <c r="N11" s="160"/>
      <c r="O11" s="32"/>
      <c r="P11" s="32"/>
      <c r="Q11" s="32"/>
      <c r="R11" s="32"/>
      <c r="S11" s="32"/>
      <c r="T11" s="33"/>
      <c r="U11" s="34"/>
    </row>
    <row r="12" spans="3:21" ht="16" customHeight="1" x14ac:dyDescent="0.15">
      <c r="C12" s="31"/>
      <c r="D12" s="37" t="s">
        <v>13</v>
      </c>
      <c r="E12" s="37"/>
      <c r="F12" s="38">
        <f>TVM!X21</f>
        <v>15071485.982874503</v>
      </c>
      <c r="G12" s="32"/>
      <c r="H12" s="32"/>
      <c r="I12" s="159" t="s">
        <v>87</v>
      </c>
      <c r="J12" s="160" t="s">
        <v>88</v>
      </c>
      <c r="K12" s="160"/>
      <c r="L12" s="160"/>
      <c r="M12" s="160"/>
      <c r="N12" s="160"/>
      <c r="O12" s="32"/>
      <c r="P12" s="32"/>
      <c r="Q12" s="32"/>
      <c r="R12" s="32"/>
      <c r="S12" s="32"/>
      <c r="T12" s="33"/>
      <c r="U12" s="34"/>
    </row>
    <row r="13" spans="3:21" ht="16" customHeight="1" x14ac:dyDescent="0.15">
      <c r="C13" s="31"/>
      <c r="D13" s="37" t="s">
        <v>19</v>
      </c>
      <c r="E13" s="37"/>
      <c r="F13" s="158" t="s">
        <v>50</v>
      </c>
      <c r="G13" s="158"/>
      <c r="H13" s="32"/>
      <c r="I13" s="159" t="s">
        <v>89</v>
      </c>
      <c r="J13" s="160" t="s">
        <v>90</v>
      </c>
      <c r="K13" s="160"/>
      <c r="L13" s="160"/>
      <c r="M13" s="160"/>
      <c r="N13" s="160"/>
      <c r="O13" s="32"/>
      <c r="P13" s="32"/>
      <c r="Q13" s="32"/>
      <c r="R13" s="32"/>
      <c r="S13" s="32"/>
      <c r="T13" s="33"/>
      <c r="U13" s="34"/>
    </row>
    <row r="14" spans="3:21" x14ac:dyDescent="0.15">
      <c r="C14" s="31"/>
      <c r="D14" s="71"/>
      <c r="E14" s="71"/>
      <c r="F14" s="71"/>
      <c r="G14" s="71"/>
      <c r="H14" s="71"/>
      <c r="I14" s="159" t="s">
        <v>91</v>
      </c>
      <c r="J14" s="160" t="s">
        <v>92</v>
      </c>
      <c r="K14" s="160"/>
      <c r="L14" s="159"/>
      <c r="M14" s="159"/>
      <c r="N14" s="71"/>
      <c r="O14" s="71"/>
      <c r="P14" s="71"/>
      <c r="Q14" s="71"/>
      <c r="R14" s="71"/>
      <c r="S14" s="71"/>
      <c r="T14" s="72"/>
      <c r="U14" s="34"/>
    </row>
    <row r="15" spans="3:21" ht="17" thickBot="1" x14ac:dyDescent="0.2">
      <c r="C15" s="31"/>
      <c r="D15" s="71"/>
      <c r="E15" s="71"/>
      <c r="F15" s="71"/>
      <c r="G15" s="71"/>
      <c r="H15" s="71"/>
      <c r="I15" s="159"/>
      <c r="J15" s="159"/>
      <c r="K15" s="159"/>
      <c r="L15" s="159"/>
      <c r="M15" s="159"/>
      <c r="N15" s="71"/>
      <c r="O15" s="71"/>
      <c r="P15" s="71"/>
      <c r="Q15" s="71"/>
      <c r="R15" s="71"/>
      <c r="S15" s="71"/>
      <c r="T15" s="72"/>
      <c r="U15" s="34"/>
    </row>
    <row r="16" spans="3:21" ht="17" thickBot="1" x14ac:dyDescent="0.25">
      <c r="C16" s="31"/>
      <c r="D16" s="71"/>
      <c r="E16" s="71"/>
      <c r="F16" s="71"/>
      <c r="G16" s="71"/>
      <c r="H16" s="54" t="s">
        <v>46</v>
      </c>
      <c r="I16" s="55"/>
      <c r="J16" s="55"/>
      <c r="K16" s="55"/>
      <c r="L16" s="55"/>
      <c r="M16" s="55"/>
      <c r="N16" s="55"/>
      <c r="O16" s="55"/>
      <c r="P16" s="56"/>
      <c r="Q16" s="71"/>
      <c r="R16" s="71"/>
      <c r="S16" s="71"/>
      <c r="T16" s="72"/>
      <c r="U16" s="34"/>
    </row>
    <row r="17" spans="3:21" ht="17" thickBot="1" x14ac:dyDescent="0.25">
      <c r="C17" s="31"/>
      <c r="D17" s="71"/>
      <c r="E17" s="71"/>
      <c r="F17" s="71"/>
      <c r="G17" s="71"/>
      <c r="H17" s="58" t="s">
        <v>47</v>
      </c>
      <c r="I17" s="59"/>
      <c r="J17" s="59"/>
      <c r="K17" s="59"/>
      <c r="L17" s="59"/>
      <c r="M17" s="60"/>
      <c r="N17" s="61" t="s">
        <v>48</v>
      </c>
      <c r="O17" s="36" t="s">
        <v>49</v>
      </c>
      <c r="P17" s="62"/>
      <c r="Q17" s="71"/>
      <c r="R17" s="71"/>
      <c r="S17" s="71"/>
      <c r="T17" s="72"/>
      <c r="U17" s="34"/>
    </row>
    <row r="18" spans="3:21" s="19" customFormat="1" ht="25" thickBot="1" x14ac:dyDescent="0.25">
      <c r="C18" s="26"/>
      <c r="D18" s="57" t="s">
        <v>21</v>
      </c>
      <c r="E18" s="65" t="s">
        <v>0</v>
      </c>
      <c r="F18" s="57" t="s">
        <v>22</v>
      </c>
      <c r="G18" s="27"/>
      <c r="H18" s="63" t="s">
        <v>23</v>
      </c>
      <c r="I18" s="57" t="s">
        <v>24</v>
      </c>
      <c r="J18" s="64" t="s">
        <v>25</v>
      </c>
      <c r="K18" s="57" t="s">
        <v>26</v>
      </c>
      <c r="L18" s="64" t="s">
        <v>27</v>
      </c>
      <c r="M18" s="63" t="s">
        <v>28</v>
      </c>
      <c r="N18" s="57" t="s">
        <v>36</v>
      </c>
      <c r="O18" s="64" t="s">
        <v>29</v>
      </c>
      <c r="P18" s="57" t="s">
        <v>30</v>
      </c>
      <c r="Q18" s="27"/>
      <c r="R18" s="57" t="s">
        <v>31</v>
      </c>
      <c r="S18" s="65" t="s">
        <v>19</v>
      </c>
      <c r="T18" s="66" t="s">
        <v>32</v>
      </c>
      <c r="U18" s="28"/>
    </row>
    <row r="19" spans="3:21" x14ac:dyDescent="0.2">
      <c r="C19" s="31"/>
      <c r="D19" s="26">
        <v>1</v>
      </c>
      <c r="E19" s="73">
        <v>40</v>
      </c>
      <c r="F19" s="93">
        <f>F10</f>
        <v>780000</v>
      </c>
      <c r="G19" s="71"/>
      <c r="H19" s="95">
        <v>0</v>
      </c>
      <c r="I19" s="74">
        <v>1</v>
      </c>
      <c r="J19" s="74">
        <v>0.95</v>
      </c>
      <c r="K19" s="75">
        <f>I19*F19*J19</f>
        <v>741000</v>
      </c>
      <c r="L19" s="75">
        <f>-R19*'mortality rates'!E45</f>
        <v>-36929.859473417957</v>
      </c>
      <c r="M19" s="77">
        <v>0</v>
      </c>
      <c r="N19" s="76">
        <f>(SUM(K19:M19)+H19)*0.1</f>
        <v>70407.014052658211</v>
      </c>
      <c r="O19" s="95">
        <f>-1.35%*(H19+SUM(K19:N19))</f>
        <v>-10455.441586819745</v>
      </c>
      <c r="P19" s="77">
        <f>SUM(K19:O19)+H19</f>
        <v>764021.71299242054</v>
      </c>
      <c r="Q19" s="71"/>
      <c r="R19" s="78">
        <f>$F$12</f>
        <v>15071485.982874503</v>
      </c>
      <c r="S19" s="79">
        <f>R19+H19</f>
        <v>15071485.982874503</v>
      </c>
      <c r="T19" s="80">
        <f>P19-MIN(0.06*P19,0.06*F19)</f>
        <v>718180.41021287534</v>
      </c>
      <c r="U19" s="34"/>
    </row>
    <row r="20" spans="3:21" x14ac:dyDescent="0.2">
      <c r="C20" s="31"/>
      <c r="D20" s="26">
        <f>+D19+1</f>
        <v>2</v>
      </c>
      <c r="E20" s="81">
        <f>$E$19+D20-1</f>
        <v>41</v>
      </c>
      <c r="F20" s="93">
        <f>F10</f>
        <v>780000</v>
      </c>
      <c r="G20" s="71"/>
      <c r="H20" s="78">
        <f>P19</f>
        <v>764021.71299242054</v>
      </c>
      <c r="I20" s="82">
        <v>1</v>
      </c>
      <c r="J20" s="82">
        <v>0.95</v>
      </c>
      <c r="K20" s="72">
        <f t="shared" ref="K20:K21" si="0">I20*F20*J20</f>
        <v>741000</v>
      </c>
      <c r="L20" s="72">
        <f>-R20*'mortality rates'!E46</f>
        <v>-42063.873800933427</v>
      </c>
      <c r="M20" s="80">
        <v>0</v>
      </c>
      <c r="N20" s="83">
        <f>(SUM(K20:M20)+H20)*0.1</f>
        <v>146295.7839191487</v>
      </c>
      <c r="O20" s="155">
        <f>-1.35%*(H20+SUM(K20:N20))</f>
        <v>-21724.923911993585</v>
      </c>
      <c r="P20" s="80">
        <f t="shared" ref="P20:P22" si="1">SUM(K20:O20)+H20</f>
        <v>1587528.6991986423</v>
      </c>
      <c r="Q20" s="71"/>
      <c r="R20" s="78">
        <f>$F$12</f>
        <v>15071485.982874503</v>
      </c>
      <c r="S20" s="84">
        <f t="shared" ref="S20:S28" si="2">R20+H20</f>
        <v>15835507.695866924</v>
      </c>
      <c r="T20" s="80">
        <f>P20-MIN(0.04*P20,0.04*F20)</f>
        <v>1556328.6991986423</v>
      </c>
      <c r="U20" s="34"/>
    </row>
    <row r="21" spans="3:21" x14ac:dyDescent="0.2">
      <c r="C21" s="31"/>
      <c r="D21" s="26">
        <f>+D20+1</f>
        <v>3</v>
      </c>
      <c r="E21" s="81">
        <f>$E$19+D21-1</f>
        <v>42</v>
      </c>
      <c r="F21" s="93">
        <f t="shared" ref="F21:F28" si="3">F20</f>
        <v>780000</v>
      </c>
      <c r="G21" s="71"/>
      <c r="H21" s="78">
        <f t="shared" ref="H21:H22" si="4">P20</f>
        <v>1587528.6991986423</v>
      </c>
      <c r="I21" s="82">
        <v>1</v>
      </c>
      <c r="J21" s="82">
        <v>0.95</v>
      </c>
      <c r="K21" s="72">
        <f t="shared" si="0"/>
        <v>741000</v>
      </c>
      <c r="L21" s="72">
        <f>-R21*'mortality rates'!E47</f>
        <v>-47448.868291819388</v>
      </c>
      <c r="M21" s="80">
        <v>0</v>
      </c>
      <c r="N21" s="83">
        <f>(SUM(K21:M21)+H21)*0.1</f>
        <v>228107.9830906823</v>
      </c>
      <c r="O21" s="155">
        <f>-1.35%*(H21+SUM(K21:N21))</f>
        <v>-33874.035488966321</v>
      </c>
      <c r="P21" s="80">
        <f t="shared" si="1"/>
        <v>2475313.7785085388</v>
      </c>
      <c r="Q21" s="71"/>
      <c r="R21" s="78">
        <f>$F$12</f>
        <v>15071485.982874503</v>
      </c>
      <c r="S21" s="84">
        <f t="shared" si="2"/>
        <v>16659014.682073146</v>
      </c>
      <c r="T21" s="80">
        <f>P21 - MIN(0.03*P21,0.03*F21)</f>
        <v>2451913.7785085388</v>
      </c>
      <c r="U21" s="34"/>
    </row>
    <row r="22" spans="3:21" x14ac:dyDescent="0.2">
      <c r="C22" s="31"/>
      <c r="D22" s="26">
        <f>+D21+1</f>
        <v>4</v>
      </c>
      <c r="E22" s="81">
        <f>$E$19+D22-1</f>
        <v>43</v>
      </c>
      <c r="F22" s="93">
        <f t="shared" si="3"/>
        <v>780000</v>
      </c>
      <c r="G22" s="71"/>
      <c r="H22" s="78">
        <f t="shared" si="4"/>
        <v>2475313.7785085388</v>
      </c>
      <c r="I22" s="82">
        <v>1</v>
      </c>
      <c r="J22" s="82">
        <v>0.95</v>
      </c>
      <c r="K22" s="72">
        <f>I22*F22*J22</f>
        <v>741000</v>
      </c>
      <c r="L22" s="72">
        <f>-R22*'mortality rates'!E48</f>
        <v>-48689.088344087679</v>
      </c>
      <c r="M22" s="80">
        <v>0</v>
      </c>
      <c r="N22" s="83">
        <f>(SUM(K22:M22)+H22)*0.1</f>
        <v>316762.4690164451</v>
      </c>
      <c r="O22" s="155">
        <f>-1.35%*(H22+SUM(K22:N22))</f>
        <v>-47039.226648942109</v>
      </c>
      <c r="P22" s="80">
        <f t="shared" si="1"/>
        <v>3437347.9325319543</v>
      </c>
      <c r="Q22" s="71"/>
      <c r="R22" s="78">
        <f>$F$12</f>
        <v>15071485.982874503</v>
      </c>
      <c r="S22" s="84">
        <f t="shared" si="2"/>
        <v>17546799.761383042</v>
      </c>
      <c r="T22" s="80">
        <f>P22-MIN(0.98*P22,0.98*F22)</f>
        <v>2672947.9325319543</v>
      </c>
      <c r="U22" s="34"/>
    </row>
    <row r="23" spans="3:21" x14ac:dyDescent="0.2">
      <c r="C23" s="31"/>
      <c r="D23" s="26">
        <v>5</v>
      </c>
      <c r="E23" s="81">
        <v>44</v>
      </c>
      <c r="F23" s="93">
        <f t="shared" si="3"/>
        <v>780000</v>
      </c>
      <c r="G23" s="71"/>
      <c r="H23" s="78">
        <f t="shared" ref="H23:H26" si="5">P22</f>
        <v>3437347.9325319543</v>
      </c>
      <c r="I23" s="82">
        <v>1</v>
      </c>
      <c r="J23" s="82">
        <v>0.95</v>
      </c>
      <c r="K23" s="72">
        <f t="shared" ref="K23:K26" si="6">I23*F23*J23</f>
        <v>741000</v>
      </c>
      <c r="L23" s="72">
        <f>-R23*'mortality rates'!E49</f>
        <v>-49995.882331610068</v>
      </c>
      <c r="M23" s="80">
        <v>0</v>
      </c>
      <c r="N23" s="83">
        <f t="shared" ref="N23:N26" si="7">(SUM(K23:M23)+H23)*0.1</f>
        <v>412835.20502003445</v>
      </c>
      <c r="O23" s="155">
        <f>-1.35%*(H23+SUM(K23:N23))</f>
        <v>-61306.027945475122</v>
      </c>
      <c r="P23" s="80">
        <f t="shared" ref="P23:P26" si="8">SUM(K23:O23)+H23</f>
        <v>4479881.227274904</v>
      </c>
      <c r="Q23" s="71"/>
      <c r="R23" s="78">
        <f t="shared" ref="R23:R26" si="9">$F$12</f>
        <v>15071485.982874503</v>
      </c>
      <c r="S23" s="84">
        <f t="shared" ref="S23:S26" si="10">R23+H23</f>
        <v>18508833.915406458</v>
      </c>
      <c r="T23" s="80">
        <f>P23</f>
        <v>4479881.227274904</v>
      </c>
      <c r="U23" s="34"/>
    </row>
    <row r="24" spans="3:21" x14ac:dyDescent="0.2">
      <c r="C24" s="31"/>
      <c r="D24" s="26">
        <v>6</v>
      </c>
      <c r="E24" s="81">
        <v>45</v>
      </c>
      <c r="F24" s="93">
        <f t="shared" si="3"/>
        <v>780000</v>
      </c>
      <c r="G24" s="71"/>
      <c r="H24" s="78">
        <f t="shared" si="5"/>
        <v>4479881.227274904</v>
      </c>
      <c r="I24" s="82">
        <v>1</v>
      </c>
      <c r="J24" s="82">
        <v>0.95</v>
      </c>
      <c r="K24" s="72">
        <f t="shared" si="6"/>
        <v>741000</v>
      </c>
      <c r="L24" s="72">
        <f>-R24*'mortality rates'!E50</f>
        <v>-60678.01727388455</v>
      </c>
      <c r="M24" s="80">
        <v>0</v>
      </c>
      <c r="N24" s="83">
        <f t="shared" si="7"/>
        <v>516020.32100010198</v>
      </c>
      <c r="O24" s="155">
        <f>-1.35%*(H24+SUM(K24:N24))</f>
        <v>-76629.017668515153</v>
      </c>
      <c r="P24" s="80">
        <f t="shared" si="8"/>
        <v>5599594.5133326063</v>
      </c>
      <c r="Q24" s="71"/>
      <c r="R24" s="78">
        <f t="shared" si="9"/>
        <v>15071485.982874503</v>
      </c>
      <c r="S24" s="84">
        <f t="shared" si="10"/>
        <v>19551367.210149407</v>
      </c>
      <c r="T24" s="80">
        <f t="shared" ref="T23:T26" si="11">P24</f>
        <v>5599594.5133326063</v>
      </c>
      <c r="U24" s="34"/>
    </row>
    <row r="25" spans="3:21" x14ac:dyDescent="0.2">
      <c r="C25" s="31"/>
      <c r="D25" s="26">
        <v>7</v>
      </c>
      <c r="E25" s="81">
        <v>46</v>
      </c>
      <c r="F25" s="93">
        <f t="shared" si="3"/>
        <v>780000</v>
      </c>
      <c r="G25" s="71"/>
      <c r="H25" s="78">
        <f t="shared" si="5"/>
        <v>5599594.5133326063</v>
      </c>
      <c r="I25" s="82">
        <v>1</v>
      </c>
      <c r="J25" s="82">
        <v>0.95</v>
      </c>
      <c r="K25" s="72">
        <f t="shared" si="6"/>
        <v>741000</v>
      </c>
      <c r="L25" s="72">
        <f>-R25*'mortality rates'!E51</f>
        <v>-62358.153334618917</v>
      </c>
      <c r="M25" s="80">
        <v>0</v>
      </c>
      <c r="N25" s="83">
        <f t="shared" si="7"/>
        <v>627823.63599979877</v>
      </c>
      <c r="O25" s="155">
        <f>-1.35%*(H25+SUM(K25:N25))</f>
        <v>-93231.809945970133</v>
      </c>
      <c r="P25" s="80">
        <f t="shared" si="8"/>
        <v>6812828.1860518157</v>
      </c>
      <c r="Q25" s="71"/>
      <c r="R25" s="78">
        <f t="shared" si="9"/>
        <v>15071485.982874503</v>
      </c>
      <c r="S25" s="84">
        <f t="shared" si="10"/>
        <v>20671080.496207111</v>
      </c>
      <c r="T25" s="80">
        <f t="shared" si="11"/>
        <v>6812828.1860518157</v>
      </c>
      <c r="U25" s="34"/>
    </row>
    <row r="26" spans="3:21" x14ac:dyDescent="0.2">
      <c r="C26" s="31"/>
      <c r="D26" s="26">
        <v>8</v>
      </c>
      <c r="E26" s="81">
        <v>47</v>
      </c>
      <c r="F26" s="93">
        <f t="shared" si="3"/>
        <v>780000</v>
      </c>
      <c r="G26" s="71"/>
      <c r="H26" s="78">
        <f t="shared" si="5"/>
        <v>6812828.1860518157</v>
      </c>
      <c r="I26" s="82">
        <v>1</v>
      </c>
      <c r="J26" s="82">
        <v>0.95</v>
      </c>
      <c r="K26" s="72">
        <f t="shared" si="6"/>
        <v>741000</v>
      </c>
      <c r="L26" s="72">
        <f>-R26*'mortality rates'!E52</f>
        <v>-69044.765628350709</v>
      </c>
      <c r="M26" s="80">
        <v>0</v>
      </c>
      <c r="N26" s="83">
        <f t="shared" si="7"/>
        <v>748478.34204234648</v>
      </c>
      <c r="O26" s="155">
        <f>-1.35%*(H26+SUM(K26:N26))</f>
        <v>-111149.03379328847</v>
      </c>
      <c r="P26" s="80">
        <f t="shared" si="8"/>
        <v>8122112.7286725231</v>
      </c>
      <c r="Q26" s="71"/>
      <c r="R26" s="78">
        <f t="shared" si="9"/>
        <v>15071485.982874503</v>
      </c>
      <c r="S26" s="84">
        <f t="shared" si="10"/>
        <v>21884314.168926321</v>
      </c>
      <c r="T26" s="80">
        <f t="shared" si="11"/>
        <v>8122112.7286725231</v>
      </c>
      <c r="U26" s="34"/>
    </row>
    <row r="27" spans="3:21" x14ac:dyDescent="0.2">
      <c r="C27" s="31"/>
      <c r="D27" s="26">
        <v>9</v>
      </c>
      <c r="E27" s="81">
        <v>48</v>
      </c>
      <c r="F27" s="93">
        <f>F22</f>
        <v>780000</v>
      </c>
      <c r="G27" s="71"/>
      <c r="H27" s="78">
        <f t="shared" ref="H27:H28" si="12">P26</f>
        <v>8122112.7286725231</v>
      </c>
      <c r="I27" s="82">
        <v>1</v>
      </c>
      <c r="J27" s="82">
        <v>0.95</v>
      </c>
      <c r="K27" s="72">
        <f t="shared" ref="K27:K28" si="13">I27*F27*J27</f>
        <v>741000</v>
      </c>
      <c r="L27" s="72">
        <f>-R27*'mortality rates'!E53</f>
        <v>-71044.041670116523</v>
      </c>
      <c r="M27" s="80">
        <v>0</v>
      </c>
      <c r="N27" s="83">
        <f t="shared" ref="N27:N28" si="14">(SUM(K27:M27)+H27)*0.1</f>
        <v>879206.86870024074</v>
      </c>
      <c r="O27" s="155">
        <f>-1.35%*(H27+SUM(K27:N27))</f>
        <v>-130562.22000198576</v>
      </c>
      <c r="P27" s="80">
        <f t="shared" ref="P27:P28" si="15">SUM(K27:O27)+H27</f>
        <v>9540713.3357006609</v>
      </c>
      <c r="Q27" s="71"/>
      <c r="R27" s="78">
        <f>$F$12</f>
        <v>15071485.982874503</v>
      </c>
      <c r="S27" s="84">
        <f t="shared" si="2"/>
        <v>23193598.711547025</v>
      </c>
      <c r="T27" s="80">
        <f>P27</f>
        <v>9540713.3357006609</v>
      </c>
      <c r="U27" s="34"/>
    </row>
    <row r="28" spans="3:21" ht="17" thickBot="1" x14ac:dyDescent="0.25">
      <c r="C28" s="31"/>
      <c r="D28" s="85">
        <f>+D27+1</f>
        <v>10</v>
      </c>
      <c r="E28" s="86">
        <v>49</v>
      </c>
      <c r="F28" s="94">
        <f t="shared" si="3"/>
        <v>780000</v>
      </c>
      <c r="G28" s="71"/>
      <c r="H28" s="87">
        <f t="shared" si="12"/>
        <v>9540713.3357006609</v>
      </c>
      <c r="I28" s="88">
        <v>1</v>
      </c>
      <c r="J28" s="88">
        <v>0.95</v>
      </c>
      <c r="K28" s="89">
        <f t="shared" si="13"/>
        <v>741000</v>
      </c>
      <c r="L28" s="89">
        <f>-R28*'mortality rates'!E54</f>
        <v>-78361.278940423043</v>
      </c>
      <c r="M28" s="91">
        <v>0</v>
      </c>
      <c r="N28" s="90">
        <f t="shared" si="14"/>
        <v>1020335.2056760238</v>
      </c>
      <c r="O28" s="156">
        <f>-1.35%*(H28+SUM(K28:N28))</f>
        <v>-151519.77804288955</v>
      </c>
      <c r="P28" s="91">
        <f>(SUM(K28:O28)+H28)*1.035</f>
        <v>11459693.34634714</v>
      </c>
      <c r="Q28" s="71"/>
      <c r="R28" s="87">
        <f>$F$12</f>
        <v>15071485.982874503</v>
      </c>
      <c r="S28" s="92">
        <f t="shared" si="2"/>
        <v>24612199.318575166</v>
      </c>
      <c r="T28" s="91">
        <f>P28</f>
        <v>11459693.34634714</v>
      </c>
      <c r="U28" s="34"/>
    </row>
    <row r="29" spans="3:21" ht="17" thickBot="1" x14ac:dyDescent="0.25">
      <c r="C29" s="31"/>
      <c r="D29" s="32"/>
      <c r="E29" s="32"/>
      <c r="F29" s="41"/>
      <c r="G29" s="32"/>
      <c r="H29" s="42"/>
      <c r="I29" s="40"/>
      <c r="J29" s="40"/>
      <c r="K29" s="42"/>
      <c r="L29" s="43"/>
      <c r="M29" s="32"/>
      <c r="N29" s="42"/>
      <c r="O29" s="43"/>
      <c r="P29" s="42"/>
      <c r="Q29" s="32"/>
      <c r="R29" s="42"/>
      <c r="S29" s="44"/>
      <c r="T29" s="33"/>
      <c r="U29" s="34"/>
    </row>
    <row r="30" spans="3:21" ht="17" thickBot="1" x14ac:dyDescent="0.25">
      <c r="C30" s="31"/>
      <c r="D30" s="54" t="s">
        <v>44</v>
      </c>
      <c r="E30" s="56"/>
      <c r="F30" s="70">
        <f>SUM(F19:F29)</f>
        <v>7800000</v>
      </c>
      <c r="G30" s="32"/>
      <c r="H30" s="32"/>
      <c r="I30" s="40"/>
      <c r="J30" s="40"/>
      <c r="K30" s="32"/>
      <c r="L30" s="32"/>
      <c r="M30" s="32"/>
      <c r="N30" s="67" t="s">
        <v>45</v>
      </c>
      <c r="O30" s="68"/>
      <c r="P30" s="69">
        <f>P28</f>
        <v>11459693.34634714</v>
      </c>
      <c r="Q30" s="32"/>
      <c r="R30" s="32"/>
      <c r="S30" s="32"/>
      <c r="T30" s="33"/>
      <c r="U30" s="34"/>
    </row>
    <row r="31" spans="3:21" ht="17" thickBot="1" x14ac:dyDescent="0.25">
      <c r="C31" s="45"/>
      <c r="D31" s="46"/>
      <c r="E31" s="46"/>
      <c r="F31" s="47"/>
      <c r="G31" s="46"/>
      <c r="H31" s="46"/>
      <c r="I31" s="48"/>
      <c r="J31" s="48"/>
      <c r="K31" s="46"/>
      <c r="L31" s="46"/>
      <c r="M31" s="46"/>
      <c r="N31" s="46"/>
      <c r="O31" s="46"/>
      <c r="P31" s="49"/>
      <c r="Q31" s="46"/>
      <c r="R31" s="46"/>
      <c r="S31" s="46"/>
      <c r="T31" s="50"/>
      <c r="U31" s="51"/>
    </row>
    <row r="32" spans="3:21" x14ac:dyDescent="0.2">
      <c r="E32" s="52"/>
      <c r="H32" s="53"/>
      <c r="I32" s="53"/>
    </row>
    <row r="33" spans="5:19" x14ac:dyDescent="0.2">
      <c r="E33" s="52"/>
      <c r="H33" s="53"/>
      <c r="I33" s="53"/>
    </row>
    <row r="34" spans="5:19" x14ac:dyDescent="0.2">
      <c r="E34" s="52"/>
      <c r="H34" s="53"/>
      <c r="I34" s="53"/>
    </row>
    <row r="35" spans="5:19" x14ac:dyDescent="0.2">
      <c r="S35" s="29"/>
    </row>
    <row r="36" spans="5:19" x14ac:dyDescent="0.2">
      <c r="S36" s="29"/>
    </row>
    <row r="37" spans="5:19" x14ac:dyDescent="0.2">
      <c r="S37" s="29"/>
    </row>
    <row r="38" spans="5:19" x14ac:dyDescent="0.2">
      <c r="S38" s="29"/>
    </row>
    <row r="39" spans="5:19" x14ac:dyDescent="0.2">
      <c r="S39" s="29"/>
    </row>
    <row r="40" spans="5:19" x14ac:dyDescent="0.2">
      <c r="S40" s="29"/>
    </row>
    <row r="41" spans="5:19" x14ac:dyDescent="0.2">
      <c r="S41" s="29"/>
    </row>
    <row r="42" spans="5:19" x14ac:dyDescent="0.2">
      <c r="S42" s="29"/>
    </row>
    <row r="43" spans="5:19" x14ac:dyDescent="0.2">
      <c r="S43" s="29"/>
    </row>
    <row r="44" spans="5:19" x14ac:dyDescent="0.2">
      <c r="S44" s="29"/>
    </row>
    <row r="45" spans="5:19" x14ac:dyDescent="0.2">
      <c r="S45" s="29"/>
    </row>
    <row r="46" spans="5:19" x14ac:dyDescent="0.2">
      <c r="S46" s="29"/>
    </row>
    <row r="47" spans="5:19" x14ac:dyDescent="0.2">
      <c r="S47" s="29"/>
    </row>
    <row r="48" spans="5:19" x14ac:dyDescent="0.2">
      <c r="S48" s="29"/>
    </row>
    <row r="49" s="29" customFormat="1" x14ac:dyDescent="0.2"/>
    <row r="50" s="29" customFormat="1" x14ac:dyDescent="0.2"/>
    <row r="51" s="29" customFormat="1" x14ac:dyDescent="0.2"/>
    <row r="52" s="29" customFormat="1" x14ac:dyDescent="0.2"/>
    <row r="53" s="29" customFormat="1" x14ac:dyDescent="0.2"/>
    <row r="54" s="29" customFormat="1" x14ac:dyDescent="0.2"/>
    <row r="55" s="29" customFormat="1" x14ac:dyDescent="0.2"/>
    <row r="56" s="29" customFormat="1" x14ac:dyDescent="0.2"/>
    <row r="57" s="29" customFormat="1" x14ac:dyDescent="0.2"/>
  </sheetData>
  <mergeCells count="17">
    <mergeCell ref="H17:M17"/>
    <mergeCell ref="O17:P17"/>
    <mergeCell ref="D30:E30"/>
    <mergeCell ref="N30:O30"/>
    <mergeCell ref="F13:G13"/>
    <mergeCell ref="J14:K14"/>
    <mergeCell ref="D11:E11"/>
    <mergeCell ref="D12:E12"/>
    <mergeCell ref="D13:E13"/>
    <mergeCell ref="H16:P16"/>
    <mergeCell ref="J10:N10"/>
    <mergeCell ref="J11:N11"/>
    <mergeCell ref="J12:N12"/>
    <mergeCell ref="J13:N13"/>
    <mergeCell ref="C6:U7"/>
    <mergeCell ref="I9:J9"/>
    <mergeCell ref="D10:E1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D9C9-C152-9C41-A89C-A334079451CC}">
  <dimension ref="C5:U57"/>
  <sheetViews>
    <sheetView showGridLines="0" tabSelected="1" topLeftCell="B1" zoomScale="140" zoomScaleNormal="140" workbookViewId="0">
      <selection activeCell="U30" sqref="U30"/>
    </sheetView>
  </sheetViews>
  <sheetFormatPr baseColWidth="10" defaultColWidth="12.83203125" defaultRowHeight="16" x14ac:dyDescent="0.2"/>
  <cols>
    <col min="1" max="2" width="12.83203125" style="29"/>
    <col min="3" max="3" width="3.1640625" style="29" customWidth="1"/>
    <col min="4" max="4" width="6.83203125" style="29" bestFit="1" customWidth="1"/>
    <col min="5" max="5" width="8.33203125" style="29" bestFit="1" customWidth="1"/>
    <col min="6" max="6" width="8.6640625" style="29" bestFit="1" customWidth="1"/>
    <col min="7" max="7" width="7.1640625" style="29" customWidth="1"/>
    <col min="8" max="8" width="10" style="29" bestFit="1" customWidth="1"/>
    <col min="9" max="9" width="12.83203125" style="29"/>
    <col min="10" max="10" width="10" style="29" bestFit="1" customWidth="1"/>
    <col min="11" max="11" width="11.6640625" style="29" bestFit="1" customWidth="1"/>
    <col min="12" max="13" width="10.33203125" style="29" bestFit="1" customWidth="1"/>
    <col min="14" max="14" width="11.6640625" style="29" bestFit="1" customWidth="1"/>
    <col min="15" max="15" width="12.5" style="29" bestFit="1" customWidth="1"/>
    <col min="16" max="16" width="9.6640625" style="29" bestFit="1" customWidth="1"/>
    <col min="17" max="17" width="4.33203125" style="29" customWidth="1"/>
    <col min="18" max="18" width="7.83203125" style="29" bestFit="1" customWidth="1"/>
    <col min="19" max="19" width="12.5" style="30" bestFit="1" customWidth="1"/>
    <col min="20" max="20" width="12.1640625" style="29" bestFit="1" customWidth="1"/>
    <col min="21" max="21" width="3.33203125" style="29" customWidth="1"/>
    <col min="22" max="16384" width="12.83203125" style="29"/>
  </cols>
  <sheetData>
    <row r="5" spans="3:21" ht="17" thickBot="1" x14ac:dyDescent="0.25"/>
    <row r="6" spans="3:21" x14ac:dyDescent="0.2">
      <c r="C6" s="20" t="s">
        <v>97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3:21" ht="17" thickBot="1" x14ac:dyDescent="0.25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5"/>
    </row>
    <row r="8" spans="3:21" x14ac:dyDescent="0.2"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3"/>
      <c r="U8" s="34"/>
    </row>
    <row r="9" spans="3:21" x14ac:dyDescent="0.2">
      <c r="C9" s="31"/>
      <c r="D9" s="32"/>
      <c r="E9" s="35" t="s">
        <v>16</v>
      </c>
      <c r="F9" s="32"/>
      <c r="G9" s="32"/>
      <c r="H9" s="32"/>
      <c r="I9" s="36" t="s">
        <v>20</v>
      </c>
      <c r="J9" s="36"/>
      <c r="K9" s="32"/>
      <c r="L9" s="32"/>
      <c r="M9" s="32"/>
      <c r="N9" s="32"/>
      <c r="O9" s="32"/>
      <c r="P9" s="32"/>
      <c r="Q9" s="32"/>
      <c r="R9" s="32"/>
      <c r="S9" s="32"/>
      <c r="T9" s="33"/>
      <c r="U9" s="34"/>
    </row>
    <row r="10" spans="3:21" ht="16" customHeight="1" x14ac:dyDescent="0.15">
      <c r="C10" s="31"/>
      <c r="D10" s="37" t="s">
        <v>17</v>
      </c>
      <c r="E10" s="37"/>
      <c r="F10" s="162">
        <f>780000</f>
        <v>780000</v>
      </c>
      <c r="G10" s="162"/>
      <c r="H10" s="32"/>
      <c r="I10" s="157" t="s">
        <v>93</v>
      </c>
      <c r="J10" s="161" t="s">
        <v>94</v>
      </c>
      <c r="K10" s="161"/>
      <c r="L10" s="159"/>
      <c r="M10" s="159"/>
      <c r="N10" s="159"/>
      <c r="O10" s="32"/>
      <c r="P10" s="32"/>
      <c r="Q10" s="32"/>
      <c r="R10" s="32"/>
      <c r="S10" s="32"/>
      <c r="T10" s="33"/>
      <c r="U10" s="34"/>
    </row>
    <row r="11" spans="3:21" ht="16" customHeight="1" x14ac:dyDescent="0.15">
      <c r="C11" s="31"/>
      <c r="D11" s="37" t="s">
        <v>18</v>
      </c>
      <c r="E11" s="37"/>
      <c r="F11" s="163">
        <f>F12/F10</f>
        <v>19.322417926762185</v>
      </c>
      <c r="G11" s="163"/>
      <c r="H11" s="32"/>
      <c r="I11" s="157" t="s">
        <v>95</v>
      </c>
      <c r="J11" s="161" t="s">
        <v>96</v>
      </c>
      <c r="K11" s="161"/>
      <c r="L11" s="159"/>
      <c r="M11" s="159"/>
      <c r="N11" s="159"/>
      <c r="O11" s="32"/>
      <c r="P11" s="32"/>
      <c r="Q11" s="32"/>
      <c r="R11" s="32"/>
      <c r="S11" s="32"/>
      <c r="T11" s="33"/>
      <c r="U11" s="34"/>
    </row>
    <row r="12" spans="3:21" ht="16" customHeight="1" x14ac:dyDescent="0.15">
      <c r="C12" s="31"/>
      <c r="D12" s="37" t="s">
        <v>13</v>
      </c>
      <c r="E12" s="37"/>
      <c r="F12" s="162">
        <f>TVM!X21</f>
        <v>15071485.982874503</v>
      </c>
      <c r="G12" s="162"/>
      <c r="H12" s="32"/>
      <c r="I12" s="157"/>
      <c r="J12" s="157"/>
      <c r="K12" s="157"/>
      <c r="L12" s="159"/>
      <c r="M12" s="159"/>
      <c r="N12" s="159"/>
      <c r="O12" s="32"/>
      <c r="P12" s="32"/>
      <c r="Q12" s="32"/>
      <c r="R12" s="32"/>
      <c r="S12" s="32"/>
      <c r="T12" s="33"/>
      <c r="U12" s="34"/>
    </row>
    <row r="13" spans="3:21" ht="16" customHeight="1" x14ac:dyDescent="0.15">
      <c r="C13" s="31"/>
      <c r="D13" s="37" t="s">
        <v>19</v>
      </c>
      <c r="E13" s="37"/>
      <c r="F13" s="163" t="s">
        <v>50</v>
      </c>
      <c r="G13" s="163"/>
      <c r="H13" s="32"/>
      <c r="I13" s="159"/>
      <c r="J13" s="159"/>
      <c r="K13" s="159"/>
      <c r="L13" s="159"/>
      <c r="M13" s="159"/>
      <c r="N13" s="159"/>
      <c r="O13" s="32"/>
      <c r="P13" s="32"/>
      <c r="Q13" s="32"/>
      <c r="R13" s="32"/>
      <c r="S13" s="32"/>
      <c r="T13" s="33"/>
      <c r="U13" s="34"/>
    </row>
    <row r="14" spans="3:21" x14ac:dyDescent="0.15">
      <c r="C14" s="31"/>
      <c r="D14" s="71"/>
      <c r="E14" s="71"/>
      <c r="F14" s="71"/>
      <c r="G14" s="71"/>
      <c r="H14" s="71"/>
      <c r="I14" s="159"/>
      <c r="J14" s="159"/>
      <c r="K14" s="159"/>
      <c r="L14" s="159"/>
      <c r="M14" s="159"/>
      <c r="N14" s="71"/>
      <c r="O14" s="71"/>
      <c r="P14" s="71"/>
      <c r="Q14" s="71"/>
      <c r="R14" s="71"/>
      <c r="S14" s="71"/>
      <c r="T14" s="72"/>
      <c r="U14" s="34"/>
    </row>
    <row r="15" spans="3:21" ht="17" thickBot="1" x14ac:dyDescent="0.2">
      <c r="C15" s="31"/>
      <c r="D15" s="71"/>
      <c r="E15" s="71"/>
      <c r="F15" s="71"/>
      <c r="G15" s="71"/>
      <c r="H15" s="71"/>
      <c r="I15" s="159"/>
      <c r="J15" s="159"/>
      <c r="K15" s="159"/>
      <c r="L15" s="159"/>
      <c r="M15" s="159"/>
      <c r="N15" s="71"/>
      <c r="O15" s="71"/>
      <c r="P15" s="71"/>
      <c r="Q15" s="71"/>
      <c r="R15" s="71"/>
      <c r="S15" s="71"/>
      <c r="T15" s="72"/>
      <c r="U15" s="34"/>
    </row>
    <row r="16" spans="3:21" ht="17" thickBot="1" x14ac:dyDescent="0.25">
      <c r="C16" s="31"/>
      <c r="D16" s="71"/>
      <c r="E16" s="71"/>
      <c r="F16" s="71"/>
      <c r="G16" s="71"/>
      <c r="H16" s="54" t="s">
        <v>46</v>
      </c>
      <c r="I16" s="55"/>
      <c r="J16" s="55"/>
      <c r="K16" s="55"/>
      <c r="L16" s="55"/>
      <c r="M16" s="55"/>
      <c r="N16" s="55"/>
      <c r="O16" s="55"/>
      <c r="P16" s="56"/>
      <c r="Q16" s="71"/>
      <c r="R16" s="71"/>
      <c r="S16" s="71"/>
      <c r="T16" s="72"/>
      <c r="U16" s="34"/>
    </row>
    <row r="17" spans="3:21" ht="17" thickBot="1" x14ac:dyDescent="0.25">
      <c r="C17" s="31"/>
      <c r="D17" s="71"/>
      <c r="E17" s="71"/>
      <c r="F17" s="71"/>
      <c r="G17" s="71"/>
      <c r="H17" s="58" t="s">
        <v>47</v>
      </c>
      <c r="I17" s="59"/>
      <c r="J17" s="59"/>
      <c r="K17" s="59"/>
      <c r="L17" s="59"/>
      <c r="M17" s="60"/>
      <c r="N17" s="61" t="s">
        <v>48</v>
      </c>
      <c r="O17" s="36" t="s">
        <v>49</v>
      </c>
      <c r="P17" s="62"/>
      <c r="Q17" s="71"/>
      <c r="R17" s="71"/>
      <c r="S17" s="71"/>
      <c r="T17" s="72"/>
      <c r="U17" s="34"/>
    </row>
    <row r="18" spans="3:21" s="19" customFormat="1" ht="25" thickBot="1" x14ac:dyDescent="0.25">
      <c r="C18" s="26"/>
      <c r="D18" s="57" t="s">
        <v>21</v>
      </c>
      <c r="E18" s="65" t="s">
        <v>0</v>
      </c>
      <c r="F18" s="57" t="s">
        <v>22</v>
      </c>
      <c r="G18" s="27"/>
      <c r="H18" s="63" t="s">
        <v>23</v>
      </c>
      <c r="I18" s="57" t="s">
        <v>24</v>
      </c>
      <c r="J18" s="64" t="s">
        <v>25</v>
      </c>
      <c r="K18" s="57" t="s">
        <v>26</v>
      </c>
      <c r="L18" s="64" t="s">
        <v>27</v>
      </c>
      <c r="M18" s="63" t="s">
        <v>28</v>
      </c>
      <c r="N18" s="57" t="s">
        <v>36</v>
      </c>
      <c r="O18" s="65" t="s">
        <v>29</v>
      </c>
      <c r="P18" s="57" t="s">
        <v>30</v>
      </c>
      <c r="Q18" s="27"/>
      <c r="R18" s="57" t="s">
        <v>31</v>
      </c>
      <c r="S18" s="65" t="s">
        <v>19</v>
      </c>
      <c r="T18" s="66" t="s">
        <v>32</v>
      </c>
      <c r="U18" s="28"/>
    </row>
    <row r="19" spans="3:21" x14ac:dyDescent="0.2">
      <c r="C19" s="31"/>
      <c r="D19" s="26">
        <v>1</v>
      </c>
      <c r="E19" s="73">
        <v>40</v>
      </c>
      <c r="F19" s="93">
        <f>F10</f>
        <v>780000</v>
      </c>
      <c r="G19" s="71"/>
      <c r="H19" s="95">
        <v>0</v>
      </c>
      <c r="I19" s="74">
        <v>1</v>
      </c>
      <c r="J19" s="74">
        <v>0.95</v>
      </c>
      <c r="K19" s="75">
        <f>I19*F19*J19</f>
        <v>741000</v>
      </c>
      <c r="L19" s="75">
        <f>-R19*'mortality rates'!E45</f>
        <v>-36929.859473417957</v>
      </c>
      <c r="M19" s="77">
        <v>0</v>
      </c>
      <c r="N19" s="95">
        <f>(SUM(K19:M19)+H19)*0.1</f>
        <v>70407.014052658211</v>
      </c>
      <c r="O19" s="76">
        <f>-5%*(H19+SUM(K19:N19))</f>
        <v>-38723.857728962015</v>
      </c>
      <c r="P19" s="77">
        <f>SUM(K19:O19)+H19</f>
        <v>735753.29685027828</v>
      </c>
      <c r="Q19" s="71"/>
      <c r="R19" s="78">
        <f>$F$12</f>
        <v>15071485.982874503</v>
      </c>
      <c r="S19" s="79">
        <f>R19+H19</f>
        <v>15071485.982874503</v>
      </c>
      <c r="T19" s="80">
        <f>0.2*P19</f>
        <v>147150.65937005566</v>
      </c>
      <c r="U19" s="34"/>
    </row>
    <row r="20" spans="3:21" x14ac:dyDescent="0.2">
      <c r="C20" s="31"/>
      <c r="D20" s="26">
        <f>+D19+1</f>
        <v>2</v>
      </c>
      <c r="E20" s="81">
        <f>$E$19+D20-1</f>
        <v>41</v>
      </c>
      <c r="F20" s="93">
        <f>F10</f>
        <v>780000</v>
      </c>
      <c r="G20" s="71"/>
      <c r="H20" s="78">
        <f>P19</f>
        <v>735753.29685027828</v>
      </c>
      <c r="I20" s="82">
        <v>1</v>
      </c>
      <c r="J20" s="82">
        <v>0.95</v>
      </c>
      <c r="K20" s="72">
        <f t="shared" ref="K20:K21" si="0">I20*F20*J20</f>
        <v>741000</v>
      </c>
      <c r="L20" s="72">
        <f>-R20*'mortality rates'!E46</f>
        <v>-42063.873800933427</v>
      </c>
      <c r="M20" s="80">
        <v>0</v>
      </c>
      <c r="N20" s="155">
        <f>(SUM(K20:M20)+H20)*0.1</f>
        <v>143468.94230493446</v>
      </c>
      <c r="O20" s="83">
        <f t="shared" ref="O20:O28" si="1">-5%*(H20+SUM(K20:N20))</f>
        <v>-78907.918267713976</v>
      </c>
      <c r="P20" s="80">
        <f t="shared" ref="P20:P27" si="2">SUM(K20:O20)+H20</f>
        <v>1499250.4470865652</v>
      </c>
      <c r="Q20" s="71"/>
      <c r="R20" s="78">
        <f>$F$12</f>
        <v>15071485.982874503</v>
      </c>
      <c r="S20" s="84">
        <f t="shared" ref="S20:S28" si="3">R20+H20</f>
        <v>15807239.279724782</v>
      </c>
      <c r="T20" s="80">
        <f>0.2*P20</f>
        <v>299850.08941731305</v>
      </c>
      <c r="U20" s="34"/>
    </row>
    <row r="21" spans="3:21" x14ac:dyDescent="0.2">
      <c r="C21" s="31"/>
      <c r="D21" s="26">
        <f>+D20+1</f>
        <v>3</v>
      </c>
      <c r="E21" s="81">
        <f>$E$19+D21-1</f>
        <v>42</v>
      </c>
      <c r="F21" s="93">
        <f t="shared" ref="F21:F28" si="4">F20</f>
        <v>780000</v>
      </c>
      <c r="G21" s="71"/>
      <c r="H21" s="78">
        <f t="shared" ref="H21:H28" si="5">P20</f>
        <v>1499250.4470865652</v>
      </c>
      <c r="I21" s="82">
        <v>1</v>
      </c>
      <c r="J21" s="82">
        <v>0.95</v>
      </c>
      <c r="K21" s="72">
        <f t="shared" si="0"/>
        <v>741000</v>
      </c>
      <c r="L21" s="72">
        <f>-R21*'mortality rates'!E47</f>
        <v>-47448.868291819388</v>
      </c>
      <c r="M21" s="80">
        <v>0</v>
      </c>
      <c r="N21" s="155">
        <f>(SUM(K21:M21)+H21)*0.1</f>
        <v>219280.15787947457</v>
      </c>
      <c r="O21" s="83">
        <f>-5%*(H21+SUM(K21:N21))</f>
        <v>-120604.08683371102</v>
      </c>
      <c r="P21" s="80">
        <f t="shared" si="2"/>
        <v>2291477.6498405095</v>
      </c>
      <c r="Q21" s="71"/>
      <c r="R21" s="78">
        <f>$F$12</f>
        <v>15071485.982874503</v>
      </c>
      <c r="S21" s="84">
        <f t="shared" si="3"/>
        <v>16570736.429961069</v>
      </c>
      <c r="T21" s="80">
        <f>P21</f>
        <v>2291477.6498405095</v>
      </c>
      <c r="U21" s="34"/>
    </row>
    <row r="22" spans="3:21" x14ac:dyDescent="0.2">
      <c r="C22" s="31"/>
      <c r="D22" s="26">
        <f>+D21+1</f>
        <v>4</v>
      </c>
      <c r="E22" s="81">
        <f>$E$19+D22-1</f>
        <v>43</v>
      </c>
      <c r="F22" s="93">
        <f t="shared" si="4"/>
        <v>780000</v>
      </c>
      <c r="G22" s="71"/>
      <c r="H22" s="78">
        <f t="shared" si="5"/>
        <v>2291477.6498405095</v>
      </c>
      <c r="I22" s="82">
        <v>1</v>
      </c>
      <c r="J22" s="82">
        <v>0.95</v>
      </c>
      <c r="K22" s="72">
        <f>I22*F22*J22</f>
        <v>741000</v>
      </c>
      <c r="L22" s="72">
        <f>-R22*'mortality rates'!E48</f>
        <v>-48689.088344087679</v>
      </c>
      <c r="M22" s="80">
        <v>0</v>
      </c>
      <c r="N22" s="155">
        <f>(SUM(K22:M22)+H22)*0.1</f>
        <v>298378.8561496422</v>
      </c>
      <c r="O22" s="83">
        <f t="shared" si="1"/>
        <v>-164108.37088230322</v>
      </c>
      <c r="P22" s="80">
        <f t="shared" si="2"/>
        <v>3118059.046763761</v>
      </c>
      <c r="Q22" s="71"/>
      <c r="R22" s="78">
        <f>$F$12</f>
        <v>15071485.982874503</v>
      </c>
      <c r="S22" s="84">
        <f t="shared" si="3"/>
        <v>17362963.632715013</v>
      </c>
      <c r="T22" s="80">
        <f>P22</f>
        <v>3118059.046763761</v>
      </c>
      <c r="U22" s="34"/>
    </row>
    <row r="23" spans="3:21" x14ac:dyDescent="0.2">
      <c r="C23" s="31"/>
      <c r="D23" s="26">
        <v>5</v>
      </c>
      <c r="E23" s="81">
        <v>44</v>
      </c>
      <c r="F23" s="93">
        <f t="shared" si="4"/>
        <v>780000</v>
      </c>
      <c r="G23" s="71"/>
      <c r="H23" s="78">
        <f t="shared" si="5"/>
        <v>3118059.046763761</v>
      </c>
      <c r="I23" s="82">
        <v>1</v>
      </c>
      <c r="J23" s="82">
        <v>0.95</v>
      </c>
      <c r="K23" s="72">
        <f t="shared" ref="K23:K28" si="6">I23*F23*J23</f>
        <v>741000</v>
      </c>
      <c r="L23" s="72">
        <f>-R23*'mortality rates'!E49</f>
        <v>-49995.882331610068</v>
      </c>
      <c r="M23" s="80">
        <v>0</v>
      </c>
      <c r="N23" s="155">
        <f t="shared" ref="N23:N28" si="7">(SUM(K23:M23)+H23)*0.1</f>
        <v>380906.31644321512</v>
      </c>
      <c r="O23" s="83">
        <f t="shared" si="1"/>
        <v>-209498.47404376831</v>
      </c>
      <c r="P23" s="80">
        <f t="shared" si="2"/>
        <v>3980471.0068315975</v>
      </c>
      <c r="Q23" s="71"/>
      <c r="R23" s="78">
        <f t="shared" ref="R23:R26" si="8">$F$12</f>
        <v>15071485.982874503</v>
      </c>
      <c r="S23" s="84">
        <f t="shared" si="3"/>
        <v>18189545.029638264</v>
      </c>
      <c r="T23" s="80">
        <f t="shared" ref="T23:T26" si="9">P23</f>
        <v>3980471.0068315975</v>
      </c>
      <c r="U23" s="34"/>
    </row>
    <row r="24" spans="3:21" x14ac:dyDescent="0.2">
      <c r="C24" s="31"/>
      <c r="D24" s="26">
        <v>6</v>
      </c>
      <c r="E24" s="81">
        <v>45</v>
      </c>
      <c r="F24" s="93">
        <f t="shared" si="4"/>
        <v>780000</v>
      </c>
      <c r="G24" s="71"/>
      <c r="H24" s="78">
        <f t="shared" si="5"/>
        <v>3980471.0068315975</v>
      </c>
      <c r="I24" s="82">
        <v>1</v>
      </c>
      <c r="J24" s="82">
        <v>0.95</v>
      </c>
      <c r="K24" s="72">
        <f t="shared" si="6"/>
        <v>741000</v>
      </c>
      <c r="L24" s="72">
        <f>-R24*'mortality rates'!E50</f>
        <v>-60678.01727388455</v>
      </c>
      <c r="M24" s="80">
        <v>0</v>
      </c>
      <c r="N24" s="155">
        <f t="shared" si="7"/>
        <v>466079.29895577137</v>
      </c>
      <c r="O24" s="83">
        <f t="shared" si="1"/>
        <v>-256343.61442567423</v>
      </c>
      <c r="P24" s="80">
        <f t="shared" si="2"/>
        <v>4870528.6740878103</v>
      </c>
      <c r="Q24" s="71"/>
      <c r="R24" s="78">
        <f t="shared" si="8"/>
        <v>15071485.982874503</v>
      </c>
      <c r="S24" s="84">
        <f t="shared" si="3"/>
        <v>19051956.989706099</v>
      </c>
      <c r="T24" s="80">
        <f t="shared" si="9"/>
        <v>4870528.6740878103</v>
      </c>
      <c r="U24" s="34"/>
    </row>
    <row r="25" spans="3:21" x14ac:dyDescent="0.2">
      <c r="C25" s="31"/>
      <c r="D25" s="26">
        <v>7</v>
      </c>
      <c r="E25" s="81">
        <v>46</v>
      </c>
      <c r="F25" s="93">
        <f t="shared" si="4"/>
        <v>780000</v>
      </c>
      <c r="G25" s="71"/>
      <c r="H25" s="78">
        <f t="shared" si="5"/>
        <v>4870528.6740878103</v>
      </c>
      <c r="I25" s="82">
        <v>1</v>
      </c>
      <c r="J25" s="82">
        <v>0.95</v>
      </c>
      <c r="K25" s="72">
        <f t="shared" si="6"/>
        <v>741000</v>
      </c>
      <c r="L25" s="72">
        <f>-R25*'mortality rates'!E51</f>
        <v>-62358.153334618917</v>
      </c>
      <c r="M25" s="80">
        <v>0</v>
      </c>
      <c r="N25" s="155">
        <f t="shared" si="7"/>
        <v>554917.05207531922</v>
      </c>
      <c r="O25" s="83">
        <f t="shared" si="1"/>
        <v>-305204.37864142557</v>
      </c>
      <c r="P25" s="80">
        <f t="shared" si="2"/>
        <v>5798883.1941870851</v>
      </c>
      <c r="Q25" s="71"/>
      <c r="R25" s="78">
        <f t="shared" si="8"/>
        <v>15071485.982874503</v>
      </c>
      <c r="S25" s="84">
        <f t="shared" si="3"/>
        <v>19942014.656962313</v>
      </c>
      <c r="T25" s="80">
        <f t="shared" si="9"/>
        <v>5798883.1941870851</v>
      </c>
      <c r="U25" s="34"/>
    </row>
    <row r="26" spans="3:21" x14ac:dyDescent="0.2">
      <c r="C26" s="31"/>
      <c r="D26" s="26">
        <v>8</v>
      </c>
      <c r="E26" s="81">
        <v>47</v>
      </c>
      <c r="F26" s="93">
        <f t="shared" si="4"/>
        <v>780000</v>
      </c>
      <c r="G26" s="71"/>
      <c r="H26" s="78">
        <f t="shared" si="5"/>
        <v>5798883.1941870851</v>
      </c>
      <c r="I26" s="82">
        <v>1</v>
      </c>
      <c r="J26" s="82">
        <v>0.95</v>
      </c>
      <c r="K26" s="72">
        <f t="shared" si="6"/>
        <v>741000</v>
      </c>
      <c r="L26" s="72">
        <f>-R26*'mortality rates'!E52</f>
        <v>-69044.765628350709</v>
      </c>
      <c r="M26" s="80">
        <v>0</v>
      </c>
      <c r="N26" s="155">
        <f t="shared" si="7"/>
        <v>647083.84285587352</v>
      </c>
      <c r="O26" s="83">
        <f t="shared" si="1"/>
        <v>-355896.11357073043</v>
      </c>
      <c r="P26" s="80">
        <f t="shared" si="2"/>
        <v>6762026.1578438776</v>
      </c>
      <c r="Q26" s="71"/>
      <c r="R26" s="78">
        <f t="shared" si="8"/>
        <v>15071485.982874503</v>
      </c>
      <c r="S26" s="84">
        <f t="shared" si="3"/>
        <v>20870369.177061588</v>
      </c>
      <c r="T26" s="80">
        <f t="shared" si="9"/>
        <v>6762026.1578438776</v>
      </c>
      <c r="U26" s="34"/>
    </row>
    <row r="27" spans="3:21" x14ac:dyDescent="0.2">
      <c r="C27" s="31"/>
      <c r="D27" s="26">
        <v>9</v>
      </c>
      <c r="E27" s="81">
        <v>48</v>
      </c>
      <c r="F27" s="93">
        <f>F22</f>
        <v>780000</v>
      </c>
      <c r="G27" s="71"/>
      <c r="H27" s="78">
        <f t="shared" si="5"/>
        <v>6762026.1578438776</v>
      </c>
      <c r="I27" s="82">
        <v>1</v>
      </c>
      <c r="J27" s="82">
        <v>0.95</v>
      </c>
      <c r="K27" s="72">
        <f t="shared" si="6"/>
        <v>741000</v>
      </c>
      <c r="L27" s="72">
        <f>-R27*'mortality rates'!E53</f>
        <v>-71044.041670116523</v>
      </c>
      <c r="M27" s="80">
        <v>0</v>
      </c>
      <c r="N27" s="155">
        <f t="shared" si="7"/>
        <v>743198.21161737619</v>
      </c>
      <c r="O27" s="83">
        <f t="shared" si="1"/>
        <v>-408759.01638955693</v>
      </c>
      <c r="P27" s="80">
        <f t="shared" si="2"/>
        <v>7766421.3114015805</v>
      </c>
      <c r="Q27" s="71"/>
      <c r="R27" s="78">
        <f>$F$12</f>
        <v>15071485.982874503</v>
      </c>
      <c r="S27" s="84">
        <f t="shared" si="3"/>
        <v>21833512.140718382</v>
      </c>
      <c r="T27" s="80">
        <f>P27</f>
        <v>7766421.3114015805</v>
      </c>
      <c r="U27" s="34"/>
    </row>
    <row r="28" spans="3:21" ht="17" thickBot="1" x14ac:dyDescent="0.25">
      <c r="C28" s="31"/>
      <c r="D28" s="85">
        <f>+D27+1</f>
        <v>10</v>
      </c>
      <c r="E28" s="86">
        <v>49</v>
      </c>
      <c r="F28" s="94">
        <f t="shared" si="4"/>
        <v>780000</v>
      </c>
      <c r="G28" s="71"/>
      <c r="H28" s="87">
        <f t="shared" si="5"/>
        <v>7766421.3114015805</v>
      </c>
      <c r="I28" s="88">
        <v>1</v>
      </c>
      <c r="J28" s="88">
        <v>0.95</v>
      </c>
      <c r="K28" s="89">
        <f t="shared" si="6"/>
        <v>741000</v>
      </c>
      <c r="L28" s="89">
        <f>-R28*'mortality rates'!E54</f>
        <v>-78361.278940423043</v>
      </c>
      <c r="M28" s="91">
        <v>0</v>
      </c>
      <c r="N28" s="156">
        <f t="shared" si="7"/>
        <v>842906.00324611575</v>
      </c>
      <c r="O28" s="90">
        <f t="shared" si="1"/>
        <v>-463598.30178536364</v>
      </c>
      <c r="P28" s="91">
        <f>(SUM(K28:O28)+H28)*1.035</f>
        <v>9116660.6046091765</v>
      </c>
      <c r="Q28" s="71"/>
      <c r="R28" s="87">
        <f>$F$12</f>
        <v>15071485.982874503</v>
      </c>
      <c r="S28" s="92">
        <f t="shared" si="3"/>
        <v>22837907.294276085</v>
      </c>
      <c r="T28" s="91">
        <f>P28</f>
        <v>9116660.6046091765</v>
      </c>
      <c r="U28" s="34"/>
    </row>
    <row r="29" spans="3:21" ht="17" thickBot="1" x14ac:dyDescent="0.25">
      <c r="C29" s="31"/>
      <c r="D29" s="32"/>
      <c r="E29" s="32"/>
      <c r="F29" s="41"/>
      <c r="G29" s="32"/>
      <c r="H29" s="42"/>
      <c r="I29" s="40"/>
      <c r="J29" s="40"/>
      <c r="K29" s="42"/>
      <c r="L29" s="43"/>
      <c r="M29" s="32"/>
      <c r="N29" s="42"/>
      <c r="O29" s="43"/>
      <c r="P29" s="42"/>
      <c r="Q29" s="32"/>
      <c r="R29" s="42"/>
      <c r="S29" s="44"/>
      <c r="T29" s="33"/>
      <c r="U29" s="34"/>
    </row>
    <row r="30" spans="3:21" ht="17" thickBot="1" x14ac:dyDescent="0.25">
      <c r="C30" s="31"/>
      <c r="D30" s="54" t="s">
        <v>44</v>
      </c>
      <c r="E30" s="56"/>
      <c r="F30" s="70">
        <f>SUM(F19:F29)</f>
        <v>7800000</v>
      </c>
      <c r="G30" s="32"/>
      <c r="H30" s="32"/>
      <c r="I30" s="40"/>
      <c r="J30" s="40"/>
      <c r="K30" s="32"/>
      <c r="L30" s="32"/>
      <c r="M30" s="32"/>
      <c r="N30" s="67" t="s">
        <v>45</v>
      </c>
      <c r="O30" s="68"/>
      <c r="P30" s="69">
        <f>P28</f>
        <v>9116660.6046091765</v>
      </c>
      <c r="Q30" s="32"/>
      <c r="R30" s="32"/>
      <c r="S30" s="32"/>
      <c r="T30" s="33"/>
      <c r="U30" s="34"/>
    </row>
    <row r="31" spans="3:21" ht="17" thickBot="1" x14ac:dyDescent="0.25">
      <c r="C31" s="45"/>
      <c r="D31" s="46"/>
      <c r="E31" s="46"/>
      <c r="F31" s="47"/>
      <c r="G31" s="46"/>
      <c r="H31" s="46"/>
      <c r="I31" s="48"/>
      <c r="J31" s="48"/>
      <c r="K31" s="46"/>
      <c r="L31" s="46"/>
      <c r="M31" s="46"/>
      <c r="N31" s="46"/>
      <c r="O31" s="46"/>
      <c r="P31" s="49"/>
      <c r="Q31" s="46"/>
      <c r="R31" s="46"/>
      <c r="S31" s="46"/>
      <c r="T31" s="50"/>
      <c r="U31" s="51"/>
    </row>
    <row r="32" spans="3:21" x14ac:dyDescent="0.2">
      <c r="E32" s="52"/>
      <c r="H32" s="53"/>
      <c r="I32" s="53"/>
    </row>
    <row r="33" spans="5:19" x14ac:dyDescent="0.2">
      <c r="E33" s="52"/>
      <c r="H33" s="53"/>
      <c r="I33" s="53"/>
    </row>
    <row r="34" spans="5:19" x14ac:dyDescent="0.2">
      <c r="E34" s="52"/>
      <c r="H34" s="53"/>
      <c r="I34" s="53"/>
    </row>
    <row r="35" spans="5:19" x14ac:dyDescent="0.2">
      <c r="S35" s="29"/>
    </row>
    <row r="36" spans="5:19" x14ac:dyDescent="0.2">
      <c r="S36" s="29"/>
    </row>
    <row r="37" spans="5:19" x14ac:dyDescent="0.2">
      <c r="S37" s="29"/>
    </row>
    <row r="38" spans="5:19" x14ac:dyDescent="0.2">
      <c r="S38" s="29"/>
    </row>
    <row r="39" spans="5:19" x14ac:dyDescent="0.2">
      <c r="S39" s="29"/>
    </row>
    <row r="40" spans="5:19" x14ac:dyDescent="0.2">
      <c r="S40" s="29"/>
    </row>
    <row r="41" spans="5:19" x14ac:dyDescent="0.2">
      <c r="S41" s="29"/>
    </row>
    <row r="42" spans="5:19" x14ac:dyDescent="0.2">
      <c r="S42" s="29"/>
    </row>
    <row r="43" spans="5:19" x14ac:dyDescent="0.2">
      <c r="S43" s="29"/>
    </row>
    <row r="44" spans="5:19" x14ac:dyDescent="0.2">
      <c r="S44" s="29"/>
    </row>
    <row r="45" spans="5:19" x14ac:dyDescent="0.2">
      <c r="S45" s="29"/>
    </row>
    <row r="46" spans="5:19" x14ac:dyDescent="0.2">
      <c r="S46" s="29"/>
    </row>
    <row r="47" spans="5:19" x14ac:dyDescent="0.2">
      <c r="S47" s="29"/>
    </row>
    <row r="48" spans="5:19" x14ac:dyDescent="0.2">
      <c r="S48" s="29"/>
    </row>
    <row r="49" s="29" customFormat="1" x14ac:dyDescent="0.2"/>
    <row r="50" s="29" customFormat="1" x14ac:dyDescent="0.2"/>
    <row r="51" s="29" customFormat="1" x14ac:dyDescent="0.2"/>
    <row r="52" s="29" customFormat="1" x14ac:dyDescent="0.2"/>
    <row r="53" s="29" customFormat="1" x14ac:dyDescent="0.2"/>
    <row r="54" s="29" customFormat="1" x14ac:dyDescent="0.2"/>
    <row r="55" s="29" customFormat="1" x14ac:dyDescent="0.2"/>
    <row r="56" s="29" customFormat="1" x14ac:dyDescent="0.2"/>
    <row r="57" s="29" customFormat="1" x14ac:dyDescent="0.2"/>
  </sheetData>
  <mergeCells count="17">
    <mergeCell ref="F12:G12"/>
    <mergeCell ref="H16:P16"/>
    <mergeCell ref="H17:M17"/>
    <mergeCell ref="O17:P17"/>
    <mergeCell ref="D30:E30"/>
    <mergeCell ref="N30:O30"/>
    <mergeCell ref="F13:G13"/>
    <mergeCell ref="F10:G10"/>
    <mergeCell ref="J10:K10"/>
    <mergeCell ref="J11:K11"/>
    <mergeCell ref="F11:G11"/>
    <mergeCell ref="D11:E11"/>
    <mergeCell ref="D12:E12"/>
    <mergeCell ref="D13:E13"/>
    <mergeCell ref="C6:U7"/>
    <mergeCell ref="I9:J9"/>
    <mergeCell ref="D10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33DC-5714-B24F-B6F8-8C4A3DD98505}">
  <dimension ref="B4:E106"/>
  <sheetViews>
    <sheetView topLeftCell="A3" zoomScale="130" zoomScaleNormal="130" workbookViewId="0">
      <selection activeCell="A45" sqref="A45:XFD45"/>
    </sheetView>
  </sheetViews>
  <sheetFormatPr baseColWidth="10" defaultColWidth="29.33203125" defaultRowHeight="14" x14ac:dyDescent="0.2"/>
  <cols>
    <col min="1" max="4" width="29.33203125" style="14"/>
    <col min="5" max="5" width="29.33203125" style="18"/>
    <col min="6" max="16384" width="29.33203125" style="14"/>
  </cols>
  <sheetData>
    <row r="4" spans="2:5" ht="15" x14ac:dyDescent="0.2">
      <c r="B4" s="12" t="s">
        <v>37</v>
      </c>
      <c r="C4" s="12" t="s">
        <v>38</v>
      </c>
      <c r="D4" s="13" t="s">
        <v>39</v>
      </c>
      <c r="E4" s="17" t="s">
        <v>40</v>
      </c>
    </row>
    <row r="5" spans="2:5" x14ac:dyDescent="0.2">
      <c r="B5" s="15">
        <v>0</v>
      </c>
      <c r="C5" s="15">
        <v>74.14</v>
      </c>
      <c r="D5" s="14">
        <f>C5/(1+C6)</f>
        <v>0.99250334672021412</v>
      </c>
      <c r="E5" s="18">
        <f>1-D5</f>
        <v>7.4966532797858809E-3</v>
      </c>
    </row>
    <row r="6" spans="2:5" x14ac:dyDescent="0.2">
      <c r="B6" s="15">
        <v>1</v>
      </c>
      <c r="C6" s="15">
        <v>73.7</v>
      </c>
      <c r="D6" s="14">
        <f t="shared" ref="D6:D69" si="0">C6/(1+C7)</f>
        <v>0.99945755356658539</v>
      </c>
      <c r="E6" s="18">
        <f t="shared" ref="E6:E69" si="1">1-D6</f>
        <v>5.4244643341461174E-4</v>
      </c>
    </row>
    <row r="7" spans="2:5" x14ac:dyDescent="0.2">
      <c r="B7" s="15">
        <v>2</v>
      </c>
      <c r="C7" s="15">
        <v>72.739999999999995</v>
      </c>
      <c r="D7" s="14">
        <f t="shared" si="0"/>
        <v>0.99958774220145663</v>
      </c>
      <c r="E7" s="18">
        <f t="shared" si="1"/>
        <v>4.1225779854336952E-4</v>
      </c>
    </row>
    <row r="8" spans="2:5" x14ac:dyDescent="0.2">
      <c r="B8" s="15">
        <v>3</v>
      </c>
      <c r="C8" s="15">
        <v>71.77</v>
      </c>
      <c r="D8" s="14">
        <f t="shared" si="0"/>
        <v>0.99972140966708445</v>
      </c>
      <c r="E8" s="18">
        <f t="shared" si="1"/>
        <v>2.7859033291555146E-4</v>
      </c>
    </row>
    <row r="9" spans="2:5" x14ac:dyDescent="0.2">
      <c r="B9" s="15">
        <v>4</v>
      </c>
      <c r="C9" s="15">
        <v>70.790000000000006</v>
      </c>
      <c r="D9" s="14">
        <f t="shared" si="0"/>
        <v>0.99971755401779416</v>
      </c>
      <c r="E9" s="18">
        <f t="shared" si="1"/>
        <v>2.8244598220583672E-4</v>
      </c>
    </row>
    <row r="10" spans="2:5" x14ac:dyDescent="0.2">
      <c r="B10" s="15">
        <v>5</v>
      </c>
      <c r="C10" s="15">
        <v>69.81</v>
      </c>
      <c r="D10" s="14">
        <f t="shared" si="0"/>
        <v>0.99985677456316258</v>
      </c>
      <c r="E10" s="18">
        <f t="shared" si="1"/>
        <v>1.4322543683742417E-4</v>
      </c>
    </row>
    <row r="11" spans="2:5" x14ac:dyDescent="0.2">
      <c r="B11" s="15">
        <v>6</v>
      </c>
      <c r="C11" s="15">
        <v>68.819999999999993</v>
      </c>
      <c r="D11" s="14">
        <f t="shared" si="0"/>
        <v>0.99985471451401997</v>
      </c>
      <c r="E11" s="18">
        <f t="shared" si="1"/>
        <v>1.4528548598002899E-4</v>
      </c>
    </row>
    <row r="12" spans="2:5" x14ac:dyDescent="0.2">
      <c r="B12" s="15">
        <v>7</v>
      </c>
      <c r="C12" s="15">
        <v>67.83</v>
      </c>
      <c r="D12" s="14">
        <f t="shared" si="0"/>
        <v>0.99985259433962259</v>
      </c>
      <c r="E12" s="18">
        <f t="shared" si="1"/>
        <v>1.4740566037740876E-4</v>
      </c>
    </row>
    <row r="13" spans="2:5" x14ac:dyDescent="0.2">
      <c r="B13" s="15">
        <v>8</v>
      </c>
      <c r="C13" s="15">
        <v>66.84</v>
      </c>
      <c r="D13" s="14">
        <f t="shared" si="0"/>
        <v>0.99985041136873609</v>
      </c>
      <c r="E13" s="18">
        <f t="shared" si="1"/>
        <v>1.4958863126390831E-4</v>
      </c>
    </row>
    <row r="14" spans="2:5" x14ac:dyDescent="0.2">
      <c r="B14" s="15">
        <v>9</v>
      </c>
      <c r="C14" s="15">
        <v>65.849999999999994</v>
      </c>
      <c r="D14" s="14">
        <f t="shared" si="0"/>
        <v>0.99984816276951105</v>
      </c>
      <c r="E14" s="18">
        <f t="shared" si="1"/>
        <v>1.5183723048894926E-4</v>
      </c>
    </row>
    <row r="15" spans="2:5" x14ac:dyDescent="0.2">
      <c r="B15" s="15">
        <v>10</v>
      </c>
      <c r="C15" s="15">
        <v>64.86</v>
      </c>
      <c r="D15" s="14">
        <f t="shared" si="0"/>
        <v>0.99984584553722822</v>
      </c>
      <c r="E15" s="18">
        <f t="shared" si="1"/>
        <v>1.541544627717828E-4</v>
      </c>
    </row>
    <row r="16" spans="2:5" x14ac:dyDescent="0.2">
      <c r="B16" s="15">
        <v>11</v>
      </c>
      <c r="C16" s="15">
        <v>63.87</v>
      </c>
      <c r="D16" s="14">
        <f t="shared" si="0"/>
        <v>0.99984345648090156</v>
      </c>
      <c r="E16" s="18">
        <f t="shared" si="1"/>
        <v>1.5654351909843989E-4</v>
      </c>
    </row>
    <row r="17" spans="2:5" x14ac:dyDescent="0.2">
      <c r="B17" s="15">
        <v>12</v>
      </c>
      <c r="C17" s="15">
        <v>62.88</v>
      </c>
      <c r="D17" s="14">
        <f t="shared" si="0"/>
        <v>0.99984099220861822</v>
      </c>
      <c r="E17" s="18">
        <f t="shared" si="1"/>
        <v>1.5900779138178223E-4</v>
      </c>
    </row>
    <row r="18" spans="2:5" x14ac:dyDescent="0.2">
      <c r="B18" s="15">
        <v>13</v>
      </c>
      <c r="C18" s="15">
        <v>61.89</v>
      </c>
      <c r="D18" s="14">
        <f t="shared" si="0"/>
        <v>0.99967695041188831</v>
      </c>
      <c r="E18" s="18">
        <f t="shared" si="1"/>
        <v>3.2304958811169016E-4</v>
      </c>
    </row>
    <row r="19" spans="2:5" x14ac:dyDescent="0.2">
      <c r="B19" s="15">
        <v>14</v>
      </c>
      <c r="C19" s="15">
        <v>60.91</v>
      </c>
      <c r="D19" s="14">
        <f t="shared" si="0"/>
        <v>0.99967175447234524</v>
      </c>
      <c r="E19" s="18">
        <f t="shared" si="1"/>
        <v>3.2824552765475801E-4</v>
      </c>
    </row>
    <row r="20" spans="2:5" x14ac:dyDescent="0.2">
      <c r="B20" s="15">
        <v>15</v>
      </c>
      <c r="C20" s="15">
        <v>59.93</v>
      </c>
      <c r="D20" s="14">
        <f t="shared" si="0"/>
        <v>0.99933299983324997</v>
      </c>
      <c r="E20" s="18">
        <f t="shared" si="1"/>
        <v>6.6700016675003138E-4</v>
      </c>
    </row>
    <row r="21" spans="2:5" x14ac:dyDescent="0.2">
      <c r="B21" s="15">
        <v>16</v>
      </c>
      <c r="C21" s="15">
        <v>58.97</v>
      </c>
      <c r="D21" s="14">
        <f t="shared" si="0"/>
        <v>0.99915282954930529</v>
      </c>
      <c r="E21" s="18">
        <f t="shared" si="1"/>
        <v>8.4717045069471197E-4</v>
      </c>
    </row>
    <row r="22" spans="2:5" x14ac:dyDescent="0.2">
      <c r="B22" s="15">
        <v>17</v>
      </c>
      <c r="C22" s="15">
        <v>58.02</v>
      </c>
      <c r="D22" s="14">
        <f t="shared" si="0"/>
        <v>0.99913897020836928</v>
      </c>
      <c r="E22" s="18">
        <f t="shared" si="1"/>
        <v>8.6102979163071858E-4</v>
      </c>
    </row>
    <row r="23" spans="2:5" x14ac:dyDescent="0.2">
      <c r="B23" s="15">
        <v>18</v>
      </c>
      <c r="C23" s="15">
        <v>57.07</v>
      </c>
      <c r="D23" s="14">
        <f t="shared" si="0"/>
        <v>0.99877493874693735</v>
      </c>
      <c r="E23" s="18">
        <f t="shared" si="1"/>
        <v>1.2250612530626537E-3</v>
      </c>
    </row>
    <row r="24" spans="2:5" x14ac:dyDescent="0.2">
      <c r="B24" s="15">
        <v>19</v>
      </c>
      <c r="C24" s="15">
        <v>56.14</v>
      </c>
      <c r="D24" s="14">
        <f t="shared" si="0"/>
        <v>0.998932384341637</v>
      </c>
      <c r="E24" s="18">
        <f t="shared" si="1"/>
        <v>1.067615658362997E-3</v>
      </c>
    </row>
    <row r="25" spans="2:5" x14ac:dyDescent="0.2">
      <c r="B25" s="15">
        <v>20</v>
      </c>
      <c r="C25" s="15">
        <v>55.2</v>
      </c>
      <c r="D25" s="14">
        <f t="shared" si="0"/>
        <v>0.99873349013931612</v>
      </c>
      <c r="E25" s="18">
        <f t="shared" si="1"/>
        <v>1.2665098606838843E-3</v>
      </c>
    </row>
    <row r="26" spans="2:5" x14ac:dyDescent="0.2">
      <c r="B26" s="15">
        <v>21</v>
      </c>
      <c r="C26" s="15">
        <v>54.27</v>
      </c>
      <c r="D26" s="14">
        <f t="shared" si="0"/>
        <v>0.99852805887764495</v>
      </c>
      <c r="E26" s="18">
        <f t="shared" si="1"/>
        <v>1.4719411223550471E-3</v>
      </c>
    </row>
    <row r="27" spans="2:5" x14ac:dyDescent="0.2">
      <c r="B27" s="15">
        <v>22</v>
      </c>
      <c r="C27" s="15">
        <v>53.35</v>
      </c>
      <c r="D27" s="14">
        <f t="shared" si="0"/>
        <v>0.99868962935230254</v>
      </c>
      <c r="E27" s="18">
        <f t="shared" si="1"/>
        <v>1.3103706476974564E-3</v>
      </c>
    </row>
    <row r="28" spans="2:5" x14ac:dyDescent="0.2">
      <c r="B28" s="15">
        <v>23</v>
      </c>
      <c r="C28" s="15">
        <v>52.42</v>
      </c>
      <c r="D28" s="14">
        <f t="shared" si="0"/>
        <v>0.99847619047619052</v>
      </c>
      <c r="E28" s="18">
        <f t="shared" si="1"/>
        <v>1.5238095238094829E-3</v>
      </c>
    </row>
    <row r="29" spans="2:5" x14ac:dyDescent="0.2">
      <c r="B29" s="15">
        <v>24</v>
      </c>
      <c r="C29" s="15">
        <v>51.5</v>
      </c>
      <c r="D29" s="14">
        <f t="shared" si="0"/>
        <v>0.99864262167927087</v>
      </c>
      <c r="E29" s="18">
        <f t="shared" si="1"/>
        <v>1.3573783207291301E-3</v>
      </c>
    </row>
    <row r="30" spans="2:5" x14ac:dyDescent="0.2">
      <c r="B30" s="15">
        <v>25</v>
      </c>
      <c r="C30" s="15">
        <v>50.57</v>
      </c>
      <c r="D30" s="14">
        <f t="shared" si="0"/>
        <v>0.99861769352290675</v>
      </c>
      <c r="E30" s="18">
        <f t="shared" si="1"/>
        <v>1.3823064770932536E-3</v>
      </c>
    </row>
    <row r="31" spans="2:5" x14ac:dyDescent="0.2">
      <c r="B31" s="15">
        <v>26</v>
      </c>
      <c r="C31" s="15">
        <v>49.64</v>
      </c>
      <c r="D31" s="14">
        <f t="shared" si="0"/>
        <v>0.99859183262924966</v>
      </c>
      <c r="E31" s="18">
        <f t="shared" si="1"/>
        <v>1.408167370750335E-3</v>
      </c>
    </row>
    <row r="32" spans="2:5" x14ac:dyDescent="0.2">
      <c r="B32" s="15">
        <v>27</v>
      </c>
      <c r="C32" s="15">
        <v>48.71</v>
      </c>
      <c r="D32" s="14">
        <f t="shared" si="0"/>
        <v>0.99876973549313097</v>
      </c>
      <c r="E32" s="18">
        <f t="shared" si="1"/>
        <v>1.2302645068690277E-3</v>
      </c>
    </row>
    <row r="33" spans="2:5" x14ac:dyDescent="0.2">
      <c r="B33" s="15">
        <v>28</v>
      </c>
      <c r="C33" s="15">
        <v>47.77</v>
      </c>
      <c r="D33" s="14">
        <f t="shared" si="0"/>
        <v>0.99853678929765888</v>
      </c>
      <c r="E33" s="18">
        <f t="shared" si="1"/>
        <v>1.4632107023411223E-3</v>
      </c>
    </row>
    <row r="34" spans="2:5" x14ac:dyDescent="0.2">
      <c r="B34" s="15">
        <v>29</v>
      </c>
      <c r="C34" s="15">
        <v>46.84</v>
      </c>
      <c r="D34" s="14">
        <f t="shared" si="0"/>
        <v>0.998720682302772</v>
      </c>
      <c r="E34" s="18">
        <f t="shared" si="1"/>
        <v>1.2793176972279996E-3</v>
      </c>
    </row>
    <row r="35" spans="2:5" x14ac:dyDescent="0.2">
      <c r="B35" s="15">
        <v>30</v>
      </c>
      <c r="C35" s="15">
        <v>45.9</v>
      </c>
      <c r="D35" s="14">
        <f t="shared" si="0"/>
        <v>0.99869451697127931</v>
      </c>
      <c r="E35" s="18">
        <f t="shared" si="1"/>
        <v>1.3054830287206887E-3</v>
      </c>
    </row>
    <row r="36" spans="2:5" x14ac:dyDescent="0.2">
      <c r="B36" s="15">
        <v>31</v>
      </c>
      <c r="C36" s="15">
        <v>44.96</v>
      </c>
      <c r="D36" s="14">
        <f t="shared" si="0"/>
        <v>0.99844548079058404</v>
      </c>
      <c r="E36" s="18">
        <f t="shared" si="1"/>
        <v>1.554519209415961E-3</v>
      </c>
    </row>
    <row r="37" spans="2:5" x14ac:dyDescent="0.2">
      <c r="B37" s="15">
        <v>32</v>
      </c>
      <c r="C37" s="15">
        <v>44.03</v>
      </c>
      <c r="D37" s="14">
        <f t="shared" si="0"/>
        <v>0.99863914719891123</v>
      </c>
      <c r="E37" s="18">
        <f t="shared" si="1"/>
        <v>1.3608528010887744E-3</v>
      </c>
    </row>
    <row r="38" spans="2:5" x14ac:dyDescent="0.2">
      <c r="B38" s="15">
        <v>33</v>
      </c>
      <c r="C38" s="15">
        <v>43.09</v>
      </c>
      <c r="D38" s="14">
        <f t="shared" si="0"/>
        <v>0.9983781278962004</v>
      </c>
      <c r="E38" s="18">
        <f t="shared" si="1"/>
        <v>1.6218721037996042E-3</v>
      </c>
    </row>
    <row r="39" spans="2:5" x14ac:dyDescent="0.2">
      <c r="B39" s="15">
        <v>34</v>
      </c>
      <c r="C39" s="15">
        <v>42.16</v>
      </c>
      <c r="D39" s="14">
        <f t="shared" si="0"/>
        <v>0.9983424106085721</v>
      </c>
      <c r="E39" s="18">
        <f t="shared" si="1"/>
        <v>1.657589391427905E-3</v>
      </c>
    </row>
    <row r="40" spans="2:5" x14ac:dyDescent="0.2">
      <c r="B40" s="15">
        <v>35</v>
      </c>
      <c r="C40" s="15">
        <v>41.23</v>
      </c>
      <c r="D40" s="14">
        <f t="shared" si="0"/>
        <v>0.99830508474576274</v>
      </c>
      <c r="E40" s="18">
        <f t="shared" si="1"/>
        <v>1.6949152542372614E-3</v>
      </c>
    </row>
    <row r="41" spans="2:5" x14ac:dyDescent="0.2">
      <c r="B41" s="15">
        <v>36</v>
      </c>
      <c r="C41" s="15">
        <v>40.299999999999997</v>
      </c>
      <c r="D41" s="14">
        <f t="shared" si="0"/>
        <v>0.99801882119861307</v>
      </c>
      <c r="E41" s="18">
        <f t="shared" si="1"/>
        <v>1.9811788013869291E-3</v>
      </c>
    </row>
    <row r="42" spans="2:5" x14ac:dyDescent="0.2">
      <c r="B42" s="15">
        <v>37</v>
      </c>
      <c r="C42" s="15">
        <v>39.380000000000003</v>
      </c>
      <c r="D42" s="14">
        <f t="shared" si="0"/>
        <v>0.99797263051191087</v>
      </c>
      <c r="E42" s="18">
        <f t="shared" si="1"/>
        <v>2.0273694880891258E-3</v>
      </c>
    </row>
    <row r="43" spans="2:5" x14ac:dyDescent="0.2">
      <c r="B43" s="15">
        <v>38</v>
      </c>
      <c r="C43" s="15">
        <v>38.46</v>
      </c>
      <c r="D43" s="14">
        <f t="shared" si="0"/>
        <v>0.99766536964980557</v>
      </c>
      <c r="E43" s="18">
        <f t="shared" si="1"/>
        <v>2.3346303501944332E-3</v>
      </c>
    </row>
    <row r="44" spans="2:5" x14ac:dyDescent="0.2">
      <c r="B44" s="15">
        <v>39</v>
      </c>
      <c r="C44" s="15">
        <v>37.549999999999997</v>
      </c>
      <c r="D44" s="14">
        <f t="shared" si="0"/>
        <v>0.99760892667375123</v>
      </c>
      <c r="E44" s="18">
        <f t="shared" si="1"/>
        <v>2.3910733262487716E-3</v>
      </c>
    </row>
    <row r="45" spans="2:5" x14ac:dyDescent="0.2">
      <c r="B45" s="15">
        <v>40</v>
      </c>
      <c r="C45" s="15">
        <v>36.64</v>
      </c>
      <c r="D45" s="14">
        <f t="shared" si="0"/>
        <v>0.9975496869044379</v>
      </c>
      <c r="E45" s="18">
        <f t="shared" si="1"/>
        <v>2.4503130955620955E-3</v>
      </c>
    </row>
    <row r="46" spans="2:5" x14ac:dyDescent="0.2">
      <c r="B46" s="15">
        <v>41</v>
      </c>
      <c r="C46" s="15">
        <v>35.729999999999997</v>
      </c>
      <c r="D46" s="14">
        <f t="shared" si="0"/>
        <v>0.99720904270164668</v>
      </c>
      <c r="E46" s="18">
        <f t="shared" si="1"/>
        <v>2.7909572983533248E-3</v>
      </c>
    </row>
    <row r="47" spans="2:5" x14ac:dyDescent="0.2">
      <c r="B47" s="15">
        <v>42</v>
      </c>
      <c r="C47" s="15">
        <v>34.83</v>
      </c>
      <c r="D47" s="14">
        <f t="shared" si="0"/>
        <v>0.99685174585002867</v>
      </c>
      <c r="E47" s="18">
        <f t="shared" si="1"/>
        <v>3.1482541499713301E-3</v>
      </c>
    </row>
    <row r="48" spans="2:5" x14ac:dyDescent="0.2">
      <c r="B48" s="15">
        <v>43</v>
      </c>
      <c r="C48" s="15">
        <v>33.94</v>
      </c>
      <c r="D48" s="14">
        <f t="shared" si="0"/>
        <v>0.99676945668135097</v>
      </c>
      <c r="E48" s="18">
        <f t="shared" si="1"/>
        <v>3.2305433186490262E-3</v>
      </c>
    </row>
    <row r="49" spans="2:5" x14ac:dyDescent="0.2">
      <c r="B49" s="15">
        <v>44</v>
      </c>
      <c r="C49" s="15">
        <v>33.049999999999997</v>
      </c>
      <c r="D49" s="14">
        <f t="shared" si="0"/>
        <v>0.99668275030156817</v>
      </c>
      <c r="E49" s="18">
        <f t="shared" si="1"/>
        <v>3.3172496984318345E-3</v>
      </c>
    </row>
    <row r="50" spans="2:5" x14ac:dyDescent="0.2">
      <c r="B50" s="15">
        <v>45</v>
      </c>
      <c r="C50" s="15">
        <v>32.159999999999997</v>
      </c>
      <c r="D50" s="14">
        <f t="shared" si="0"/>
        <v>0.99597398575410334</v>
      </c>
      <c r="E50" s="18">
        <f t="shared" si="1"/>
        <v>4.0260142458966586E-3</v>
      </c>
    </row>
    <row r="51" spans="2:5" x14ac:dyDescent="0.2">
      <c r="B51" s="15">
        <v>46</v>
      </c>
      <c r="C51" s="15">
        <v>31.29</v>
      </c>
      <c r="D51" s="14">
        <f t="shared" si="0"/>
        <v>0.99586250795671538</v>
      </c>
      <c r="E51" s="18">
        <f t="shared" si="1"/>
        <v>4.1374920432846185E-3</v>
      </c>
    </row>
    <row r="52" spans="2:5" x14ac:dyDescent="0.2">
      <c r="B52" s="15">
        <v>47</v>
      </c>
      <c r="C52" s="15">
        <v>30.42</v>
      </c>
      <c r="D52" s="14">
        <f t="shared" si="0"/>
        <v>0.99541884816753934</v>
      </c>
      <c r="E52" s="18">
        <f t="shared" si="1"/>
        <v>4.5811518324606615E-3</v>
      </c>
    </row>
    <row r="53" spans="2:5" x14ac:dyDescent="0.2">
      <c r="B53" s="15">
        <v>48</v>
      </c>
      <c r="C53" s="15">
        <v>29.56</v>
      </c>
      <c r="D53" s="14">
        <f t="shared" si="0"/>
        <v>0.99528619528619522</v>
      </c>
      <c r="E53" s="18">
        <f t="shared" si="1"/>
        <v>4.7138047138047812E-3</v>
      </c>
    </row>
    <row r="54" spans="2:5" x14ac:dyDescent="0.2">
      <c r="B54" s="15">
        <v>49</v>
      </c>
      <c r="C54" s="15">
        <v>28.7</v>
      </c>
      <c r="D54" s="14">
        <f t="shared" si="0"/>
        <v>0.99480069324090115</v>
      </c>
      <c r="E54" s="18">
        <f t="shared" si="1"/>
        <v>5.199306759098854E-3</v>
      </c>
    </row>
    <row r="55" spans="2:5" x14ac:dyDescent="0.2">
      <c r="B55" s="15">
        <v>50</v>
      </c>
      <c r="C55" s="15">
        <v>27.85</v>
      </c>
      <c r="D55" s="14">
        <f t="shared" si="0"/>
        <v>0.99464285714285716</v>
      </c>
      <c r="E55" s="18">
        <f t="shared" si="1"/>
        <v>5.3571428571428381E-3</v>
      </c>
    </row>
    <row r="56" spans="2:5" x14ac:dyDescent="0.2">
      <c r="B56" s="15">
        <v>51</v>
      </c>
      <c r="C56" s="16">
        <v>27</v>
      </c>
      <c r="D56" s="14">
        <f t="shared" si="0"/>
        <v>0.99410898379970547</v>
      </c>
      <c r="E56" s="18">
        <f t="shared" si="1"/>
        <v>5.8910162002945299E-3</v>
      </c>
    </row>
    <row r="57" spans="2:5" x14ac:dyDescent="0.2">
      <c r="B57" s="15">
        <v>52</v>
      </c>
      <c r="C57" s="15">
        <v>26.16</v>
      </c>
      <c r="D57" s="14">
        <f t="shared" si="0"/>
        <v>0.99392097264437684</v>
      </c>
      <c r="E57" s="18">
        <f t="shared" si="1"/>
        <v>6.0790273556231567E-3</v>
      </c>
    </row>
    <row r="58" spans="2:5" x14ac:dyDescent="0.2">
      <c r="B58" s="15">
        <v>53</v>
      </c>
      <c r="C58" s="15">
        <v>25.32</v>
      </c>
      <c r="D58" s="14">
        <f t="shared" si="0"/>
        <v>0.99294117647058822</v>
      </c>
      <c r="E58" s="18">
        <f t="shared" si="1"/>
        <v>7.058823529411784E-3</v>
      </c>
    </row>
    <row r="59" spans="2:5" x14ac:dyDescent="0.2">
      <c r="B59" s="15">
        <v>54</v>
      </c>
      <c r="C59" s="15">
        <v>24.5</v>
      </c>
      <c r="D59" s="14">
        <f t="shared" si="0"/>
        <v>0.99270664505672612</v>
      </c>
      <c r="E59" s="18">
        <f t="shared" si="1"/>
        <v>7.2933549432738776E-3</v>
      </c>
    </row>
    <row r="60" spans="2:5" x14ac:dyDescent="0.2">
      <c r="B60" s="15">
        <v>55</v>
      </c>
      <c r="C60" s="15">
        <v>23.68</v>
      </c>
      <c r="D60" s="14">
        <f t="shared" si="0"/>
        <v>0.9924559932942163</v>
      </c>
      <c r="E60" s="18">
        <f t="shared" si="1"/>
        <v>7.5440067057837012E-3</v>
      </c>
    </row>
    <row r="61" spans="2:5" x14ac:dyDescent="0.2">
      <c r="B61" s="15">
        <v>56</v>
      </c>
      <c r="C61" s="15">
        <v>22.86</v>
      </c>
      <c r="D61" s="14">
        <f t="shared" si="0"/>
        <v>0.99132697311361673</v>
      </c>
      <c r="E61" s="18">
        <f t="shared" si="1"/>
        <v>8.6730268863832727E-3</v>
      </c>
    </row>
    <row r="62" spans="2:5" x14ac:dyDescent="0.2">
      <c r="B62" s="15">
        <v>57</v>
      </c>
      <c r="C62" s="15">
        <v>22.06</v>
      </c>
      <c r="D62" s="14">
        <f t="shared" si="0"/>
        <v>0.99057027391109109</v>
      </c>
      <c r="E62" s="18">
        <f t="shared" si="1"/>
        <v>9.4297260889089074E-3</v>
      </c>
    </row>
    <row r="63" spans="2:5" x14ac:dyDescent="0.2">
      <c r="B63" s="15">
        <v>58</v>
      </c>
      <c r="C63" s="15">
        <v>21.27</v>
      </c>
      <c r="D63" s="14">
        <f t="shared" si="0"/>
        <v>0.98976268031642634</v>
      </c>
      <c r="E63" s="18">
        <f t="shared" si="1"/>
        <v>1.0237319683573665E-2</v>
      </c>
    </row>
    <row r="64" spans="2:5" x14ac:dyDescent="0.2">
      <c r="B64" s="15">
        <v>59</v>
      </c>
      <c r="C64" s="15">
        <v>20.49</v>
      </c>
      <c r="D64" s="14">
        <f t="shared" si="0"/>
        <v>0.98889961389961389</v>
      </c>
      <c r="E64" s="18">
        <f t="shared" si="1"/>
        <v>1.1100386100386106E-2</v>
      </c>
    </row>
    <row r="65" spans="2:5" x14ac:dyDescent="0.2">
      <c r="B65" s="15">
        <v>60</v>
      </c>
      <c r="C65" s="15">
        <v>19.72</v>
      </c>
      <c r="D65" s="14">
        <f t="shared" si="0"/>
        <v>0.98797595190380749</v>
      </c>
      <c r="E65" s="18">
        <f t="shared" si="1"/>
        <v>1.2024048096192508E-2</v>
      </c>
    </row>
    <row r="66" spans="2:5" x14ac:dyDescent="0.2">
      <c r="B66" s="15">
        <v>61</v>
      </c>
      <c r="C66" s="15">
        <v>18.96</v>
      </c>
      <c r="D66" s="14">
        <f t="shared" si="0"/>
        <v>0.98698594482040602</v>
      </c>
      <c r="E66" s="18">
        <f t="shared" si="1"/>
        <v>1.3014055179593975E-2</v>
      </c>
    </row>
    <row r="67" spans="2:5" x14ac:dyDescent="0.2">
      <c r="B67" s="15">
        <v>62</v>
      </c>
      <c r="C67" s="15">
        <v>18.21</v>
      </c>
      <c r="D67" s="14">
        <f t="shared" si="0"/>
        <v>0.98538961038961037</v>
      </c>
      <c r="E67" s="18">
        <f t="shared" si="1"/>
        <v>1.4610389610389629E-2</v>
      </c>
    </row>
    <row r="68" spans="2:5" x14ac:dyDescent="0.2">
      <c r="B68" s="15">
        <v>63</v>
      </c>
      <c r="C68" s="15">
        <v>17.48</v>
      </c>
      <c r="D68" s="14">
        <f t="shared" si="0"/>
        <v>0.98423423423423417</v>
      </c>
      <c r="E68" s="18">
        <f t="shared" si="1"/>
        <v>1.5765765765765827E-2</v>
      </c>
    </row>
    <row r="69" spans="2:5" x14ac:dyDescent="0.2">
      <c r="B69" s="15">
        <v>64</v>
      </c>
      <c r="C69" s="15">
        <v>16.760000000000002</v>
      </c>
      <c r="D69" s="14">
        <f t="shared" si="0"/>
        <v>0.98299120234604109</v>
      </c>
      <c r="E69" s="18">
        <f t="shared" si="1"/>
        <v>1.7008797653958907E-2</v>
      </c>
    </row>
    <row r="70" spans="2:5" x14ac:dyDescent="0.2">
      <c r="B70" s="15">
        <v>65</v>
      </c>
      <c r="C70" s="15">
        <v>16.05</v>
      </c>
      <c r="D70" s="14">
        <f t="shared" ref="D70:D106" si="2">C70/(1+C71)</f>
        <v>0.98105134474327638</v>
      </c>
      <c r="E70" s="18">
        <f t="shared" ref="E70:E106" si="3">1-D70</f>
        <v>1.8948655256723623E-2</v>
      </c>
    </row>
    <row r="71" spans="2:5" x14ac:dyDescent="0.2">
      <c r="B71" s="15">
        <v>66</v>
      </c>
      <c r="C71" s="15">
        <v>15.36</v>
      </c>
      <c r="D71" s="14">
        <f t="shared" si="2"/>
        <v>0.97959183673469385</v>
      </c>
      <c r="E71" s="18">
        <f t="shared" si="3"/>
        <v>2.0408163265306145E-2</v>
      </c>
    </row>
    <row r="72" spans="2:5" x14ac:dyDescent="0.2">
      <c r="B72" s="15">
        <v>67</v>
      </c>
      <c r="C72" s="15">
        <v>14.68</v>
      </c>
      <c r="D72" s="14">
        <f t="shared" si="2"/>
        <v>0.9773635153129161</v>
      </c>
      <c r="E72" s="18">
        <f t="shared" si="3"/>
        <v>2.2636484687083902E-2</v>
      </c>
    </row>
    <row r="73" spans="2:5" x14ac:dyDescent="0.2">
      <c r="B73" s="15">
        <v>68</v>
      </c>
      <c r="C73" s="15">
        <v>14.02</v>
      </c>
      <c r="D73" s="14">
        <f t="shared" si="2"/>
        <v>0.97496522948539632</v>
      </c>
      <c r="E73" s="18">
        <f t="shared" si="3"/>
        <v>2.5034770514603677E-2</v>
      </c>
    </row>
    <row r="74" spans="2:5" x14ac:dyDescent="0.2">
      <c r="B74" s="15">
        <v>69</v>
      </c>
      <c r="C74" s="15">
        <v>13.38</v>
      </c>
      <c r="D74" s="14">
        <f t="shared" si="2"/>
        <v>0.97309090909090912</v>
      </c>
      <c r="E74" s="18">
        <f t="shared" si="3"/>
        <v>2.6909090909090883E-2</v>
      </c>
    </row>
    <row r="75" spans="2:5" x14ac:dyDescent="0.2">
      <c r="B75" s="15">
        <v>70</v>
      </c>
      <c r="C75" s="15">
        <v>12.75</v>
      </c>
      <c r="D75" s="14">
        <f t="shared" si="2"/>
        <v>0.971058644325971</v>
      </c>
      <c r="E75" s="18">
        <f t="shared" si="3"/>
        <v>2.8941355674029001E-2</v>
      </c>
    </row>
    <row r="76" spans="2:5" x14ac:dyDescent="0.2">
      <c r="B76" s="15">
        <v>71</v>
      </c>
      <c r="C76" s="15">
        <v>12.13</v>
      </c>
      <c r="D76" s="14">
        <f t="shared" si="2"/>
        <v>0.96807661612130902</v>
      </c>
      <c r="E76" s="18">
        <f t="shared" si="3"/>
        <v>3.1923383878690981E-2</v>
      </c>
    </row>
    <row r="77" spans="2:5" x14ac:dyDescent="0.2">
      <c r="B77" s="15">
        <v>72</v>
      </c>
      <c r="C77" s="15">
        <v>11.53</v>
      </c>
      <c r="D77" s="14">
        <f t="shared" si="2"/>
        <v>0.96485355648535565</v>
      </c>
      <c r="E77" s="18">
        <f t="shared" si="3"/>
        <v>3.5146443514644354E-2</v>
      </c>
    </row>
    <row r="78" spans="2:5" x14ac:dyDescent="0.2">
      <c r="B78" s="15">
        <v>73</v>
      </c>
      <c r="C78" s="15">
        <v>10.95</v>
      </c>
      <c r="D78" s="14">
        <f t="shared" si="2"/>
        <v>0.96221441124780305</v>
      </c>
      <c r="E78" s="18">
        <f t="shared" si="3"/>
        <v>3.7785588752196952E-2</v>
      </c>
    </row>
    <row r="79" spans="2:5" x14ac:dyDescent="0.2">
      <c r="B79" s="15">
        <v>74</v>
      </c>
      <c r="C79" s="15">
        <v>10.38</v>
      </c>
      <c r="D79" s="14">
        <f t="shared" si="2"/>
        <v>0.95844875346260394</v>
      </c>
      <c r="E79" s="18">
        <f t="shared" si="3"/>
        <v>4.1551246537396058E-2</v>
      </c>
    </row>
    <row r="80" spans="2:5" x14ac:dyDescent="0.2">
      <c r="B80" s="15">
        <v>75</v>
      </c>
      <c r="C80" s="15">
        <v>9.83</v>
      </c>
      <c r="D80" s="14">
        <f t="shared" si="2"/>
        <v>0.95529640427599616</v>
      </c>
      <c r="E80" s="18">
        <f t="shared" si="3"/>
        <v>4.4703595724003842E-2</v>
      </c>
    </row>
    <row r="81" spans="2:5" x14ac:dyDescent="0.2">
      <c r="B81" s="15">
        <v>76</v>
      </c>
      <c r="C81" s="15">
        <v>9.2899999999999991</v>
      </c>
      <c r="D81" s="14">
        <f t="shared" si="2"/>
        <v>0.95087001023541451</v>
      </c>
      <c r="E81" s="18">
        <f t="shared" si="3"/>
        <v>4.9129989764585491E-2</v>
      </c>
    </row>
    <row r="82" spans="2:5" x14ac:dyDescent="0.2">
      <c r="B82" s="15">
        <v>77</v>
      </c>
      <c r="C82" s="15">
        <v>8.77</v>
      </c>
      <c r="D82" s="14">
        <f t="shared" si="2"/>
        <v>0.94606256742179073</v>
      </c>
      <c r="E82" s="18">
        <f t="shared" si="3"/>
        <v>5.3937432578209266E-2</v>
      </c>
    </row>
    <row r="83" spans="2:5" x14ac:dyDescent="0.2">
      <c r="B83" s="15">
        <v>78</v>
      </c>
      <c r="C83" s="15">
        <v>8.27</v>
      </c>
      <c r="D83" s="14">
        <f t="shared" si="2"/>
        <v>0.94191343963553509</v>
      </c>
      <c r="E83" s="18">
        <f t="shared" si="3"/>
        <v>5.8086560364464912E-2</v>
      </c>
    </row>
    <row r="84" spans="2:5" x14ac:dyDescent="0.2">
      <c r="B84" s="15">
        <v>79</v>
      </c>
      <c r="C84" s="15">
        <v>7.78</v>
      </c>
      <c r="D84" s="14">
        <f t="shared" si="2"/>
        <v>0.93622141997593278</v>
      </c>
      <c r="E84" s="18">
        <f t="shared" si="3"/>
        <v>6.3778580024067222E-2</v>
      </c>
    </row>
    <row r="85" spans="2:5" x14ac:dyDescent="0.2">
      <c r="B85" s="15">
        <v>80</v>
      </c>
      <c r="C85" s="15">
        <v>7.31</v>
      </c>
      <c r="D85" s="14">
        <f t="shared" si="2"/>
        <v>0.93121019108280256</v>
      </c>
      <c r="E85" s="18">
        <f t="shared" si="3"/>
        <v>6.8789808917197437E-2</v>
      </c>
    </row>
    <row r="86" spans="2:5" x14ac:dyDescent="0.2">
      <c r="B86" s="15">
        <v>81</v>
      </c>
      <c r="C86" s="15">
        <v>6.85</v>
      </c>
      <c r="D86" s="14">
        <f t="shared" si="2"/>
        <v>0.92318059299191368</v>
      </c>
      <c r="E86" s="18">
        <f t="shared" si="3"/>
        <v>7.6819407008086316E-2</v>
      </c>
    </row>
    <row r="87" spans="2:5" x14ac:dyDescent="0.2">
      <c r="B87" s="15">
        <v>82</v>
      </c>
      <c r="C87" s="15">
        <v>6.42</v>
      </c>
      <c r="D87" s="14">
        <f t="shared" si="2"/>
        <v>0.91714285714285715</v>
      </c>
      <c r="E87" s="18">
        <f t="shared" si="3"/>
        <v>8.2857142857142851E-2</v>
      </c>
    </row>
    <row r="88" spans="2:5" x14ac:dyDescent="0.2">
      <c r="B88" s="15">
        <v>83</v>
      </c>
      <c r="C88" s="16">
        <v>6</v>
      </c>
      <c r="D88" s="14">
        <f t="shared" si="2"/>
        <v>0.90771558245083206</v>
      </c>
      <c r="E88" s="18">
        <f t="shared" si="3"/>
        <v>9.2284417549167941E-2</v>
      </c>
    </row>
    <row r="89" spans="2:5" x14ac:dyDescent="0.2">
      <c r="B89" s="15">
        <v>84</v>
      </c>
      <c r="C89" s="15">
        <v>5.61</v>
      </c>
      <c r="D89" s="14">
        <f t="shared" si="2"/>
        <v>0.89903846153846156</v>
      </c>
      <c r="E89" s="18">
        <f t="shared" si="3"/>
        <v>0.10096153846153844</v>
      </c>
    </row>
    <row r="90" spans="2:5" x14ac:dyDescent="0.2">
      <c r="B90" s="15">
        <v>85</v>
      </c>
      <c r="C90" s="15">
        <v>5.24</v>
      </c>
      <c r="D90" s="14">
        <f t="shared" si="2"/>
        <v>0.88964346349745338</v>
      </c>
      <c r="E90" s="18">
        <f t="shared" si="3"/>
        <v>0.11035653650254662</v>
      </c>
    </row>
    <row r="91" spans="2:5" x14ac:dyDescent="0.2">
      <c r="B91" s="15">
        <v>86</v>
      </c>
      <c r="C91" s="15">
        <v>4.8899999999999997</v>
      </c>
      <c r="D91" s="14">
        <f t="shared" si="2"/>
        <v>0.87949640287769781</v>
      </c>
      <c r="E91" s="18">
        <f t="shared" si="3"/>
        <v>0.12050359712230219</v>
      </c>
    </row>
    <row r="92" spans="2:5" x14ac:dyDescent="0.2">
      <c r="B92" s="15">
        <v>87</v>
      </c>
      <c r="C92" s="15">
        <v>4.5599999999999996</v>
      </c>
      <c r="D92" s="14">
        <f t="shared" si="2"/>
        <v>0.86857142857142855</v>
      </c>
      <c r="E92" s="18">
        <f t="shared" si="3"/>
        <v>0.13142857142857145</v>
      </c>
    </row>
    <row r="93" spans="2:5" x14ac:dyDescent="0.2">
      <c r="B93" s="15">
        <v>88</v>
      </c>
      <c r="C93" s="15">
        <v>4.25</v>
      </c>
      <c r="D93" s="14">
        <f t="shared" si="2"/>
        <v>0.85513078470824944</v>
      </c>
      <c r="E93" s="18">
        <f t="shared" si="3"/>
        <v>0.14486921529175056</v>
      </c>
    </row>
    <row r="94" spans="2:5" x14ac:dyDescent="0.2">
      <c r="B94" s="15">
        <v>89</v>
      </c>
      <c r="C94" s="15">
        <v>3.97</v>
      </c>
      <c r="D94" s="14">
        <f t="shared" si="2"/>
        <v>0.84468085106382984</v>
      </c>
      <c r="E94" s="18">
        <f t="shared" si="3"/>
        <v>0.15531914893617016</v>
      </c>
    </row>
    <row r="95" spans="2:5" x14ac:dyDescent="0.2">
      <c r="B95" s="15">
        <v>90</v>
      </c>
      <c r="C95" s="15">
        <v>3.7</v>
      </c>
      <c r="D95" s="14">
        <f t="shared" si="2"/>
        <v>0.8314606741573034</v>
      </c>
      <c r="E95" s="18">
        <f t="shared" si="3"/>
        <v>0.1685393258426966</v>
      </c>
    </row>
    <row r="96" spans="2:5" x14ac:dyDescent="0.2">
      <c r="B96" s="15">
        <v>91</v>
      </c>
      <c r="C96" s="15">
        <v>3.45</v>
      </c>
      <c r="D96" s="14">
        <f t="shared" si="2"/>
        <v>0.81753554502369663</v>
      </c>
      <c r="E96" s="18">
        <f t="shared" si="3"/>
        <v>0.18246445497630337</v>
      </c>
    </row>
    <row r="97" spans="2:5" x14ac:dyDescent="0.2">
      <c r="B97" s="15">
        <v>92</v>
      </c>
      <c r="C97" s="15">
        <v>3.22</v>
      </c>
      <c r="D97" s="14">
        <f t="shared" si="2"/>
        <v>0.80299251870324195</v>
      </c>
      <c r="E97" s="18">
        <f t="shared" si="3"/>
        <v>0.19700748129675805</v>
      </c>
    </row>
    <row r="98" spans="2:5" x14ac:dyDescent="0.2">
      <c r="B98" s="15">
        <v>93</v>
      </c>
      <c r="C98" s="15">
        <v>3.01</v>
      </c>
      <c r="D98" s="14">
        <f t="shared" si="2"/>
        <v>0.7879581151832461</v>
      </c>
      <c r="E98" s="18">
        <f t="shared" si="3"/>
        <v>0.2120418848167539</v>
      </c>
    </row>
    <row r="99" spans="2:5" x14ac:dyDescent="0.2">
      <c r="B99" s="15">
        <v>94</v>
      </c>
      <c r="C99" s="15">
        <v>2.82</v>
      </c>
      <c r="D99" s="14">
        <f t="shared" si="2"/>
        <v>0.77472527472527464</v>
      </c>
      <c r="E99" s="18">
        <f t="shared" si="3"/>
        <v>0.22527472527472536</v>
      </c>
    </row>
    <row r="100" spans="2:5" x14ac:dyDescent="0.2">
      <c r="B100" s="15">
        <v>95</v>
      </c>
      <c r="C100" s="15">
        <v>2.64</v>
      </c>
      <c r="D100" s="14">
        <f t="shared" si="2"/>
        <v>0.7564469914040115</v>
      </c>
      <c r="E100" s="18">
        <f t="shared" si="3"/>
        <v>0.2435530085959885</v>
      </c>
    </row>
    <row r="101" spans="2:5" x14ac:dyDescent="0.2">
      <c r="B101" s="15">
        <v>96</v>
      </c>
      <c r="C101" s="15">
        <v>2.4900000000000002</v>
      </c>
      <c r="D101" s="14">
        <f t="shared" si="2"/>
        <v>0.74328358208955225</v>
      </c>
      <c r="E101" s="18">
        <f t="shared" si="3"/>
        <v>0.25671641791044775</v>
      </c>
    </row>
    <row r="102" spans="2:5" x14ac:dyDescent="0.2">
      <c r="B102" s="15">
        <v>97</v>
      </c>
      <c r="C102" s="15">
        <v>2.35</v>
      </c>
      <c r="D102" s="14">
        <f t="shared" si="2"/>
        <v>0.72981366459627328</v>
      </c>
      <c r="E102" s="18">
        <f t="shared" si="3"/>
        <v>0.27018633540372672</v>
      </c>
    </row>
    <row r="103" spans="2:5" x14ac:dyDescent="0.2">
      <c r="B103" s="15">
        <v>98</v>
      </c>
      <c r="C103" s="15">
        <v>2.2200000000000002</v>
      </c>
      <c r="D103" s="14">
        <f t="shared" si="2"/>
        <v>0.71382636655948561</v>
      </c>
      <c r="E103" s="18">
        <f t="shared" si="3"/>
        <v>0.28617363344051439</v>
      </c>
    </row>
    <row r="104" spans="2:5" x14ac:dyDescent="0.2">
      <c r="B104" s="15">
        <v>99</v>
      </c>
      <c r="C104" s="15">
        <v>2.11</v>
      </c>
      <c r="D104" s="14">
        <f t="shared" si="2"/>
        <v>0.70333333333333325</v>
      </c>
      <c r="E104" s="18">
        <f t="shared" si="3"/>
        <v>0.29666666666666675</v>
      </c>
    </row>
    <row r="105" spans="2:5" x14ac:dyDescent="0.2">
      <c r="B105" s="15">
        <v>100</v>
      </c>
      <c r="C105" s="16">
        <v>2</v>
      </c>
      <c r="D105" s="14">
        <f t="shared" si="2"/>
        <v>0.69204152249134954</v>
      </c>
      <c r="E105" s="18">
        <f t="shared" si="3"/>
        <v>0.30795847750865046</v>
      </c>
    </row>
    <row r="106" spans="2:5" x14ac:dyDescent="0.2">
      <c r="B106" s="15">
        <v>101</v>
      </c>
      <c r="C106" s="15">
        <v>1.89</v>
      </c>
      <c r="D106" s="14" t="s">
        <v>41</v>
      </c>
      <c r="E106" s="1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TVM</vt:lpstr>
      <vt:lpstr>person B jubilee</vt:lpstr>
      <vt:lpstr>person B ICICI</vt:lpstr>
      <vt:lpstr>person B allianz</vt:lpstr>
      <vt:lpstr>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Aamil Khan Mahar</dc:creator>
  <cp:lastModifiedBy>Aamil Khan Mahar</cp:lastModifiedBy>
  <dcterms:created xsi:type="dcterms:W3CDTF">2023-11-17T12:11:47Z</dcterms:created>
  <dcterms:modified xsi:type="dcterms:W3CDTF">2023-11-18T18:43:47Z</dcterms:modified>
</cp:coreProperties>
</file>